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pancic\Desktop\"/>
    </mc:Choice>
  </mc:AlternateContent>
  <bookViews>
    <workbookView xWindow="0" yWindow="0" windowWidth="21570" windowHeight="10215"/>
  </bookViews>
  <sheets>
    <sheet name="downloadnab 1 " sheetId="2" r:id="rId1"/>
  </sheets>
  <definedNames>
    <definedName name="_xlnm._FilterDatabase" localSheetId="0" hidden="1">'downloadnab 1 '!$A$4:$T$3755</definedName>
  </definedNames>
  <calcPr calcId="162913"/>
</workbook>
</file>

<file path=xl/calcChain.xml><?xml version="1.0" encoding="utf-8"?>
<calcChain xmlns="http://schemas.openxmlformats.org/spreadsheetml/2006/main">
  <c r="S3663" i="2" l="1"/>
  <c r="S1903" i="2"/>
  <c r="B1903" i="2"/>
  <c r="S3755" i="2" l="1"/>
  <c r="P3755" i="2"/>
  <c r="M3755" i="2"/>
  <c r="L3755" i="2"/>
  <c r="K3755" i="2"/>
  <c r="G3755" i="2"/>
  <c r="E3755" i="2"/>
  <c r="B3755" i="2"/>
  <c r="S3754" i="2"/>
  <c r="P3754" i="2"/>
  <c r="M3754" i="2"/>
  <c r="L3754" i="2"/>
  <c r="K3754" i="2"/>
  <c r="G3754" i="2"/>
  <c r="E3754" i="2"/>
  <c r="B3754" i="2"/>
  <c r="S3753" i="2"/>
  <c r="P3753" i="2"/>
  <c r="M3753" i="2"/>
  <c r="L3753" i="2"/>
  <c r="K3753" i="2"/>
  <c r="G3753" i="2"/>
  <c r="E3753" i="2"/>
  <c r="B3753" i="2"/>
  <c r="S3752" i="2"/>
  <c r="P3752" i="2"/>
  <c r="M3752" i="2"/>
  <c r="L3752" i="2"/>
  <c r="K3752" i="2"/>
  <c r="G3752" i="2"/>
  <c r="E3752" i="2"/>
  <c r="B3752" i="2"/>
  <c r="S3751" i="2"/>
  <c r="P3751" i="2"/>
  <c r="M3751" i="2"/>
  <c r="L3751" i="2"/>
  <c r="K3751" i="2"/>
  <c r="G3751" i="2"/>
  <c r="E3751" i="2"/>
  <c r="B3751" i="2"/>
  <c r="S3750" i="2"/>
  <c r="P3750" i="2"/>
  <c r="M3750" i="2"/>
  <c r="L3750" i="2"/>
  <c r="K3750" i="2"/>
  <c r="G3750" i="2"/>
  <c r="E3750" i="2"/>
  <c r="B3750" i="2"/>
  <c r="S3749" i="2"/>
  <c r="P3749" i="2"/>
  <c r="M3749" i="2"/>
  <c r="L3749" i="2"/>
  <c r="K3749" i="2"/>
  <c r="G3749" i="2"/>
  <c r="E3749" i="2"/>
  <c r="B3749" i="2"/>
  <c r="S3748" i="2"/>
  <c r="P3748" i="2"/>
  <c r="M3748" i="2"/>
  <c r="L3748" i="2"/>
  <c r="K3748" i="2"/>
  <c r="G3748" i="2"/>
  <c r="E3748" i="2"/>
  <c r="B3748" i="2"/>
  <c r="S3747" i="2"/>
  <c r="P3747" i="2"/>
  <c r="M3747" i="2"/>
  <c r="L3747" i="2"/>
  <c r="K3747" i="2"/>
  <c r="G3747" i="2"/>
  <c r="E3747" i="2"/>
  <c r="B3747" i="2"/>
  <c r="S3746" i="2"/>
  <c r="P3746" i="2"/>
  <c r="M3746" i="2"/>
  <c r="L3746" i="2"/>
  <c r="K3746" i="2"/>
  <c r="G3746" i="2"/>
  <c r="E3746" i="2"/>
  <c r="B3746" i="2"/>
  <c r="S3745" i="2"/>
  <c r="P3745" i="2"/>
  <c r="M3745" i="2"/>
  <c r="L3745" i="2"/>
  <c r="K3745" i="2"/>
  <c r="G3745" i="2"/>
  <c r="E3745" i="2"/>
  <c r="B3745" i="2"/>
  <c r="S3744" i="2"/>
  <c r="P3744" i="2"/>
  <c r="M3744" i="2"/>
  <c r="L3744" i="2"/>
  <c r="K3744" i="2"/>
  <c r="G3744" i="2"/>
  <c r="E3744" i="2"/>
  <c r="B3744" i="2"/>
  <c r="S3743" i="2"/>
  <c r="P3743" i="2"/>
  <c r="M3743" i="2"/>
  <c r="L3743" i="2"/>
  <c r="K3743" i="2"/>
  <c r="G3743" i="2"/>
  <c r="E3743" i="2"/>
  <c r="B3743" i="2"/>
  <c r="S3742" i="2"/>
  <c r="P3742" i="2"/>
  <c r="M3742" i="2"/>
  <c r="L3742" i="2"/>
  <c r="K3742" i="2"/>
  <c r="G3742" i="2"/>
  <c r="E3742" i="2"/>
  <c r="B3742" i="2"/>
  <c r="S3741" i="2"/>
  <c r="P3741" i="2"/>
  <c r="M3741" i="2"/>
  <c r="L3741" i="2"/>
  <c r="K3741" i="2"/>
  <c r="G3741" i="2"/>
  <c r="E3741" i="2"/>
  <c r="B3741" i="2"/>
  <c r="S3740" i="2"/>
  <c r="P3740" i="2"/>
  <c r="M3740" i="2"/>
  <c r="L3740" i="2"/>
  <c r="K3740" i="2"/>
  <c r="G3740" i="2"/>
  <c r="E3740" i="2"/>
  <c r="B3740" i="2"/>
  <c r="S3739" i="2"/>
  <c r="P3739" i="2"/>
  <c r="M3739" i="2"/>
  <c r="L3739" i="2"/>
  <c r="K3739" i="2"/>
  <c r="G3739" i="2"/>
  <c r="E3739" i="2"/>
  <c r="B3739" i="2"/>
  <c r="S3738" i="2"/>
  <c r="P3738" i="2"/>
  <c r="M3738" i="2"/>
  <c r="L3738" i="2"/>
  <c r="K3738" i="2"/>
  <c r="G3738" i="2"/>
  <c r="E3738" i="2"/>
  <c r="B3738" i="2"/>
  <c r="S3737" i="2"/>
  <c r="P3737" i="2"/>
  <c r="M3737" i="2"/>
  <c r="L3737" i="2"/>
  <c r="K3737" i="2"/>
  <c r="G3737" i="2"/>
  <c r="E3737" i="2"/>
  <c r="B3737" i="2"/>
  <c r="S3736" i="2"/>
  <c r="P3736" i="2"/>
  <c r="M3736" i="2"/>
  <c r="L3736" i="2"/>
  <c r="K3736" i="2"/>
  <c r="G3736" i="2"/>
  <c r="E3736" i="2"/>
  <c r="B3736" i="2"/>
  <c r="S3735" i="2"/>
  <c r="P3735" i="2"/>
  <c r="M3735" i="2"/>
  <c r="L3735" i="2"/>
  <c r="K3735" i="2"/>
  <c r="G3735" i="2"/>
  <c r="E3735" i="2"/>
  <c r="B3735" i="2"/>
  <c r="S3734" i="2"/>
  <c r="P3734" i="2"/>
  <c r="M3734" i="2"/>
  <c r="L3734" i="2"/>
  <c r="K3734" i="2"/>
  <c r="G3734" i="2"/>
  <c r="E3734" i="2"/>
  <c r="B3734" i="2"/>
  <c r="S3733" i="2"/>
  <c r="P3733" i="2"/>
  <c r="M3733" i="2"/>
  <c r="L3733" i="2"/>
  <c r="K3733" i="2"/>
  <c r="G3733" i="2"/>
  <c r="E3733" i="2"/>
  <c r="B3733" i="2"/>
  <c r="S3732" i="2"/>
  <c r="P3732" i="2"/>
  <c r="M3732" i="2"/>
  <c r="L3732" i="2"/>
  <c r="K3732" i="2"/>
  <c r="G3732" i="2"/>
  <c r="E3732" i="2"/>
  <c r="B3732" i="2"/>
  <c r="S3731" i="2"/>
  <c r="P3731" i="2"/>
  <c r="M3731" i="2"/>
  <c r="L3731" i="2"/>
  <c r="K3731" i="2"/>
  <c r="G3731" i="2"/>
  <c r="E3731" i="2"/>
  <c r="B3731" i="2"/>
  <c r="S3730" i="2"/>
  <c r="P3730" i="2"/>
  <c r="M3730" i="2"/>
  <c r="L3730" i="2"/>
  <c r="K3730" i="2"/>
  <c r="G3730" i="2"/>
  <c r="E3730" i="2"/>
  <c r="B3730" i="2"/>
  <c r="S3729" i="2"/>
  <c r="P3729" i="2"/>
  <c r="M3729" i="2"/>
  <c r="L3729" i="2"/>
  <c r="K3729" i="2"/>
  <c r="G3729" i="2"/>
  <c r="E3729" i="2"/>
  <c r="B3729" i="2"/>
  <c r="S3728" i="2"/>
  <c r="P3728" i="2"/>
  <c r="M3728" i="2"/>
  <c r="L3728" i="2"/>
  <c r="K3728" i="2"/>
  <c r="G3728" i="2"/>
  <c r="E3728" i="2"/>
  <c r="B3728" i="2"/>
  <c r="S3727" i="2"/>
  <c r="P3727" i="2"/>
  <c r="M3727" i="2"/>
  <c r="L3727" i="2"/>
  <c r="K3727" i="2"/>
  <c r="G3727" i="2"/>
  <c r="E3727" i="2"/>
  <c r="B3727" i="2"/>
  <c r="S3726" i="2"/>
  <c r="P3726" i="2"/>
  <c r="M3726" i="2"/>
  <c r="L3726" i="2"/>
  <c r="K3726" i="2"/>
  <c r="G3726" i="2"/>
  <c r="E3726" i="2"/>
  <c r="B3726" i="2"/>
  <c r="S3725" i="2"/>
  <c r="P3725" i="2"/>
  <c r="M3725" i="2"/>
  <c r="L3725" i="2"/>
  <c r="K3725" i="2"/>
  <c r="G3725" i="2"/>
  <c r="E3725" i="2"/>
  <c r="B3725" i="2"/>
  <c r="S3724" i="2"/>
  <c r="P3724" i="2"/>
  <c r="M3724" i="2"/>
  <c r="L3724" i="2"/>
  <c r="K3724" i="2"/>
  <c r="G3724" i="2"/>
  <c r="E3724" i="2"/>
  <c r="B3724" i="2"/>
  <c r="S3723" i="2"/>
  <c r="P3723" i="2"/>
  <c r="M3723" i="2"/>
  <c r="L3723" i="2"/>
  <c r="K3723" i="2"/>
  <c r="G3723" i="2"/>
  <c r="E3723" i="2"/>
  <c r="B3723" i="2"/>
  <c r="S3722" i="2"/>
  <c r="P3722" i="2"/>
  <c r="M3722" i="2"/>
  <c r="L3722" i="2"/>
  <c r="K3722" i="2"/>
  <c r="G3722" i="2"/>
  <c r="E3722" i="2"/>
  <c r="B3722" i="2"/>
  <c r="S3721" i="2"/>
  <c r="P3721" i="2"/>
  <c r="M3721" i="2"/>
  <c r="L3721" i="2"/>
  <c r="K3721" i="2"/>
  <c r="G3721" i="2"/>
  <c r="E3721" i="2"/>
  <c r="B3721" i="2"/>
  <c r="S3720" i="2"/>
  <c r="P3720" i="2"/>
  <c r="M3720" i="2"/>
  <c r="L3720" i="2"/>
  <c r="K3720" i="2"/>
  <c r="G3720" i="2"/>
  <c r="E3720" i="2"/>
  <c r="B3720" i="2"/>
  <c r="S3719" i="2"/>
  <c r="P3719" i="2"/>
  <c r="M3719" i="2"/>
  <c r="L3719" i="2"/>
  <c r="K3719" i="2"/>
  <c r="G3719" i="2"/>
  <c r="E3719" i="2"/>
  <c r="B3719" i="2"/>
  <c r="S3718" i="2"/>
  <c r="P3718" i="2"/>
  <c r="M3718" i="2"/>
  <c r="L3718" i="2"/>
  <c r="K3718" i="2"/>
  <c r="G3718" i="2"/>
  <c r="E3718" i="2"/>
  <c r="B3718" i="2"/>
  <c r="S3717" i="2"/>
  <c r="P3717" i="2"/>
  <c r="M3717" i="2"/>
  <c r="L3717" i="2"/>
  <c r="K3717" i="2"/>
  <c r="G3717" i="2"/>
  <c r="E3717" i="2"/>
  <c r="B3717" i="2"/>
  <c r="S3716" i="2"/>
  <c r="P3716" i="2"/>
  <c r="M3716" i="2"/>
  <c r="L3716" i="2"/>
  <c r="K3716" i="2"/>
  <c r="G3716" i="2"/>
  <c r="E3716" i="2"/>
  <c r="B3716" i="2"/>
  <c r="S3715" i="2"/>
  <c r="P3715" i="2"/>
  <c r="M3715" i="2"/>
  <c r="L3715" i="2"/>
  <c r="K3715" i="2"/>
  <c r="G3715" i="2"/>
  <c r="E3715" i="2"/>
  <c r="B3715" i="2"/>
  <c r="S3714" i="2"/>
  <c r="P3714" i="2"/>
  <c r="M3714" i="2"/>
  <c r="L3714" i="2"/>
  <c r="K3714" i="2"/>
  <c r="G3714" i="2"/>
  <c r="E3714" i="2"/>
  <c r="B3714" i="2"/>
  <c r="S3713" i="2"/>
  <c r="P3713" i="2"/>
  <c r="M3713" i="2"/>
  <c r="L3713" i="2"/>
  <c r="K3713" i="2"/>
  <c r="G3713" i="2"/>
  <c r="E3713" i="2"/>
  <c r="B3713" i="2"/>
  <c r="S3712" i="2"/>
  <c r="P3712" i="2"/>
  <c r="M3712" i="2"/>
  <c r="L3712" i="2"/>
  <c r="K3712" i="2"/>
  <c r="G3712" i="2"/>
  <c r="E3712" i="2"/>
  <c r="B3712" i="2"/>
  <c r="S3711" i="2"/>
  <c r="P3711" i="2"/>
  <c r="M3711" i="2"/>
  <c r="L3711" i="2"/>
  <c r="K3711" i="2"/>
  <c r="G3711" i="2"/>
  <c r="E3711" i="2"/>
  <c r="B3711" i="2"/>
  <c r="S3710" i="2"/>
  <c r="P3710" i="2"/>
  <c r="M3710" i="2"/>
  <c r="L3710" i="2"/>
  <c r="K3710" i="2"/>
  <c r="G3710" i="2"/>
  <c r="E3710" i="2"/>
  <c r="B3710" i="2"/>
  <c r="S3709" i="2"/>
  <c r="P3709" i="2"/>
  <c r="M3709" i="2"/>
  <c r="L3709" i="2"/>
  <c r="K3709" i="2"/>
  <c r="G3709" i="2"/>
  <c r="E3709" i="2"/>
  <c r="B3709" i="2"/>
  <c r="S3708" i="2"/>
  <c r="P3708" i="2"/>
  <c r="M3708" i="2"/>
  <c r="L3708" i="2"/>
  <c r="K3708" i="2"/>
  <c r="G3708" i="2"/>
  <c r="E3708" i="2"/>
  <c r="B3708" i="2"/>
  <c r="S3707" i="2"/>
  <c r="P3707" i="2"/>
  <c r="M3707" i="2"/>
  <c r="L3707" i="2"/>
  <c r="K3707" i="2"/>
  <c r="G3707" i="2"/>
  <c r="E3707" i="2"/>
  <c r="B3707" i="2"/>
  <c r="S3706" i="2"/>
  <c r="P3706" i="2"/>
  <c r="M3706" i="2"/>
  <c r="L3706" i="2"/>
  <c r="K3706" i="2"/>
  <c r="G3706" i="2"/>
  <c r="E3706" i="2"/>
  <c r="B3706" i="2"/>
  <c r="S3705" i="2"/>
  <c r="P3705" i="2"/>
  <c r="M3705" i="2"/>
  <c r="L3705" i="2"/>
  <c r="K3705" i="2"/>
  <c r="G3705" i="2"/>
  <c r="E3705" i="2"/>
  <c r="B3705" i="2"/>
  <c r="S3704" i="2"/>
  <c r="P3704" i="2"/>
  <c r="M3704" i="2"/>
  <c r="L3704" i="2"/>
  <c r="K3704" i="2"/>
  <c r="G3704" i="2"/>
  <c r="E3704" i="2"/>
  <c r="B3704" i="2"/>
  <c r="S3703" i="2"/>
  <c r="P3703" i="2"/>
  <c r="M3703" i="2"/>
  <c r="L3703" i="2"/>
  <c r="K3703" i="2"/>
  <c r="G3703" i="2"/>
  <c r="E3703" i="2"/>
  <c r="B3703" i="2"/>
  <c r="S3702" i="2"/>
  <c r="P3702" i="2"/>
  <c r="M3702" i="2"/>
  <c r="L3702" i="2"/>
  <c r="K3702" i="2"/>
  <c r="G3702" i="2"/>
  <c r="E3702" i="2"/>
  <c r="B3702" i="2"/>
  <c r="S3701" i="2"/>
  <c r="P3701" i="2"/>
  <c r="M3701" i="2"/>
  <c r="L3701" i="2"/>
  <c r="K3701" i="2"/>
  <c r="G3701" i="2"/>
  <c r="E3701" i="2"/>
  <c r="B3701" i="2"/>
  <c r="S3700" i="2"/>
  <c r="P3700" i="2"/>
  <c r="M3700" i="2"/>
  <c r="L3700" i="2"/>
  <c r="K3700" i="2"/>
  <c r="G3700" i="2"/>
  <c r="E3700" i="2"/>
  <c r="B3700" i="2"/>
  <c r="S3699" i="2"/>
  <c r="P3699" i="2"/>
  <c r="M3699" i="2"/>
  <c r="L3699" i="2"/>
  <c r="K3699" i="2"/>
  <c r="G3699" i="2"/>
  <c r="E3699" i="2"/>
  <c r="B3699" i="2"/>
  <c r="S3698" i="2"/>
  <c r="P3698" i="2"/>
  <c r="M3698" i="2"/>
  <c r="L3698" i="2"/>
  <c r="K3698" i="2"/>
  <c r="G3698" i="2"/>
  <c r="E3698" i="2"/>
  <c r="B3698" i="2"/>
  <c r="S3697" i="2"/>
  <c r="P3697" i="2"/>
  <c r="M3697" i="2"/>
  <c r="L3697" i="2"/>
  <c r="K3697" i="2"/>
  <c r="G3697" i="2"/>
  <c r="E3697" i="2"/>
  <c r="B3697" i="2"/>
  <c r="S3696" i="2"/>
  <c r="P3696" i="2"/>
  <c r="M3696" i="2"/>
  <c r="L3696" i="2"/>
  <c r="K3696" i="2"/>
  <c r="G3696" i="2"/>
  <c r="E3696" i="2"/>
  <c r="B3696" i="2"/>
  <c r="S3695" i="2"/>
  <c r="P3695" i="2"/>
  <c r="M3695" i="2"/>
  <c r="L3695" i="2"/>
  <c r="K3695" i="2"/>
  <c r="G3695" i="2"/>
  <c r="E3695" i="2"/>
  <c r="B3695" i="2"/>
  <c r="S3694" i="2"/>
  <c r="P3694" i="2"/>
  <c r="M3694" i="2"/>
  <c r="L3694" i="2"/>
  <c r="K3694" i="2"/>
  <c r="G3694" i="2"/>
  <c r="E3694" i="2"/>
  <c r="B3694" i="2"/>
  <c r="S3693" i="2"/>
  <c r="P3693" i="2"/>
  <c r="M3693" i="2"/>
  <c r="L3693" i="2"/>
  <c r="K3693" i="2"/>
  <c r="G3693" i="2"/>
  <c r="E3693" i="2"/>
  <c r="B3693" i="2"/>
  <c r="S3692" i="2"/>
  <c r="P3692" i="2"/>
  <c r="M3692" i="2"/>
  <c r="L3692" i="2"/>
  <c r="K3692" i="2"/>
  <c r="G3692" i="2"/>
  <c r="E3692" i="2"/>
  <c r="B3692" i="2"/>
  <c r="S3691" i="2"/>
  <c r="P3691" i="2"/>
  <c r="M3691" i="2"/>
  <c r="L3691" i="2"/>
  <c r="K3691" i="2"/>
  <c r="G3691" i="2"/>
  <c r="E3691" i="2"/>
  <c r="B3691" i="2"/>
  <c r="S3690" i="2"/>
  <c r="P3690" i="2"/>
  <c r="M3690" i="2"/>
  <c r="L3690" i="2"/>
  <c r="K3690" i="2"/>
  <c r="G3690" i="2"/>
  <c r="E3690" i="2"/>
  <c r="B3690" i="2"/>
  <c r="S3689" i="2"/>
  <c r="P3689" i="2"/>
  <c r="M3689" i="2"/>
  <c r="L3689" i="2"/>
  <c r="K3689" i="2"/>
  <c r="G3689" i="2"/>
  <c r="E3689" i="2"/>
  <c r="B3689" i="2"/>
  <c r="S3688" i="2"/>
  <c r="P3688" i="2"/>
  <c r="M3688" i="2"/>
  <c r="L3688" i="2"/>
  <c r="K3688" i="2"/>
  <c r="G3688" i="2"/>
  <c r="E3688" i="2"/>
  <c r="B3688" i="2"/>
  <c r="S3687" i="2"/>
  <c r="P3687" i="2"/>
  <c r="M3687" i="2"/>
  <c r="L3687" i="2"/>
  <c r="K3687" i="2"/>
  <c r="G3687" i="2"/>
  <c r="E3687" i="2"/>
  <c r="B3687" i="2"/>
  <c r="S3686" i="2"/>
  <c r="P3686" i="2"/>
  <c r="M3686" i="2"/>
  <c r="L3686" i="2"/>
  <c r="K3686" i="2"/>
  <c r="G3686" i="2"/>
  <c r="E3686" i="2"/>
  <c r="B3686" i="2"/>
  <c r="S3685" i="2"/>
  <c r="P3685" i="2"/>
  <c r="M3685" i="2"/>
  <c r="L3685" i="2"/>
  <c r="K3685" i="2"/>
  <c r="G3685" i="2"/>
  <c r="E3685" i="2"/>
  <c r="B3685" i="2"/>
  <c r="S3684" i="2"/>
  <c r="P3684" i="2"/>
  <c r="M3684" i="2"/>
  <c r="L3684" i="2"/>
  <c r="K3684" i="2"/>
  <c r="G3684" i="2"/>
  <c r="E3684" i="2"/>
  <c r="B3684" i="2"/>
  <c r="S3683" i="2"/>
  <c r="P3683" i="2"/>
  <c r="M3683" i="2"/>
  <c r="L3683" i="2"/>
  <c r="K3683" i="2"/>
  <c r="G3683" i="2"/>
  <c r="E3683" i="2"/>
  <c r="B3683" i="2"/>
  <c r="S3682" i="2"/>
  <c r="P3682" i="2"/>
  <c r="M3682" i="2"/>
  <c r="L3682" i="2"/>
  <c r="K3682" i="2"/>
  <c r="G3682" i="2"/>
  <c r="E3682" i="2"/>
  <c r="B3682" i="2"/>
  <c r="S3681" i="2"/>
  <c r="P3681" i="2"/>
  <c r="M3681" i="2"/>
  <c r="L3681" i="2"/>
  <c r="K3681" i="2"/>
  <c r="G3681" i="2"/>
  <c r="E3681" i="2"/>
  <c r="B3681" i="2"/>
  <c r="S3680" i="2"/>
  <c r="P3680" i="2"/>
  <c r="M3680" i="2"/>
  <c r="L3680" i="2"/>
  <c r="K3680" i="2"/>
  <c r="G3680" i="2"/>
  <c r="E3680" i="2"/>
  <c r="B3680" i="2"/>
  <c r="S3679" i="2"/>
  <c r="P3679" i="2"/>
  <c r="M3679" i="2"/>
  <c r="L3679" i="2"/>
  <c r="K3679" i="2"/>
  <c r="G3679" i="2"/>
  <c r="E3679" i="2"/>
  <c r="B3679" i="2"/>
  <c r="S3678" i="2"/>
  <c r="P3678" i="2"/>
  <c r="M3678" i="2"/>
  <c r="L3678" i="2"/>
  <c r="K3678" i="2"/>
  <c r="G3678" i="2"/>
  <c r="E3678" i="2"/>
  <c r="B3678" i="2"/>
  <c r="S3677" i="2"/>
  <c r="P3677" i="2"/>
  <c r="M3677" i="2"/>
  <c r="L3677" i="2"/>
  <c r="K3677" i="2"/>
  <c r="G3677" i="2"/>
  <c r="E3677" i="2"/>
  <c r="B3677" i="2"/>
  <c r="S3676" i="2"/>
  <c r="P3676" i="2"/>
  <c r="M3676" i="2"/>
  <c r="L3676" i="2"/>
  <c r="K3676" i="2"/>
  <c r="G3676" i="2"/>
  <c r="E3676" i="2"/>
  <c r="B3676" i="2"/>
  <c r="S3675" i="2"/>
  <c r="P3675" i="2"/>
  <c r="M3675" i="2"/>
  <c r="L3675" i="2"/>
  <c r="K3675" i="2"/>
  <c r="G3675" i="2"/>
  <c r="E3675" i="2"/>
  <c r="B3675" i="2"/>
  <c r="S3674" i="2"/>
  <c r="P3674" i="2"/>
  <c r="M3674" i="2"/>
  <c r="L3674" i="2"/>
  <c r="K3674" i="2"/>
  <c r="G3674" i="2"/>
  <c r="E3674" i="2"/>
  <c r="B3674" i="2"/>
  <c r="S3673" i="2"/>
  <c r="P3673" i="2"/>
  <c r="M3673" i="2"/>
  <c r="L3673" i="2"/>
  <c r="K3673" i="2"/>
  <c r="G3673" i="2"/>
  <c r="E3673" i="2"/>
  <c r="B3673" i="2"/>
  <c r="S3672" i="2"/>
  <c r="P3672" i="2"/>
  <c r="M3672" i="2"/>
  <c r="L3672" i="2"/>
  <c r="K3672" i="2"/>
  <c r="G3672" i="2"/>
  <c r="E3672" i="2"/>
  <c r="B3672" i="2"/>
  <c r="S3671" i="2"/>
  <c r="P3671" i="2"/>
  <c r="M3671" i="2"/>
  <c r="L3671" i="2"/>
  <c r="K3671" i="2"/>
  <c r="G3671" i="2"/>
  <c r="E3671" i="2"/>
  <c r="B3671" i="2"/>
  <c r="S3670" i="2"/>
  <c r="P3670" i="2"/>
  <c r="M3670" i="2"/>
  <c r="L3670" i="2"/>
  <c r="K3670" i="2"/>
  <c r="G3670" i="2"/>
  <c r="E3670" i="2"/>
  <c r="B3670" i="2"/>
  <c r="S3669" i="2"/>
  <c r="P3669" i="2"/>
  <c r="M3669" i="2"/>
  <c r="L3669" i="2"/>
  <c r="K3669" i="2"/>
  <c r="G3669" i="2"/>
  <c r="E3669" i="2"/>
  <c r="B3669" i="2"/>
  <c r="S3668" i="2"/>
  <c r="P3668" i="2"/>
  <c r="M3668" i="2"/>
  <c r="L3668" i="2"/>
  <c r="K3668" i="2"/>
  <c r="G3668" i="2"/>
  <c r="E3668" i="2"/>
  <c r="B3668" i="2"/>
  <c r="S3667" i="2"/>
  <c r="P3667" i="2"/>
  <c r="M3667" i="2"/>
  <c r="L3667" i="2"/>
  <c r="K3667" i="2"/>
  <c r="G3667" i="2"/>
  <c r="E3667" i="2"/>
  <c r="B3667" i="2"/>
  <c r="S3666" i="2"/>
  <c r="P3666" i="2"/>
  <c r="M3666" i="2"/>
  <c r="L3666" i="2"/>
  <c r="K3666" i="2"/>
  <c r="G3666" i="2"/>
  <c r="E3666" i="2"/>
  <c r="B3666" i="2"/>
  <c r="S3665" i="2"/>
  <c r="P3665" i="2"/>
  <c r="M3665" i="2"/>
  <c r="L3665" i="2"/>
  <c r="K3665" i="2"/>
  <c r="G3665" i="2"/>
  <c r="E3665" i="2"/>
  <c r="B3665" i="2"/>
  <c r="S3664" i="2"/>
  <c r="P3664" i="2"/>
  <c r="M3664" i="2"/>
  <c r="L3664" i="2"/>
  <c r="K3664" i="2"/>
  <c r="G3664" i="2"/>
  <c r="E3664" i="2"/>
  <c r="B3664" i="2"/>
  <c r="P3663" i="2"/>
  <c r="M3663" i="2"/>
  <c r="L3663" i="2"/>
  <c r="K3663" i="2"/>
  <c r="G3663" i="2"/>
  <c r="E3663" i="2"/>
  <c r="B3663" i="2"/>
  <c r="S3662" i="2"/>
  <c r="P3662" i="2"/>
  <c r="M3662" i="2"/>
  <c r="L3662" i="2"/>
  <c r="K3662" i="2"/>
  <c r="G3662" i="2"/>
  <c r="E3662" i="2"/>
  <c r="B3662" i="2"/>
  <c r="S3661" i="2"/>
  <c r="P3661" i="2"/>
  <c r="M3661" i="2"/>
  <c r="L3661" i="2"/>
  <c r="K3661" i="2"/>
  <c r="G3661" i="2"/>
  <c r="E3661" i="2"/>
  <c r="B3661" i="2"/>
  <c r="S3660" i="2"/>
  <c r="P3660" i="2"/>
  <c r="M3660" i="2"/>
  <c r="L3660" i="2"/>
  <c r="K3660" i="2"/>
  <c r="G3660" i="2"/>
  <c r="E3660" i="2"/>
  <c r="B3660" i="2"/>
  <c r="S3659" i="2"/>
  <c r="P3659" i="2"/>
  <c r="M3659" i="2"/>
  <c r="L3659" i="2"/>
  <c r="K3659" i="2"/>
  <c r="G3659" i="2"/>
  <c r="E3659" i="2"/>
  <c r="B3659" i="2"/>
  <c r="S3658" i="2"/>
  <c r="P3658" i="2"/>
  <c r="M3658" i="2"/>
  <c r="L3658" i="2"/>
  <c r="K3658" i="2"/>
  <c r="G3658" i="2"/>
  <c r="E3658" i="2"/>
  <c r="B3658" i="2"/>
  <c r="S3657" i="2"/>
  <c r="P3657" i="2"/>
  <c r="M3657" i="2"/>
  <c r="L3657" i="2"/>
  <c r="K3657" i="2"/>
  <c r="G3657" i="2"/>
  <c r="E3657" i="2"/>
  <c r="B3657" i="2"/>
  <c r="S3656" i="2"/>
  <c r="P3656" i="2"/>
  <c r="M3656" i="2"/>
  <c r="L3656" i="2"/>
  <c r="K3656" i="2"/>
  <c r="G3656" i="2"/>
  <c r="E3656" i="2"/>
  <c r="B3656" i="2"/>
  <c r="S3655" i="2"/>
  <c r="P3655" i="2"/>
  <c r="M3655" i="2"/>
  <c r="L3655" i="2"/>
  <c r="K3655" i="2"/>
  <c r="G3655" i="2"/>
  <c r="E3655" i="2"/>
  <c r="B3655" i="2"/>
  <c r="S3654" i="2"/>
  <c r="P3654" i="2"/>
  <c r="M3654" i="2"/>
  <c r="L3654" i="2"/>
  <c r="K3654" i="2"/>
  <c r="G3654" i="2"/>
  <c r="E3654" i="2"/>
  <c r="B3654" i="2"/>
  <c r="S3653" i="2"/>
  <c r="P3653" i="2"/>
  <c r="M3653" i="2"/>
  <c r="L3653" i="2"/>
  <c r="K3653" i="2"/>
  <c r="G3653" i="2"/>
  <c r="E3653" i="2"/>
  <c r="B3653" i="2"/>
  <c r="S3652" i="2"/>
  <c r="P3652" i="2"/>
  <c r="M3652" i="2"/>
  <c r="L3652" i="2"/>
  <c r="K3652" i="2"/>
  <c r="G3652" i="2"/>
  <c r="E3652" i="2"/>
  <c r="B3652" i="2"/>
  <c r="S3651" i="2"/>
  <c r="P3651" i="2"/>
  <c r="M3651" i="2"/>
  <c r="L3651" i="2"/>
  <c r="K3651" i="2"/>
  <c r="G3651" i="2"/>
  <c r="E3651" i="2"/>
  <c r="B3651" i="2"/>
  <c r="S3650" i="2"/>
  <c r="P3650" i="2"/>
  <c r="M3650" i="2"/>
  <c r="L3650" i="2"/>
  <c r="K3650" i="2"/>
  <c r="G3650" i="2"/>
  <c r="E3650" i="2"/>
  <c r="B3650" i="2"/>
  <c r="S3649" i="2"/>
  <c r="P3649" i="2"/>
  <c r="M3649" i="2"/>
  <c r="L3649" i="2"/>
  <c r="K3649" i="2"/>
  <c r="G3649" i="2"/>
  <c r="E3649" i="2"/>
  <c r="B3649" i="2"/>
  <c r="S3648" i="2"/>
  <c r="P3648" i="2"/>
  <c r="M3648" i="2"/>
  <c r="L3648" i="2"/>
  <c r="K3648" i="2"/>
  <c r="G3648" i="2"/>
  <c r="E3648" i="2"/>
  <c r="B3648" i="2"/>
  <c r="S3647" i="2"/>
  <c r="P3647" i="2"/>
  <c r="M3647" i="2"/>
  <c r="L3647" i="2"/>
  <c r="K3647" i="2"/>
  <c r="G3647" i="2"/>
  <c r="E3647" i="2"/>
  <c r="B3647" i="2"/>
  <c r="S3646" i="2"/>
  <c r="P3646" i="2"/>
  <c r="M3646" i="2"/>
  <c r="L3646" i="2"/>
  <c r="K3646" i="2"/>
  <c r="G3646" i="2"/>
  <c r="E3646" i="2"/>
  <c r="B3646" i="2"/>
  <c r="S3645" i="2"/>
  <c r="P3645" i="2"/>
  <c r="M3645" i="2"/>
  <c r="L3645" i="2"/>
  <c r="K3645" i="2"/>
  <c r="G3645" i="2"/>
  <c r="E3645" i="2"/>
  <c r="B3645" i="2"/>
  <c r="S3644" i="2"/>
  <c r="P3644" i="2"/>
  <c r="M3644" i="2"/>
  <c r="L3644" i="2"/>
  <c r="K3644" i="2"/>
  <c r="G3644" i="2"/>
  <c r="E3644" i="2"/>
  <c r="B3644" i="2"/>
  <c r="S3643" i="2"/>
  <c r="P3643" i="2"/>
  <c r="M3643" i="2"/>
  <c r="L3643" i="2"/>
  <c r="K3643" i="2"/>
  <c r="G3643" i="2"/>
  <c r="E3643" i="2"/>
  <c r="B3643" i="2"/>
  <c r="S3642" i="2"/>
  <c r="P3642" i="2"/>
  <c r="M3642" i="2"/>
  <c r="L3642" i="2"/>
  <c r="K3642" i="2"/>
  <c r="G3642" i="2"/>
  <c r="E3642" i="2"/>
  <c r="B3642" i="2"/>
  <c r="S3641" i="2"/>
  <c r="P3641" i="2"/>
  <c r="M3641" i="2"/>
  <c r="L3641" i="2"/>
  <c r="K3641" i="2"/>
  <c r="G3641" i="2"/>
  <c r="E3641" i="2"/>
  <c r="B3641" i="2"/>
  <c r="S3640" i="2"/>
  <c r="P3640" i="2"/>
  <c r="M3640" i="2"/>
  <c r="L3640" i="2"/>
  <c r="K3640" i="2"/>
  <c r="G3640" i="2"/>
  <c r="E3640" i="2"/>
  <c r="B3640" i="2"/>
  <c r="S3639" i="2"/>
  <c r="P3639" i="2"/>
  <c r="M3639" i="2"/>
  <c r="L3639" i="2"/>
  <c r="K3639" i="2"/>
  <c r="G3639" i="2"/>
  <c r="E3639" i="2"/>
  <c r="B3639" i="2"/>
  <c r="S3638" i="2"/>
  <c r="P3638" i="2"/>
  <c r="M3638" i="2"/>
  <c r="L3638" i="2"/>
  <c r="K3638" i="2"/>
  <c r="G3638" i="2"/>
  <c r="E3638" i="2"/>
  <c r="B3638" i="2"/>
  <c r="S3637" i="2"/>
  <c r="P3637" i="2"/>
  <c r="M3637" i="2"/>
  <c r="L3637" i="2"/>
  <c r="K3637" i="2"/>
  <c r="G3637" i="2"/>
  <c r="E3637" i="2"/>
  <c r="B3637" i="2"/>
  <c r="S3636" i="2"/>
  <c r="P3636" i="2"/>
  <c r="M3636" i="2"/>
  <c r="L3636" i="2"/>
  <c r="K3636" i="2"/>
  <c r="G3636" i="2"/>
  <c r="E3636" i="2"/>
  <c r="B3636" i="2"/>
  <c r="S3635" i="2"/>
  <c r="P3635" i="2"/>
  <c r="M3635" i="2"/>
  <c r="L3635" i="2"/>
  <c r="K3635" i="2"/>
  <c r="G3635" i="2"/>
  <c r="E3635" i="2"/>
  <c r="B3635" i="2"/>
  <c r="S3634" i="2"/>
  <c r="P3634" i="2"/>
  <c r="M3634" i="2"/>
  <c r="L3634" i="2"/>
  <c r="K3634" i="2"/>
  <c r="G3634" i="2"/>
  <c r="E3634" i="2"/>
  <c r="B3634" i="2"/>
  <c r="S3633" i="2"/>
  <c r="P3633" i="2"/>
  <c r="M3633" i="2"/>
  <c r="L3633" i="2"/>
  <c r="K3633" i="2"/>
  <c r="G3633" i="2"/>
  <c r="E3633" i="2"/>
  <c r="B3633" i="2"/>
  <c r="S3632" i="2"/>
  <c r="P3632" i="2"/>
  <c r="M3632" i="2"/>
  <c r="L3632" i="2"/>
  <c r="K3632" i="2"/>
  <c r="G3632" i="2"/>
  <c r="E3632" i="2"/>
  <c r="B3632" i="2"/>
  <c r="S3631" i="2"/>
  <c r="P3631" i="2"/>
  <c r="M3631" i="2"/>
  <c r="L3631" i="2"/>
  <c r="K3631" i="2"/>
  <c r="G3631" i="2"/>
  <c r="E3631" i="2"/>
  <c r="B3631" i="2"/>
  <c r="S3630" i="2"/>
  <c r="P3630" i="2"/>
  <c r="M3630" i="2"/>
  <c r="L3630" i="2"/>
  <c r="K3630" i="2"/>
  <c r="G3630" i="2"/>
  <c r="E3630" i="2"/>
  <c r="B3630" i="2"/>
  <c r="S3629" i="2"/>
  <c r="P3629" i="2"/>
  <c r="M3629" i="2"/>
  <c r="L3629" i="2"/>
  <c r="K3629" i="2"/>
  <c r="G3629" i="2"/>
  <c r="E3629" i="2"/>
  <c r="B3629" i="2"/>
  <c r="S3628" i="2"/>
  <c r="P3628" i="2"/>
  <c r="M3628" i="2"/>
  <c r="L3628" i="2"/>
  <c r="K3628" i="2"/>
  <c r="G3628" i="2"/>
  <c r="E3628" i="2"/>
  <c r="B3628" i="2"/>
  <c r="S3627" i="2"/>
  <c r="P3627" i="2"/>
  <c r="M3627" i="2"/>
  <c r="L3627" i="2"/>
  <c r="K3627" i="2"/>
  <c r="G3627" i="2"/>
  <c r="E3627" i="2"/>
  <c r="B3627" i="2"/>
  <c r="S3626" i="2"/>
  <c r="P3626" i="2"/>
  <c r="M3626" i="2"/>
  <c r="L3626" i="2"/>
  <c r="K3626" i="2"/>
  <c r="G3626" i="2"/>
  <c r="E3626" i="2"/>
  <c r="B3626" i="2"/>
  <c r="S3625" i="2"/>
  <c r="P3625" i="2"/>
  <c r="M3625" i="2"/>
  <c r="L3625" i="2"/>
  <c r="K3625" i="2"/>
  <c r="G3625" i="2"/>
  <c r="E3625" i="2"/>
  <c r="B3625" i="2"/>
  <c r="S3624" i="2"/>
  <c r="P3624" i="2"/>
  <c r="M3624" i="2"/>
  <c r="L3624" i="2"/>
  <c r="K3624" i="2"/>
  <c r="G3624" i="2"/>
  <c r="E3624" i="2"/>
  <c r="B3624" i="2"/>
  <c r="S3623" i="2"/>
  <c r="P3623" i="2"/>
  <c r="M3623" i="2"/>
  <c r="L3623" i="2"/>
  <c r="K3623" i="2"/>
  <c r="G3623" i="2"/>
  <c r="E3623" i="2"/>
  <c r="B3623" i="2"/>
  <c r="S3622" i="2"/>
  <c r="P3622" i="2"/>
  <c r="M3622" i="2"/>
  <c r="L3622" i="2"/>
  <c r="K3622" i="2"/>
  <c r="G3622" i="2"/>
  <c r="E3622" i="2"/>
  <c r="B3622" i="2"/>
  <c r="S3621" i="2"/>
  <c r="P3621" i="2"/>
  <c r="M3621" i="2"/>
  <c r="L3621" i="2"/>
  <c r="K3621" i="2"/>
  <c r="G3621" i="2"/>
  <c r="E3621" i="2"/>
  <c r="B3621" i="2"/>
  <c r="S3620" i="2"/>
  <c r="P3620" i="2"/>
  <c r="M3620" i="2"/>
  <c r="L3620" i="2"/>
  <c r="K3620" i="2"/>
  <c r="G3620" i="2"/>
  <c r="E3620" i="2"/>
  <c r="B3620" i="2"/>
  <c r="S3619" i="2"/>
  <c r="P3619" i="2"/>
  <c r="M3619" i="2"/>
  <c r="L3619" i="2"/>
  <c r="K3619" i="2"/>
  <c r="G3619" i="2"/>
  <c r="E3619" i="2"/>
  <c r="B3619" i="2"/>
  <c r="S3618" i="2"/>
  <c r="P3618" i="2"/>
  <c r="M3618" i="2"/>
  <c r="L3618" i="2"/>
  <c r="K3618" i="2"/>
  <c r="G3618" i="2"/>
  <c r="E3618" i="2"/>
  <c r="B3618" i="2"/>
  <c r="S3617" i="2"/>
  <c r="P3617" i="2"/>
  <c r="M3617" i="2"/>
  <c r="L3617" i="2"/>
  <c r="K3617" i="2"/>
  <c r="G3617" i="2"/>
  <c r="E3617" i="2"/>
  <c r="B3617" i="2"/>
  <c r="S3616" i="2"/>
  <c r="P3616" i="2"/>
  <c r="M3616" i="2"/>
  <c r="L3616" i="2"/>
  <c r="K3616" i="2"/>
  <c r="G3616" i="2"/>
  <c r="E3616" i="2"/>
  <c r="B3616" i="2"/>
  <c r="S3615" i="2"/>
  <c r="P3615" i="2"/>
  <c r="M3615" i="2"/>
  <c r="L3615" i="2"/>
  <c r="K3615" i="2"/>
  <c r="G3615" i="2"/>
  <c r="E3615" i="2"/>
  <c r="B3615" i="2"/>
  <c r="S3614" i="2"/>
  <c r="P3614" i="2"/>
  <c r="M3614" i="2"/>
  <c r="L3614" i="2"/>
  <c r="K3614" i="2"/>
  <c r="G3614" i="2"/>
  <c r="E3614" i="2"/>
  <c r="B3614" i="2"/>
  <c r="S3613" i="2"/>
  <c r="P3613" i="2"/>
  <c r="M3613" i="2"/>
  <c r="L3613" i="2"/>
  <c r="K3613" i="2"/>
  <c r="G3613" i="2"/>
  <c r="E3613" i="2"/>
  <c r="B3613" i="2"/>
  <c r="S3612" i="2"/>
  <c r="P3612" i="2"/>
  <c r="M3612" i="2"/>
  <c r="L3612" i="2"/>
  <c r="K3612" i="2"/>
  <c r="G3612" i="2"/>
  <c r="E3612" i="2"/>
  <c r="B3612" i="2"/>
  <c r="S3611" i="2"/>
  <c r="P3611" i="2"/>
  <c r="M3611" i="2"/>
  <c r="L3611" i="2"/>
  <c r="K3611" i="2"/>
  <c r="G3611" i="2"/>
  <c r="E3611" i="2"/>
  <c r="B3611" i="2"/>
  <c r="S3610" i="2"/>
  <c r="P3610" i="2"/>
  <c r="M3610" i="2"/>
  <c r="L3610" i="2"/>
  <c r="K3610" i="2"/>
  <c r="G3610" i="2"/>
  <c r="E3610" i="2"/>
  <c r="B3610" i="2"/>
  <c r="S3609" i="2"/>
  <c r="P3609" i="2"/>
  <c r="M3609" i="2"/>
  <c r="L3609" i="2"/>
  <c r="K3609" i="2"/>
  <c r="G3609" i="2"/>
  <c r="E3609" i="2"/>
  <c r="B3609" i="2"/>
  <c r="S3608" i="2"/>
  <c r="P3608" i="2"/>
  <c r="M3608" i="2"/>
  <c r="L3608" i="2"/>
  <c r="K3608" i="2"/>
  <c r="G3608" i="2"/>
  <c r="E3608" i="2"/>
  <c r="B3608" i="2"/>
  <c r="S3607" i="2"/>
  <c r="P3607" i="2"/>
  <c r="M3607" i="2"/>
  <c r="L3607" i="2"/>
  <c r="K3607" i="2"/>
  <c r="G3607" i="2"/>
  <c r="E3607" i="2"/>
  <c r="B3607" i="2"/>
  <c r="S3606" i="2"/>
  <c r="P3606" i="2"/>
  <c r="M3606" i="2"/>
  <c r="L3606" i="2"/>
  <c r="K3606" i="2"/>
  <c r="G3606" i="2"/>
  <c r="E3606" i="2"/>
  <c r="B3606" i="2"/>
  <c r="S3605" i="2"/>
  <c r="P3605" i="2"/>
  <c r="M3605" i="2"/>
  <c r="L3605" i="2"/>
  <c r="K3605" i="2"/>
  <c r="G3605" i="2"/>
  <c r="E3605" i="2"/>
  <c r="B3605" i="2"/>
  <c r="S3604" i="2"/>
  <c r="P3604" i="2"/>
  <c r="M3604" i="2"/>
  <c r="L3604" i="2"/>
  <c r="K3604" i="2"/>
  <c r="G3604" i="2"/>
  <c r="E3604" i="2"/>
  <c r="B3604" i="2"/>
  <c r="S3603" i="2"/>
  <c r="P3603" i="2"/>
  <c r="M3603" i="2"/>
  <c r="L3603" i="2"/>
  <c r="K3603" i="2"/>
  <c r="G3603" i="2"/>
  <c r="E3603" i="2"/>
  <c r="B3603" i="2"/>
  <c r="S3602" i="2"/>
  <c r="P3602" i="2"/>
  <c r="M3602" i="2"/>
  <c r="L3602" i="2"/>
  <c r="K3602" i="2"/>
  <c r="G3602" i="2"/>
  <c r="E3602" i="2"/>
  <c r="B3602" i="2"/>
  <c r="S3601" i="2"/>
  <c r="P3601" i="2"/>
  <c r="M3601" i="2"/>
  <c r="L3601" i="2"/>
  <c r="K3601" i="2"/>
  <c r="G3601" i="2"/>
  <c r="E3601" i="2"/>
  <c r="B3601" i="2"/>
  <c r="S3600" i="2"/>
  <c r="P3600" i="2"/>
  <c r="M3600" i="2"/>
  <c r="L3600" i="2"/>
  <c r="K3600" i="2"/>
  <c r="G3600" i="2"/>
  <c r="E3600" i="2"/>
  <c r="B3600" i="2"/>
  <c r="S3599" i="2"/>
  <c r="P3599" i="2"/>
  <c r="M3599" i="2"/>
  <c r="L3599" i="2"/>
  <c r="K3599" i="2"/>
  <c r="G3599" i="2"/>
  <c r="E3599" i="2"/>
  <c r="B3599" i="2"/>
  <c r="S3598" i="2"/>
  <c r="P3598" i="2"/>
  <c r="M3598" i="2"/>
  <c r="L3598" i="2"/>
  <c r="K3598" i="2"/>
  <c r="G3598" i="2"/>
  <c r="E3598" i="2"/>
  <c r="B3598" i="2"/>
  <c r="S3597" i="2"/>
  <c r="P3597" i="2"/>
  <c r="M3597" i="2"/>
  <c r="L3597" i="2"/>
  <c r="K3597" i="2"/>
  <c r="G3597" i="2"/>
  <c r="E3597" i="2"/>
  <c r="B3597" i="2"/>
  <c r="S3596" i="2"/>
  <c r="P3596" i="2"/>
  <c r="M3596" i="2"/>
  <c r="L3596" i="2"/>
  <c r="K3596" i="2"/>
  <c r="G3596" i="2"/>
  <c r="E3596" i="2"/>
  <c r="B3596" i="2"/>
  <c r="S3595" i="2"/>
  <c r="P3595" i="2"/>
  <c r="M3595" i="2"/>
  <c r="L3595" i="2"/>
  <c r="K3595" i="2"/>
  <c r="G3595" i="2"/>
  <c r="E3595" i="2"/>
  <c r="B3595" i="2"/>
  <c r="S3594" i="2"/>
  <c r="P3594" i="2"/>
  <c r="M3594" i="2"/>
  <c r="L3594" i="2"/>
  <c r="K3594" i="2"/>
  <c r="G3594" i="2"/>
  <c r="E3594" i="2"/>
  <c r="B3594" i="2"/>
  <c r="S3593" i="2"/>
  <c r="P3593" i="2"/>
  <c r="M3593" i="2"/>
  <c r="L3593" i="2"/>
  <c r="K3593" i="2"/>
  <c r="G3593" i="2"/>
  <c r="E3593" i="2"/>
  <c r="B3593" i="2"/>
  <c r="S3592" i="2"/>
  <c r="P3592" i="2"/>
  <c r="M3592" i="2"/>
  <c r="L3592" i="2"/>
  <c r="K3592" i="2"/>
  <c r="G3592" i="2"/>
  <c r="E3592" i="2"/>
  <c r="B3592" i="2"/>
  <c r="S3591" i="2"/>
  <c r="P3591" i="2"/>
  <c r="M3591" i="2"/>
  <c r="L3591" i="2"/>
  <c r="K3591" i="2"/>
  <c r="G3591" i="2"/>
  <c r="E3591" i="2"/>
  <c r="B3591" i="2"/>
  <c r="S3590" i="2"/>
  <c r="P3590" i="2"/>
  <c r="M3590" i="2"/>
  <c r="L3590" i="2"/>
  <c r="K3590" i="2"/>
  <c r="G3590" i="2"/>
  <c r="E3590" i="2"/>
  <c r="B3590" i="2"/>
  <c r="S3589" i="2"/>
  <c r="P3589" i="2"/>
  <c r="M3589" i="2"/>
  <c r="L3589" i="2"/>
  <c r="K3589" i="2"/>
  <c r="G3589" i="2"/>
  <c r="E3589" i="2"/>
  <c r="B3589" i="2"/>
  <c r="S3588" i="2"/>
  <c r="P3588" i="2"/>
  <c r="M3588" i="2"/>
  <c r="L3588" i="2"/>
  <c r="K3588" i="2"/>
  <c r="G3588" i="2"/>
  <c r="E3588" i="2"/>
  <c r="B3588" i="2"/>
  <c r="S3587" i="2"/>
  <c r="P3587" i="2"/>
  <c r="M3587" i="2"/>
  <c r="L3587" i="2"/>
  <c r="K3587" i="2"/>
  <c r="G3587" i="2"/>
  <c r="E3587" i="2"/>
  <c r="B3587" i="2"/>
  <c r="S3586" i="2"/>
  <c r="P3586" i="2"/>
  <c r="M3586" i="2"/>
  <c r="L3586" i="2"/>
  <c r="K3586" i="2"/>
  <c r="G3586" i="2"/>
  <c r="E3586" i="2"/>
  <c r="B3586" i="2"/>
  <c r="S3585" i="2"/>
  <c r="P3585" i="2"/>
  <c r="M3585" i="2"/>
  <c r="L3585" i="2"/>
  <c r="K3585" i="2"/>
  <c r="G3585" i="2"/>
  <c r="E3585" i="2"/>
  <c r="B3585" i="2"/>
  <c r="S3584" i="2"/>
  <c r="P3584" i="2"/>
  <c r="M3584" i="2"/>
  <c r="L3584" i="2"/>
  <c r="K3584" i="2"/>
  <c r="G3584" i="2"/>
  <c r="E3584" i="2"/>
  <c r="B3584" i="2"/>
  <c r="S3583" i="2"/>
  <c r="P3583" i="2"/>
  <c r="M3583" i="2"/>
  <c r="L3583" i="2"/>
  <c r="K3583" i="2"/>
  <c r="G3583" i="2"/>
  <c r="E3583" i="2"/>
  <c r="B3583" i="2"/>
  <c r="S3582" i="2"/>
  <c r="P3582" i="2"/>
  <c r="M3582" i="2"/>
  <c r="L3582" i="2"/>
  <c r="K3582" i="2"/>
  <c r="G3582" i="2"/>
  <c r="E3582" i="2"/>
  <c r="B3582" i="2"/>
  <c r="S3581" i="2"/>
  <c r="P3581" i="2"/>
  <c r="M3581" i="2"/>
  <c r="L3581" i="2"/>
  <c r="K3581" i="2"/>
  <c r="G3581" i="2"/>
  <c r="E3581" i="2"/>
  <c r="B3581" i="2"/>
  <c r="S3580" i="2"/>
  <c r="P3580" i="2"/>
  <c r="M3580" i="2"/>
  <c r="L3580" i="2"/>
  <c r="K3580" i="2"/>
  <c r="G3580" i="2"/>
  <c r="E3580" i="2"/>
  <c r="B3580" i="2"/>
  <c r="S3579" i="2"/>
  <c r="P3579" i="2"/>
  <c r="M3579" i="2"/>
  <c r="L3579" i="2"/>
  <c r="K3579" i="2"/>
  <c r="G3579" i="2"/>
  <c r="E3579" i="2"/>
  <c r="B3579" i="2"/>
  <c r="S3578" i="2"/>
  <c r="P3578" i="2"/>
  <c r="M3578" i="2"/>
  <c r="L3578" i="2"/>
  <c r="K3578" i="2"/>
  <c r="G3578" i="2"/>
  <c r="E3578" i="2"/>
  <c r="B3578" i="2"/>
  <c r="S3577" i="2"/>
  <c r="P3577" i="2"/>
  <c r="M3577" i="2"/>
  <c r="L3577" i="2"/>
  <c r="K3577" i="2"/>
  <c r="G3577" i="2"/>
  <c r="E3577" i="2"/>
  <c r="B3577" i="2"/>
  <c r="S3576" i="2"/>
  <c r="P3576" i="2"/>
  <c r="M3576" i="2"/>
  <c r="L3576" i="2"/>
  <c r="K3576" i="2"/>
  <c r="G3576" i="2"/>
  <c r="E3576" i="2"/>
  <c r="B3576" i="2"/>
  <c r="S3575" i="2"/>
  <c r="P3575" i="2"/>
  <c r="M3575" i="2"/>
  <c r="L3575" i="2"/>
  <c r="K3575" i="2"/>
  <c r="G3575" i="2"/>
  <c r="E3575" i="2"/>
  <c r="B3575" i="2"/>
  <c r="S3574" i="2"/>
  <c r="P3574" i="2"/>
  <c r="M3574" i="2"/>
  <c r="L3574" i="2"/>
  <c r="K3574" i="2"/>
  <c r="G3574" i="2"/>
  <c r="E3574" i="2"/>
  <c r="B3574" i="2"/>
  <c r="S3573" i="2"/>
  <c r="P3573" i="2"/>
  <c r="M3573" i="2"/>
  <c r="L3573" i="2"/>
  <c r="K3573" i="2"/>
  <c r="G3573" i="2"/>
  <c r="E3573" i="2"/>
  <c r="B3573" i="2"/>
  <c r="S3572" i="2"/>
  <c r="P3572" i="2"/>
  <c r="M3572" i="2"/>
  <c r="L3572" i="2"/>
  <c r="K3572" i="2"/>
  <c r="G3572" i="2"/>
  <c r="E3572" i="2"/>
  <c r="B3572" i="2"/>
  <c r="S3571" i="2"/>
  <c r="P3571" i="2"/>
  <c r="M3571" i="2"/>
  <c r="L3571" i="2"/>
  <c r="K3571" i="2"/>
  <c r="G3571" i="2"/>
  <c r="E3571" i="2"/>
  <c r="B3571" i="2"/>
  <c r="S3570" i="2"/>
  <c r="P3570" i="2"/>
  <c r="M3570" i="2"/>
  <c r="L3570" i="2"/>
  <c r="K3570" i="2"/>
  <c r="G3570" i="2"/>
  <c r="E3570" i="2"/>
  <c r="B3570" i="2"/>
  <c r="S3569" i="2"/>
  <c r="P3569" i="2"/>
  <c r="M3569" i="2"/>
  <c r="L3569" i="2"/>
  <c r="K3569" i="2"/>
  <c r="G3569" i="2"/>
  <c r="E3569" i="2"/>
  <c r="B3569" i="2"/>
  <c r="S3568" i="2"/>
  <c r="P3568" i="2"/>
  <c r="M3568" i="2"/>
  <c r="L3568" i="2"/>
  <c r="K3568" i="2"/>
  <c r="G3568" i="2"/>
  <c r="E3568" i="2"/>
  <c r="B3568" i="2"/>
  <c r="S3567" i="2"/>
  <c r="P3567" i="2"/>
  <c r="M3567" i="2"/>
  <c r="L3567" i="2"/>
  <c r="K3567" i="2"/>
  <c r="G3567" i="2"/>
  <c r="E3567" i="2"/>
  <c r="B3567" i="2"/>
  <c r="S3566" i="2"/>
  <c r="P3566" i="2"/>
  <c r="M3566" i="2"/>
  <c r="L3566" i="2"/>
  <c r="K3566" i="2"/>
  <c r="G3566" i="2"/>
  <c r="E3566" i="2"/>
  <c r="B3566" i="2"/>
  <c r="S3565" i="2"/>
  <c r="P3565" i="2"/>
  <c r="M3565" i="2"/>
  <c r="L3565" i="2"/>
  <c r="K3565" i="2"/>
  <c r="G3565" i="2"/>
  <c r="E3565" i="2"/>
  <c r="B3565" i="2"/>
  <c r="S3564" i="2"/>
  <c r="P3564" i="2"/>
  <c r="M3564" i="2"/>
  <c r="L3564" i="2"/>
  <c r="K3564" i="2"/>
  <c r="G3564" i="2"/>
  <c r="E3564" i="2"/>
  <c r="B3564" i="2"/>
  <c r="S3563" i="2"/>
  <c r="P3563" i="2"/>
  <c r="M3563" i="2"/>
  <c r="L3563" i="2"/>
  <c r="K3563" i="2"/>
  <c r="G3563" i="2"/>
  <c r="E3563" i="2"/>
  <c r="B3563" i="2"/>
  <c r="S3562" i="2"/>
  <c r="P3562" i="2"/>
  <c r="M3562" i="2"/>
  <c r="L3562" i="2"/>
  <c r="K3562" i="2"/>
  <c r="G3562" i="2"/>
  <c r="E3562" i="2"/>
  <c r="B3562" i="2"/>
  <c r="S3561" i="2"/>
  <c r="P3561" i="2"/>
  <c r="M3561" i="2"/>
  <c r="L3561" i="2"/>
  <c r="K3561" i="2"/>
  <c r="G3561" i="2"/>
  <c r="E3561" i="2"/>
  <c r="B3561" i="2"/>
  <c r="S3560" i="2"/>
  <c r="P3560" i="2"/>
  <c r="M3560" i="2"/>
  <c r="L3560" i="2"/>
  <c r="K3560" i="2"/>
  <c r="G3560" i="2"/>
  <c r="E3560" i="2"/>
  <c r="B3560" i="2"/>
  <c r="S3559" i="2"/>
  <c r="P3559" i="2"/>
  <c r="M3559" i="2"/>
  <c r="L3559" i="2"/>
  <c r="K3559" i="2"/>
  <c r="G3559" i="2"/>
  <c r="E3559" i="2"/>
  <c r="B3559" i="2"/>
  <c r="S3558" i="2"/>
  <c r="P3558" i="2"/>
  <c r="M3558" i="2"/>
  <c r="L3558" i="2"/>
  <c r="K3558" i="2"/>
  <c r="G3558" i="2"/>
  <c r="E3558" i="2"/>
  <c r="B3558" i="2"/>
  <c r="S3557" i="2"/>
  <c r="P3557" i="2"/>
  <c r="M3557" i="2"/>
  <c r="L3557" i="2"/>
  <c r="K3557" i="2"/>
  <c r="G3557" i="2"/>
  <c r="E3557" i="2"/>
  <c r="B3557" i="2"/>
  <c r="S3556" i="2"/>
  <c r="P3556" i="2"/>
  <c r="M3556" i="2"/>
  <c r="L3556" i="2"/>
  <c r="K3556" i="2"/>
  <c r="G3556" i="2"/>
  <c r="E3556" i="2"/>
  <c r="B3556" i="2"/>
  <c r="S3555" i="2"/>
  <c r="P3555" i="2"/>
  <c r="M3555" i="2"/>
  <c r="L3555" i="2"/>
  <c r="K3555" i="2"/>
  <c r="G3555" i="2"/>
  <c r="E3555" i="2"/>
  <c r="B3555" i="2"/>
  <c r="S3554" i="2"/>
  <c r="P3554" i="2"/>
  <c r="M3554" i="2"/>
  <c r="L3554" i="2"/>
  <c r="K3554" i="2"/>
  <c r="G3554" i="2"/>
  <c r="E3554" i="2"/>
  <c r="B3554" i="2"/>
  <c r="S3553" i="2"/>
  <c r="P3553" i="2"/>
  <c r="M3553" i="2"/>
  <c r="L3553" i="2"/>
  <c r="K3553" i="2"/>
  <c r="G3553" i="2"/>
  <c r="E3553" i="2"/>
  <c r="B3553" i="2"/>
  <c r="S3552" i="2"/>
  <c r="P3552" i="2"/>
  <c r="M3552" i="2"/>
  <c r="L3552" i="2"/>
  <c r="K3552" i="2"/>
  <c r="G3552" i="2"/>
  <c r="E3552" i="2"/>
  <c r="B3552" i="2"/>
  <c r="S3551" i="2"/>
  <c r="P3551" i="2"/>
  <c r="M3551" i="2"/>
  <c r="L3551" i="2"/>
  <c r="K3551" i="2"/>
  <c r="G3551" i="2"/>
  <c r="E3551" i="2"/>
  <c r="B3551" i="2"/>
  <c r="S3550" i="2"/>
  <c r="P3550" i="2"/>
  <c r="M3550" i="2"/>
  <c r="L3550" i="2"/>
  <c r="K3550" i="2"/>
  <c r="G3550" i="2"/>
  <c r="E3550" i="2"/>
  <c r="B3550" i="2"/>
  <c r="S3549" i="2"/>
  <c r="P3549" i="2"/>
  <c r="M3549" i="2"/>
  <c r="L3549" i="2"/>
  <c r="K3549" i="2"/>
  <c r="G3549" i="2"/>
  <c r="E3549" i="2"/>
  <c r="B3549" i="2"/>
  <c r="S3548" i="2"/>
  <c r="P3548" i="2"/>
  <c r="M3548" i="2"/>
  <c r="L3548" i="2"/>
  <c r="K3548" i="2"/>
  <c r="G3548" i="2"/>
  <c r="E3548" i="2"/>
  <c r="B3548" i="2"/>
  <c r="S3547" i="2"/>
  <c r="P3547" i="2"/>
  <c r="M3547" i="2"/>
  <c r="L3547" i="2"/>
  <c r="K3547" i="2"/>
  <c r="G3547" i="2"/>
  <c r="E3547" i="2"/>
  <c r="B3547" i="2"/>
  <c r="S3546" i="2"/>
  <c r="P3546" i="2"/>
  <c r="M3546" i="2"/>
  <c r="L3546" i="2"/>
  <c r="K3546" i="2"/>
  <c r="G3546" i="2"/>
  <c r="E3546" i="2"/>
  <c r="B3546" i="2"/>
  <c r="S3545" i="2"/>
  <c r="P3545" i="2"/>
  <c r="M3545" i="2"/>
  <c r="L3545" i="2"/>
  <c r="K3545" i="2"/>
  <c r="G3545" i="2"/>
  <c r="E3545" i="2"/>
  <c r="B3545" i="2"/>
  <c r="S3544" i="2"/>
  <c r="P3544" i="2"/>
  <c r="M3544" i="2"/>
  <c r="L3544" i="2"/>
  <c r="K3544" i="2"/>
  <c r="G3544" i="2"/>
  <c r="E3544" i="2"/>
  <c r="B3544" i="2"/>
  <c r="S3543" i="2"/>
  <c r="P3543" i="2"/>
  <c r="M3543" i="2"/>
  <c r="L3543" i="2"/>
  <c r="K3543" i="2"/>
  <c r="G3543" i="2"/>
  <c r="E3543" i="2"/>
  <c r="B3543" i="2"/>
  <c r="S3542" i="2"/>
  <c r="P3542" i="2"/>
  <c r="M3542" i="2"/>
  <c r="L3542" i="2"/>
  <c r="K3542" i="2"/>
  <c r="G3542" i="2"/>
  <c r="E3542" i="2"/>
  <c r="B3542" i="2"/>
  <c r="S3541" i="2"/>
  <c r="P3541" i="2"/>
  <c r="M3541" i="2"/>
  <c r="L3541" i="2"/>
  <c r="K3541" i="2"/>
  <c r="G3541" i="2"/>
  <c r="E3541" i="2"/>
  <c r="B3541" i="2"/>
  <c r="S3540" i="2"/>
  <c r="P3540" i="2"/>
  <c r="M3540" i="2"/>
  <c r="L3540" i="2"/>
  <c r="K3540" i="2"/>
  <c r="G3540" i="2"/>
  <c r="E3540" i="2"/>
  <c r="B3540" i="2"/>
  <c r="S3539" i="2"/>
  <c r="P3539" i="2"/>
  <c r="M3539" i="2"/>
  <c r="L3539" i="2"/>
  <c r="K3539" i="2"/>
  <c r="G3539" i="2"/>
  <c r="E3539" i="2"/>
  <c r="B3539" i="2"/>
  <c r="S3538" i="2"/>
  <c r="P3538" i="2"/>
  <c r="M3538" i="2"/>
  <c r="L3538" i="2"/>
  <c r="K3538" i="2"/>
  <c r="G3538" i="2"/>
  <c r="E3538" i="2"/>
  <c r="B3538" i="2"/>
  <c r="S3537" i="2"/>
  <c r="P3537" i="2"/>
  <c r="M3537" i="2"/>
  <c r="L3537" i="2"/>
  <c r="K3537" i="2"/>
  <c r="G3537" i="2"/>
  <c r="E3537" i="2"/>
  <c r="B3537" i="2"/>
  <c r="S3536" i="2"/>
  <c r="P3536" i="2"/>
  <c r="M3536" i="2"/>
  <c r="L3536" i="2"/>
  <c r="K3536" i="2"/>
  <c r="G3536" i="2"/>
  <c r="E3536" i="2"/>
  <c r="B3536" i="2"/>
  <c r="S3535" i="2"/>
  <c r="P3535" i="2"/>
  <c r="M3535" i="2"/>
  <c r="L3535" i="2"/>
  <c r="K3535" i="2"/>
  <c r="G3535" i="2"/>
  <c r="E3535" i="2"/>
  <c r="B3535" i="2"/>
  <c r="S3534" i="2"/>
  <c r="P3534" i="2"/>
  <c r="M3534" i="2"/>
  <c r="L3534" i="2"/>
  <c r="K3534" i="2"/>
  <c r="G3534" i="2"/>
  <c r="E3534" i="2"/>
  <c r="B3534" i="2"/>
  <c r="S3533" i="2"/>
  <c r="P3533" i="2"/>
  <c r="M3533" i="2"/>
  <c r="L3533" i="2"/>
  <c r="K3533" i="2"/>
  <c r="G3533" i="2"/>
  <c r="E3533" i="2"/>
  <c r="B3533" i="2"/>
  <c r="S3532" i="2"/>
  <c r="P3532" i="2"/>
  <c r="M3532" i="2"/>
  <c r="L3532" i="2"/>
  <c r="K3532" i="2"/>
  <c r="G3532" i="2"/>
  <c r="E3532" i="2"/>
  <c r="B3532" i="2"/>
  <c r="S3531" i="2"/>
  <c r="P3531" i="2"/>
  <c r="M3531" i="2"/>
  <c r="L3531" i="2"/>
  <c r="K3531" i="2"/>
  <c r="G3531" i="2"/>
  <c r="E3531" i="2"/>
  <c r="B3531" i="2"/>
  <c r="S3530" i="2"/>
  <c r="P3530" i="2"/>
  <c r="M3530" i="2"/>
  <c r="L3530" i="2"/>
  <c r="K3530" i="2"/>
  <c r="G3530" i="2"/>
  <c r="E3530" i="2"/>
  <c r="B3530" i="2"/>
  <c r="S3529" i="2"/>
  <c r="P3529" i="2"/>
  <c r="M3529" i="2"/>
  <c r="L3529" i="2"/>
  <c r="K3529" i="2"/>
  <c r="G3529" i="2"/>
  <c r="E3529" i="2"/>
  <c r="B3529" i="2"/>
  <c r="S3528" i="2"/>
  <c r="P3528" i="2"/>
  <c r="M3528" i="2"/>
  <c r="L3528" i="2"/>
  <c r="K3528" i="2"/>
  <c r="G3528" i="2"/>
  <c r="E3528" i="2"/>
  <c r="B3528" i="2"/>
  <c r="S3527" i="2"/>
  <c r="P3527" i="2"/>
  <c r="M3527" i="2"/>
  <c r="L3527" i="2"/>
  <c r="K3527" i="2"/>
  <c r="G3527" i="2"/>
  <c r="E3527" i="2"/>
  <c r="B3527" i="2"/>
  <c r="S3526" i="2"/>
  <c r="P3526" i="2"/>
  <c r="M3526" i="2"/>
  <c r="L3526" i="2"/>
  <c r="K3526" i="2"/>
  <c r="G3526" i="2"/>
  <c r="E3526" i="2"/>
  <c r="B3526" i="2"/>
  <c r="S3525" i="2"/>
  <c r="P3525" i="2"/>
  <c r="M3525" i="2"/>
  <c r="L3525" i="2"/>
  <c r="K3525" i="2"/>
  <c r="G3525" i="2"/>
  <c r="E3525" i="2"/>
  <c r="B3525" i="2"/>
  <c r="S3524" i="2"/>
  <c r="P3524" i="2"/>
  <c r="M3524" i="2"/>
  <c r="L3524" i="2"/>
  <c r="K3524" i="2"/>
  <c r="G3524" i="2"/>
  <c r="E3524" i="2"/>
  <c r="B3524" i="2"/>
  <c r="S3523" i="2"/>
  <c r="P3523" i="2"/>
  <c r="M3523" i="2"/>
  <c r="L3523" i="2"/>
  <c r="K3523" i="2"/>
  <c r="G3523" i="2"/>
  <c r="E3523" i="2"/>
  <c r="B3523" i="2"/>
  <c r="S3522" i="2"/>
  <c r="P3522" i="2"/>
  <c r="M3522" i="2"/>
  <c r="L3522" i="2"/>
  <c r="K3522" i="2"/>
  <c r="G3522" i="2"/>
  <c r="E3522" i="2"/>
  <c r="B3522" i="2"/>
  <c r="S3521" i="2"/>
  <c r="P3521" i="2"/>
  <c r="M3521" i="2"/>
  <c r="L3521" i="2"/>
  <c r="K3521" i="2"/>
  <c r="G3521" i="2"/>
  <c r="E3521" i="2"/>
  <c r="B3521" i="2"/>
  <c r="S3520" i="2"/>
  <c r="P3520" i="2"/>
  <c r="M3520" i="2"/>
  <c r="L3520" i="2"/>
  <c r="K3520" i="2"/>
  <c r="G3520" i="2"/>
  <c r="E3520" i="2"/>
  <c r="B3520" i="2"/>
  <c r="S3519" i="2"/>
  <c r="P3519" i="2"/>
  <c r="M3519" i="2"/>
  <c r="L3519" i="2"/>
  <c r="K3519" i="2"/>
  <c r="G3519" i="2"/>
  <c r="E3519" i="2"/>
  <c r="B3519" i="2"/>
  <c r="S3518" i="2"/>
  <c r="P3518" i="2"/>
  <c r="M3518" i="2"/>
  <c r="L3518" i="2"/>
  <c r="K3518" i="2"/>
  <c r="G3518" i="2"/>
  <c r="E3518" i="2"/>
  <c r="B3518" i="2"/>
  <c r="S3517" i="2"/>
  <c r="P3517" i="2"/>
  <c r="M3517" i="2"/>
  <c r="L3517" i="2"/>
  <c r="K3517" i="2"/>
  <c r="G3517" i="2"/>
  <c r="E3517" i="2"/>
  <c r="B3517" i="2"/>
  <c r="S3516" i="2"/>
  <c r="P3516" i="2"/>
  <c r="M3516" i="2"/>
  <c r="L3516" i="2"/>
  <c r="K3516" i="2"/>
  <c r="G3516" i="2"/>
  <c r="E3516" i="2"/>
  <c r="B3516" i="2"/>
  <c r="S3515" i="2"/>
  <c r="P3515" i="2"/>
  <c r="M3515" i="2"/>
  <c r="L3515" i="2"/>
  <c r="K3515" i="2"/>
  <c r="G3515" i="2"/>
  <c r="E3515" i="2"/>
  <c r="B3515" i="2"/>
  <c r="S3514" i="2"/>
  <c r="P3514" i="2"/>
  <c r="M3514" i="2"/>
  <c r="L3514" i="2"/>
  <c r="K3514" i="2"/>
  <c r="G3514" i="2"/>
  <c r="E3514" i="2"/>
  <c r="B3514" i="2"/>
  <c r="S3513" i="2"/>
  <c r="P3513" i="2"/>
  <c r="M3513" i="2"/>
  <c r="L3513" i="2"/>
  <c r="K3513" i="2"/>
  <c r="G3513" i="2"/>
  <c r="E3513" i="2"/>
  <c r="B3513" i="2"/>
  <c r="S3512" i="2"/>
  <c r="P3512" i="2"/>
  <c r="M3512" i="2"/>
  <c r="L3512" i="2"/>
  <c r="K3512" i="2"/>
  <c r="G3512" i="2"/>
  <c r="E3512" i="2"/>
  <c r="B3512" i="2"/>
  <c r="S3511" i="2"/>
  <c r="P3511" i="2"/>
  <c r="M3511" i="2"/>
  <c r="L3511" i="2"/>
  <c r="K3511" i="2"/>
  <c r="G3511" i="2"/>
  <c r="E3511" i="2"/>
  <c r="B3511" i="2"/>
  <c r="S3510" i="2"/>
  <c r="P3510" i="2"/>
  <c r="M3510" i="2"/>
  <c r="L3510" i="2"/>
  <c r="K3510" i="2"/>
  <c r="G3510" i="2"/>
  <c r="E3510" i="2"/>
  <c r="B3510" i="2"/>
  <c r="S3509" i="2"/>
  <c r="P3509" i="2"/>
  <c r="M3509" i="2"/>
  <c r="L3509" i="2"/>
  <c r="K3509" i="2"/>
  <c r="G3509" i="2"/>
  <c r="E3509" i="2"/>
  <c r="B3509" i="2"/>
  <c r="S3508" i="2"/>
  <c r="P3508" i="2"/>
  <c r="M3508" i="2"/>
  <c r="L3508" i="2"/>
  <c r="K3508" i="2"/>
  <c r="G3508" i="2"/>
  <c r="E3508" i="2"/>
  <c r="B3508" i="2"/>
  <c r="S3507" i="2"/>
  <c r="P3507" i="2"/>
  <c r="M3507" i="2"/>
  <c r="L3507" i="2"/>
  <c r="K3507" i="2"/>
  <c r="G3507" i="2"/>
  <c r="E3507" i="2"/>
  <c r="B3507" i="2"/>
  <c r="S3506" i="2"/>
  <c r="P3506" i="2"/>
  <c r="M3506" i="2"/>
  <c r="L3506" i="2"/>
  <c r="K3506" i="2"/>
  <c r="G3506" i="2"/>
  <c r="E3506" i="2"/>
  <c r="B3506" i="2"/>
  <c r="S3505" i="2"/>
  <c r="P3505" i="2"/>
  <c r="M3505" i="2"/>
  <c r="L3505" i="2"/>
  <c r="K3505" i="2"/>
  <c r="G3505" i="2"/>
  <c r="E3505" i="2"/>
  <c r="B3505" i="2"/>
  <c r="S3504" i="2"/>
  <c r="P3504" i="2"/>
  <c r="M3504" i="2"/>
  <c r="L3504" i="2"/>
  <c r="K3504" i="2"/>
  <c r="G3504" i="2"/>
  <c r="E3504" i="2"/>
  <c r="B3504" i="2"/>
  <c r="S3503" i="2"/>
  <c r="P3503" i="2"/>
  <c r="M3503" i="2"/>
  <c r="L3503" i="2"/>
  <c r="K3503" i="2"/>
  <c r="G3503" i="2"/>
  <c r="E3503" i="2"/>
  <c r="B3503" i="2"/>
  <c r="S3502" i="2"/>
  <c r="P3502" i="2"/>
  <c r="M3502" i="2"/>
  <c r="L3502" i="2"/>
  <c r="K3502" i="2"/>
  <c r="G3502" i="2"/>
  <c r="E3502" i="2"/>
  <c r="B3502" i="2"/>
  <c r="S3501" i="2"/>
  <c r="P3501" i="2"/>
  <c r="M3501" i="2"/>
  <c r="L3501" i="2"/>
  <c r="K3501" i="2"/>
  <c r="G3501" i="2"/>
  <c r="E3501" i="2"/>
  <c r="B3501" i="2"/>
  <c r="S3500" i="2"/>
  <c r="P3500" i="2"/>
  <c r="M3500" i="2"/>
  <c r="L3500" i="2"/>
  <c r="K3500" i="2"/>
  <c r="G3500" i="2"/>
  <c r="E3500" i="2"/>
  <c r="B3500" i="2"/>
  <c r="S3499" i="2"/>
  <c r="P3499" i="2"/>
  <c r="M3499" i="2"/>
  <c r="L3499" i="2"/>
  <c r="K3499" i="2"/>
  <c r="G3499" i="2"/>
  <c r="E3499" i="2"/>
  <c r="B3499" i="2"/>
  <c r="S3498" i="2"/>
  <c r="P3498" i="2"/>
  <c r="M3498" i="2"/>
  <c r="L3498" i="2"/>
  <c r="K3498" i="2"/>
  <c r="G3498" i="2"/>
  <c r="E3498" i="2"/>
  <c r="B3498" i="2"/>
  <c r="S3497" i="2"/>
  <c r="P3497" i="2"/>
  <c r="M3497" i="2"/>
  <c r="L3497" i="2"/>
  <c r="K3497" i="2"/>
  <c r="G3497" i="2"/>
  <c r="E3497" i="2"/>
  <c r="B3497" i="2"/>
  <c r="S3496" i="2"/>
  <c r="P3496" i="2"/>
  <c r="M3496" i="2"/>
  <c r="L3496" i="2"/>
  <c r="K3496" i="2"/>
  <c r="G3496" i="2"/>
  <c r="E3496" i="2"/>
  <c r="B3496" i="2"/>
  <c r="S3495" i="2"/>
  <c r="P3495" i="2"/>
  <c r="M3495" i="2"/>
  <c r="L3495" i="2"/>
  <c r="K3495" i="2"/>
  <c r="G3495" i="2"/>
  <c r="E3495" i="2"/>
  <c r="B3495" i="2"/>
  <c r="S3494" i="2"/>
  <c r="P3494" i="2"/>
  <c r="M3494" i="2"/>
  <c r="L3494" i="2"/>
  <c r="K3494" i="2"/>
  <c r="G3494" i="2"/>
  <c r="E3494" i="2"/>
  <c r="B3494" i="2"/>
  <c r="S3493" i="2"/>
  <c r="P3493" i="2"/>
  <c r="M3493" i="2"/>
  <c r="L3493" i="2"/>
  <c r="K3493" i="2"/>
  <c r="G3493" i="2"/>
  <c r="E3493" i="2"/>
  <c r="B3493" i="2"/>
  <c r="S3492" i="2"/>
  <c r="P3492" i="2"/>
  <c r="M3492" i="2"/>
  <c r="L3492" i="2"/>
  <c r="K3492" i="2"/>
  <c r="G3492" i="2"/>
  <c r="E3492" i="2"/>
  <c r="B3492" i="2"/>
  <c r="S3491" i="2"/>
  <c r="P3491" i="2"/>
  <c r="M3491" i="2"/>
  <c r="L3491" i="2"/>
  <c r="K3491" i="2"/>
  <c r="G3491" i="2"/>
  <c r="E3491" i="2"/>
  <c r="B3491" i="2"/>
  <c r="S3490" i="2"/>
  <c r="P3490" i="2"/>
  <c r="M3490" i="2"/>
  <c r="L3490" i="2"/>
  <c r="K3490" i="2"/>
  <c r="G3490" i="2"/>
  <c r="E3490" i="2"/>
  <c r="B3490" i="2"/>
  <c r="S3489" i="2"/>
  <c r="P3489" i="2"/>
  <c r="M3489" i="2"/>
  <c r="L3489" i="2"/>
  <c r="K3489" i="2"/>
  <c r="G3489" i="2"/>
  <c r="E3489" i="2"/>
  <c r="B3489" i="2"/>
  <c r="S3488" i="2"/>
  <c r="P3488" i="2"/>
  <c r="M3488" i="2"/>
  <c r="L3488" i="2"/>
  <c r="K3488" i="2"/>
  <c r="G3488" i="2"/>
  <c r="E3488" i="2"/>
  <c r="B3488" i="2"/>
  <c r="S3487" i="2"/>
  <c r="P3487" i="2"/>
  <c r="M3487" i="2"/>
  <c r="L3487" i="2"/>
  <c r="K3487" i="2"/>
  <c r="G3487" i="2"/>
  <c r="E3487" i="2"/>
  <c r="B3487" i="2"/>
  <c r="S3486" i="2"/>
  <c r="P3486" i="2"/>
  <c r="M3486" i="2"/>
  <c r="L3486" i="2"/>
  <c r="K3486" i="2"/>
  <c r="G3486" i="2"/>
  <c r="E3486" i="2"/>
  <c r="B3486" i="2"/>
  <c r="S3485" i="2"/>
  <c r="P3485" i="2"/>
  <c r="M3485" i="2"/>
  <c r="L3485" i="2"/>
  <c r="K3485" i="2"/>
  <c r="G3485" i="2"/>
  <c r="E3485" i="2"/>
  <c r="B3485" i="2"/>
  <c r="S3484" i="2"/>
  <c r="P3484" i="2"/>
  <c r="M3484" i="2"/>
  <c r="L3484" i="2"/>
  <c r="K3484" i="2"/>
  <c r="G3484" i="2"/>
  <c r="E3484" i="2"/>
  <c r="B3484" i="2"/>
  <c r="S3483" i="2"/>
  <c r="P3483" i="2"/>
  <c r="M3483" i="2"/>
  <c r="L3483" i="2"/>
  <c r="K3483" i="2"/>
  <c r="G3483" i="2"/>
  <c r="E3483" i="2"/>
  <c r="B3483" i="2"/>
  <c r="S3482" i="2"/>
  <c r="P3482" i="2"/>
  <c r="M3482" i="2"/>
  <c r="L3482" i="2"/>
  <c r="K3482" i="2"/>
  <c r="G3482" i="2"/>
  <c r="E3482" i="2"/>
  <c r="B3482" i="2"/>
  <c r="S3481" i="2"/>
  <c r="P3481" i="2"/>
  <c r="M3481" i="2"/>
  <c r="L3481" i="2"/>
  <c r="K3481" i="2"/>
  <c r="G3481" i="2"/>
  <c r="E3481" i="2"/>
  <c r="B3481" i="2"/>
  <c r="S3480" i="2"/>
  <c r="P3480" i="2"/>
  <c r="M3480" i="2"/>
  <c r="L3480" i="2"/>
  <c r="K3480" i="2"/>
  <c r="G3480" i="2"/>
  <c r="E3480" i="2"/>
  <c r="B3480" i="2"/>
  <c r="S3479" i="2"/>
  <c r="P3479" i="2"/>
  <c r="M3479" i="2"/>
  <c r="L3479" i="2"/>
  <c r="K3479" i="2"/>
  <c r="G3479" i="2"/>
  <c r="E3479" i="2"/>
  <c r="B3479" i="2"/>
  <c r="S3478" i="2"/>
  <c r="P3478" i="2"/>
  <c r="M3478" i="2"/>
  <c r="L3478" i="2"/>
  <c r="K3478" i="2"/>
  <c r="G3478" i="2"/>
  <c r="E3478" i="2"/>
  <c r="B3478" i="2"/>
  <c r="S3477" i="2"/>
  <c r="P3477" i="2"/>
  <c r="M3477" i="2"/>
  <c r="L3477" i="2"/>
  <c r="K3477" i="2"/>
  <c r="G3477" i="2"/>
  <c r="E3477" i="2"/>
  <c r="B3477" i="2"/>
  <c r="S3476" i="2"/>
  <c r="P3476" i="2"/>
  <c r="M3476" i="2"/>
  <c r="L3476" i="2"/>
  <c r="K3476" i="2"/>
  <c r="G3476" i="2"/>
  <c r="E3476" i="2"/>
  <c r="B3476" i="2"/>
  <c r="S3475" i="2"/>
  <c r="P3475" i="2"/>
  <c r="M3475" i="2"/>
  <c r="L3475" i="2"/>
  <c r="K3475" i="2"/>
  <c r="G3475" i="2"/>
  <c r="E3475" i="2"/>
  <c r="B3475" i="2"/>
  <c r="S3474" i="2"/>
  <c r="P3474" i="2"/>
  <c r="M3474" i="2"/>
  <c r="L3474" i="2"/>
  <c r="K3474" i="2"/>
  <c r="G3474" i="2"/>
  <c r="E3474" i="2"/>
  <c r="B3474" i="2"/>
  <c r="S3473" i="2"/>
  <c r="P3473" i="2"/>
  <c r="M3473" i="2"/>
  <c r="L3473" i="2"/>
  <c r="K3473" i="2"/>
  <c r="G3473" i="2"/>
  <c r="E3473" i="2"/>
  <c r="B3473" i="2"/>
  <c r="S3472" i="2"/>
  <c r="P3472" i="2"/>
  <c r="M3472" i="2"/>
  <c r="L3472" i="2"/>
  <c r="K3472" i="2"/>
  <c r="G3472" i="2"/>
  <c r="E3472" i="2"/>
  <c r="B3472" i="2"/>
  <c r="S3471" i="2"/>
  <c r="P3471" i="2"/>
  <c r="M3471" i="2"/>
  <c r="L3471" i="2"/>
  <c r="K3471" i="2"/>
  <c r="G3471" i="2"/>
  <c r="E3471" i="2"/>
  <c r="B3471" i="2"/>
  <c r="S3470" i="2"/>
  <c r="P3470" i="2"/>
  <c r="M3470" i="2"/>
  <c r="L3470" i="2"/>
  <c r="K3470" i="2"/>
  <c r="G3470" i="2"/>
  <c r="E3470" i="2"/>
  <c r="B3470" i="2"/>
  <c r="S3469" i="2"/>
  <c r="P3469" i="2"/>
  <c r="M3469" i="2"/>
  <c r="L3469" i="2"/>
  <c r="K3469" i="2"/>
  <c r="G3469" i="2"/>
  <c r="E3469" i="2"/>
  <c r="B3469" i="2"/>
  <c r="S3468" i="2"/>
  <c r="P3468" i="2"/>
  <c r="M3468" i="2"/>
  <c r="L3468" i="2"/>
  <c r="K3468" i="2"/>
  <c r="G3468" i="2"/>
  <c r="E3468" i="2"/>
  <c r="B3468" i="2"/>
  <c r="S3467" i="2"/>
  <c r="P3467" i="2"/>
  <c r="M3467" i="2"/>
  <c r="L3467" i="2"/>
  <c r="K3467" i="2"/>
  <c r="G3467" i="2"/>
  <c r="E3467" i="2"/>
  <c r="B3467" i="2"/>
  <c r="S3466" i="2"/>
  <c r="P3466" i="2"/>
  <c r="M3466" i="2"/>
  <c r="L3466" i="2"/>
  <c r="K3466" i="2"/>
  <c r="G3466" i="2"/>
  <c r="E3466" i="2"/>
  <c r="B3466" i="2"/>
  <c r="S3465" i="2"/>
  <c r="P3465" i="2"/>
  <c r="M3465" i="2"/>
  <c r="L3465" i="2"/>
  <c r="K3465" i="2"/>
  <c r="G3465" i="2"/>
  <c r="E3465" i="2"/>
  <c r="B3465" i="2"/>
  <c r="S3464" i="2"/>
  <c r="P3464" i="2"/>
  <c r="M3464" i="2"/>
  <c r="L3464" i="2"/>
  <c r="K3464" i="2"/>
  <c r="G3464" i="2"/>
  <c r="E3464" i="2"/>
  <c r="B3464" i="2"/>
  <c r="S3463" i="2"/>
  <c r="P3463" i="2"/>
  <c r="M3463" i="2"/>
  <c r="L3463" i="2"/>
  <c r="K3463" i="2"/>
  <c r="G3463" i="2"/>
  <c r="E3463" i="2"/>
  <c r="B3463" i="2"/>
  <c r="S3462" i="2"/>
  <c r="P3462" i="2"/>
  <c r="M3462" i="2"/>
  <c r="L3462" i="2"/>
  <c r="K3462" i="2"/>
  <c r="G3462" i="2"/>
  <c r="E3462" i="2"/>
  <c r="B3462" i="2"/>
  <c r="S3461" i="2"/>
  <c r="P3461" i="2"/>
  <c r="M3461" i="2"/>
  <c r="L3461" i="2"/>
  <c r="K3461" i="2"/>
  <c r="G3461" i="2"/>
  <c r="E3461" i="2"/>
  <c r="B3461" i="2"/>
  <c r="S3460" i="2"/>
  <c r="P3460" i="2"/>
  <c r="M3460" i="2"/>
  <c r="L3460" i="2"/>
  <c r="K3460" i="2"/>
  <c r="G3460" i="2"/>
  <c r="E3460" i="2"/>
  <c r="B3460" i="2"/>
  <c r="S3459" i="2"/>
  <c r="P3459" i="2"/>
  <c r="M3459" i="2"/>
  <c r="L3459" i="2"/>
  <c r="K3459" i="2"/>
  <c r="G3459" i="2"/>
  <c r="E3459" i="2"/>
  <c r="B3459" i="2"/>
  <c r="S3458" i="2"/>
  <c r="P3458" i="2"/>
  <c r="M3458" i="2"/>
  <c r="L3458" i="2"/>
  <c r="K3458" i="2"/>
  <c r="G3458" i="2"/>
  <c r="E3458" i="2"/>
  <c r="B3458" i="2"/>
  <c r="S3457" i="2"/>
  <c r="P3457" i="2"/>
  <c r="M3457" i="2"/>
  <c r="L3457" i="2"/>
  <c r="K3457" i="2"/>
  <c r="G3457" i="2"/>
  <c r="E3457" i="2"/>
  <c r="B3457" i="2"/>
  <c r="S3456" i="2"/>
  <c r="P3456" i="2"/>
  <c r="M3456" i="2"/>
  <c r="L3456" i="2"/>
  <c r="K3456" i="2"/>
  <c r="G3456" i="2"/>
  <c r="E3456" i="2"/>
  <c r="B3456" i="2"/>
  <c r="S3455" i="2"/>
  <c r="P3455" i="2"/>
  <c r="M3455" i="2"/>
  <c r="L3455" i="2"/>
  <c r="K3455" i="2"/>
  <c r="G3455" i="2"/>
  <c r="E3455" i="2"/>
  <c r="B3455" i="2"/>
  <c r="S3454" i="2"/>
  <c r="P3454" i="2"/>
  <c r="M3454" i="2"/>
  <c r="L3454" i="2"/>
  <c r="K3454" i="2"/>
  <c r="G3454" i="2"/>
  <c r="E3454" i="2"/>
  <c r="B3454" i="2"/>
  <c r="S3453" i="2"/>
  <c r="P3453" i="2"/>
  <c r="M3453" i="2"/>
  <c r="L3453" i="2"/>
  <c r="K3453" i="2"/>
  <c r="G3453" i="2"/>
  <c r="E3453" i="2"/>
  <c r="B3453" i="2"/>
  <c r="S3452" i="2"/>
  <c r="P3452" i="2"/>
  <c r="M3452" i="2"/>
  <c r="L3452" i="2"/>
  <c r="K3452" i="2"/>
  <c r="G3452" i="2"/>
  <c r="E3452" i="2"/>
  <c r="B3452" i="2"/>
  <c r="S3451" i="2"/>
  <c r="P3451" i="2"/>
  <c r="M3451" i="2"/>
  <c r="L3451" i="2"/>
  <c r="K3451" i="2"/>
  <c r="G3451" i="2"/>
  <c r="E3451" i="2"/>
  <c r="B3451" i="2"/>
  <c r="S3450" i="2"/>
  <c r="P3450" i="2"/>
  <c r="M3450" i="2"/>
  <c r="L3450" i="2"/>
  <c r="K3450" i="2"/>
  <c r="G3450" i="2"/>
  <c r="E3450" i="2"/>
  <c r="B3450" i="2"/>
  <c r="S3449" i="2"/>
  <c r="P3449" i="2"/>
  <c r="M3449" i="2"/>
  <c r="L3449" i="2"/>
  <c r="K3449" i="2"/>
  <c r="G3449" i="2"/>
  <c r="E3449" i="2"/>
  <c r="B3449" i="2"/>
  <c r="S3448" i="2"/>
  <c r="P3448" i="2"/>
  <c r="M3448" i="2"/>
  <c r="L3448" i="2"/>
  <c r="K3448" i="2"/>
  <c r="G3448" i="2"/>
  <c r="E3448" i="2"/>
  <c r="B3448" i="2"/>
  <c r="S3447" i="2"/>
  <c r="P3447" i="2"/>
  <c r="M3447" i="2"/>
  <c r="L3447" i="2"/>
  <c r="K3447" i="2"/>
  <c r="G3447" i="2"/>
  <c r="E3447" i="2"/>
  <c r="B3447" i="2"/>
  <c r="S3446" i="2"/>
  <c r="P3446" i="2"/>
  <c r="M3446" i="2"/>
  <c r="L3446" i="2"/>
  <c r="K3446" i="2"/>
  <c r="G3446" i="2"/>
  <c r="E3446" i="2"/>
  <c r="B3446" i="2"/>
  <c r="S3445" i="2"/>
  <c r="P3445" i="2"/>
  <c r="M3445" i="2"/>
  <c r="L3445" i="2"/>
  <c r="K3445" i="2"/>
  <c r="G3445" i="2"/>
  <c r="E3445" i="2"/>
  <c r="B3445" i="2"/>
  <c r="S3444" i="2"/>
  <c r="P3444" i="2"/>
  <c r="M3444" i="2"/>
  <c r="L3444" i="2"/>
  <c r="K3444" i="2"/>
  <c r="G3444" i="2"/>
  <c r="E3444" i="2"/>
  <c r="B3444" i="2"/>
  <c r="S3443" i="2"/>
  <c r="P3443" i="2"/>
  <c r="M3443" i="2"/>
  <c r="L3443" i="2"/>
  <c r="K3443" i="2"/>
  <c r="G3443" i="2"/>
  <c r="E3443" i="2"/>
  <c r="B3443" i="2"/>
  <c r="S3442" i="2"/>
  <c r="P3442" i="2"/>
  <c r="M3442" i="2"/>
  <c r="L3442" i="2"/>
  <c r="K3442" i="2"/>
  <c r="G3442" i="2"/>
  <c r="E3442" i="2"/>
  <c r="B3442" i="2"/>
  <c r="S3441" i="2"/>
  <c r="P3441" i="2"/>
  <c r="M3441" i="2"/>
  <c r="L3441" i="2"/>
  <c r="K3441" i="2"/>
  <c r="G3441" i="2"/>
  <c r="E3441" i="2"/>
  <c r="B3441" i="2"/>
  <c r="S3440" i="2"/>
  <c r="P3440" i="2"/>
  <c r="M3440" i="2"/>
  <c r="L3440" i="2"/>
  <c r="K3440" i="2"/>
  <c r="G3440" i="2"/>
  <c r="E3440" i="2"/>
  <c r="B3440" i="2"/>
  <c r="S3439" i="2"/>
  <c r="P3439" i="2"/>
  <c r="M3439" i="2"/>
  <c r="L3439" i="2"/>
  <c r="K3439" i="2"/>
  <c r="G3439" i="2"/>
  <c r="E3439" i="2"/>
  <c r="B3439" i="2"/>
  <c r="S3438" i="2"/>
  <c r="P3438" i="2"/>
  <c r="M3438" i="2"/>
  <c r="L3438" i="2"/>
  <c r="K3438" i="2"/>
  <c r="G3438" i="2"/>
  <c r="E3438" i="2"/>
  <c r="B3438" i="2"/>
  <c r="S3437" i="2"/>
  <c r="P3437" i="2"/>
  <c r="M3437" i="2"/>
  <c r="L3437" i="2"/>
  <c r="K3437" i="2"/>
  <c r="G3437" i="2"/>
  <c r="E3437" i="2"/>
  <c r="B3437" i="2"/>
  <c r="S3436" i="2"/>
  <c r="P3436" i="2"/>
  <c r="M3436" i="2"/>
  <c r="L3436" i="2"/>
  <c r="K3436" i="2"/>
  <c r="G3436" i="2"/>
  <c r="E3436" i="2"/>
  <c r="B3436" i="2"/>
  <c r="S3435" i="2"/>
  <c r="P3435" i="2"/>
  <c r="M3435" i="2"/>
  <c r="L3435" i="2"/>
  <c r="K3435" i="2"/>
  <c r="G3435" i="2"/>
  <c r="E3435" i="2"/>
  <c r="B3435" i="2"/>
  <c r="S3434" i="2"/>
  <c r="P3434" i="2"/>
  <c r="M3434" i="2"/>
  <c r="L3434" i="2"/>
  <c r="K3434" i="2"/>
  <c r="G3434" i="2"/>
  <c r="E3434" i="2"/>
  <c r="B3434" i="2"/>
  <c r="S3433" i="2"/>
  <c r="P3433" i="2"/>
  <c r="M3433" i="2"/>
  <c r="L3433" i="2"/>
  <c r="K3433" i="2"/>
  <c r="G3433" i="2"/>
  <c r="E3433" i="2"/>
  <c r="B3433" i="2"/>
  <c r="S3432" i="2"/>
  <c r="P3432" i="2"/>
  <c r="M3432" i="2"/>
  <c r="L3432" i="2"/>
  <c r="K3432" i="2"/>
  <c r="G3432" i="2"/>
  <c r="E3432" i="2"/>
  <c r="B3432" i="2"/>
  <c r="S3431" i="2"/>
  <c r="P3431" i="2"/>
  <c r="M3431" i="2"/>
  <c r="L3431" i="2"/>
  <c r="K3431" i="2"/>
  <c r="G3431" i="2"/>
  <c r="E3431" i="2"/>
  <c r="B3431" i="2"/>
  <c r="S3430" i="2"/>
  <c r="P3430" i="2"/>
  <c r="M3430" i="2"/>
  <c r="L3430" i="2"/>
  <c r="K3430" i="2"/>
  <c r="G3430" i="2"/>
  <c r="E3430" i="2"/>
  <c r="B3430" i="2"/>
  <c r="S3429" i="2"/>
  <c r="P3429" i="2"/>
  <c r="M3429" i="2"/>
  <c r="L3429" i="2"/>
  <c r="K3429" i="2"/>
  <c r="G3429" i="2"/>
  <c r="E3429" i="2"/>
  <c r="B3429" i="2"/>
  <c r="S3428" i="2"/>
  <c r="P3428" i="2"/>
  <c r="M3428" i="2"/>
  <c r="L3428" i="2"/>
  <c r="K3428" i="2"/>
  <c r="G3428" i="2"/>
  <c r="E3428" i="2"/>
  <c r="B3428" i="2"/>
  <c r="S3427" i="2"/>
  <c r="P3427" i="2"/>
  <c r="M3427" i="2"/>
  <c r="L3427" i="2"/>
  <c r="K3427" i="2"/>
  <c r="G3427" i="2"/>
  <c r="E3427" i="2"/>
  <c r="B3427" i="2"/>
  <c r="S3426" i="2"/>
  <c r="P3426" i="2"/>
  <c r="M3426" i="2"/>
  <c r="L3426" i="2"/>
  <c r="K3426" i="2"/>
  <c r="G3426" i="2"/>
  <c r="E3426" i="2"/>
  <c r="B3426" i="2"/>
  <c r="S3425" i="2"/>
  <c r="P3425" i="2"/>
  <c r="M3425" i="2"/>
  <c r="L3425" i="2"/>
  <c r="K3425" i="2"/>
  <c r="G3425" i="2"/>
  <c r="E3425" i="2"/>
  <c r="B3425" i="2"/>
  <c r="S3424" i="2"/>
  <c r="P3424" i="2"/>
  <c r="M3424" i="2"/>
  <c r="L3424" i="2"/>
  <c r="K3424" i="2"/>
  <c r="G3424" i="2"/>
  <c r="E3424" i="2"/>
  <c r="B3424" i="2"/>
  <c r="S3423" i="2"/>
  <c r="P3423" i="2"/>
  <c r="M3423" i="2"/>
  <c r="L3423" i="2"/>
  <c r="K3423" i="2"/>
  <c r="G3423" i="2"/>
  <c r="E3423" i="2"/>
  <c r="B3423" i="2"/>
  <c r="S3422" i="2"/>
  <c r="P3422" i="2"/>
  <c r="M3422" i="2"/>
  <c r="L3422" i="2"/>
  <c r="K3422" i="2"/>
  <c r="G3422" i="2"/>
  <c r="E3422" i="2"/>
  <c r="B3422" i="2"/>
  <c r="S3421" i="2"/>
  <c r="P3421" i="2"/>
  <c r="M3421" i="2"/>
  <c r="L3421" i="2"/>
  <c r="K3421" i="2"/>
  <c r="G3421" i="2"/>
  <c r="E3421" i="2"/>
  <c r="B3421" i="2"/>
  <c r="S3420" i="2"/>
  <c r="P3420" i="2"/>
  <c r="M3420" i="2"/>
  <c r="L3420" i="2"/>
  <c r="K3420" i="2"/>
  <c r="G3420" i="2"/>
  <c r="E3420" i="2"/>
  <c r="B3420" i="2"/>
  <c r="S3419" i="2"/>
  <c r="P3419" i="2"/>
  <c r="M3419" i="2"/>
  <c r="L3419" i="2"/>
  <c r="K3419" i="2"/>
  <c r="G3419" i="2"/>
  <c r="E3419" i="2"/>
  <c r="B3419" i="2"/>
  <c r="S3418" i="2"/>
  <c r="P3418" i="2"/>
  <c r="M3418" i="2"/>
  <c r="L3418" i="2"/>
  <c r="K3418" i="2"/>
  <c r="G3418" i="2"/>
  <c r="E3418" i="2"/>
  <c r="B3418" i="2"/>
  <c r="S3417" i="2"/>
  <c r="P3417" i="2"/>
  <c r="M3417" i="2"/>
  <c r="L3417" i="2"/>
  <c r="K3417" i="2"/>
  <c r="G3417" i="2"/>
  <c r="E3417" i="2"/>
  <c r="B3417" i="2"/>
  <c r="S3416" i="2"/>
  <c r="P3416" i="2"/>
  <c r="M3416" i="2"/>
  <c r="L3416" i="2"/>
  <c r="K3416" i="2"/>
  <c r="G3416" i="2"/>
  <c r="E3416" i="2"/>
  <c r="B3416" i="2"/>
  <c r="S3415" i="2"/>
  <c r="P3415" i="2"/>
  <c r="M3415" i="2"/>
  <c r="L3415" i="2"/>
  <c r="K3415" i="2"/>
  <c r="G3415" i="2"/>
  <c r="E3415" i="2"/>
  <c r="B3415" i="2"/>
  <c r="S3414" i="2"/>
  <c r="P3414" i="2"/>
  <c r="M3414" i="2"/>
  <c r="L3414" i="2"/>
  <c r="K3414" i="2"/>
  <c r="G3414" i="2"/>
  <c r="E3414" i="2"/>
  <c r="B3414" i="2"/>
  <c r="S3413" i="2"/>
  <c r="P3413" i="2"/>
  <c r="M3413" i="2"/>
  <c r="L3413" i="2"/>
  <c r="K3413" i="2"/>
  <c r="G3413" i="2"/>
  <c r="E3413" i="2"/>
  <c r="B3413" i="2"/>
  <c r="S3412" i="2"/>
  <c r="P3412" i="2"/>
  <c r="M3412" i="2"/>
  <c r="L3412" i="2"/>
  <c r="K3412" i="2"/>
  <c r="G3412" i="2"/>
  <c r="E3412" i="2"/>
  <c r="B3412" i="2"/>
  <c r="S3411" i="2"/>
  <c r="P3411" i="2"/>
  <c r="M3411" i="2"/>
  <c r="L3411" i="2"/>
  <c r="K3411" i="2"/>
  <c r="G3411" i="2"/>
  <c r="E3411" i="2"/>
  <c r="B3411" i="2"/>
  <c r="S3410" i="2"/>
  <c r="P3410" i="2"/>
  <c r="M3410" i="2"/>
  <c r="L3410" i="2"/>
  <c r="K3410" i="2"/>
  <c r="G3410" i="2"/>
  <c r="E3410" i="2"/>
  <c r="B3410" i="2"/>
  <c r="S3409" i="2"/>
  <c r="P3409" i="2"/>
  <c r="M3409" i="2"/>
  <c r="L3409" i="2"/>
  <c r="K3409" i="2"/>
  <c r="G3409" i="2"/>
  <c r="E3409" i="2"/>
  <c r="B3409" i="2"/>
  <c r="S3408" i="2"/>
  <c r="P3408" i="2"/>
  <c r="M3408" i="2"/>
  <c r="L3408" i="2"/>
  <c r="K3408" i="2"/>
  <c r="G3408" i="2"/>
  <c r="E3408" i="2"/>
  <c r="B3408" i="2"/>
  <c r="S3407" i="2"/>
  <c r="P3407" i="2"/>
  <c r="M3407" i="2"/>
  <c r="L3407" i="2"/>
  <c r="K3407" i="2"/>
  <c r="G3407" i="2"/>
  <c r="E3407" i="2"/>
  <c r="B3407" i="2"/>
  <c r="S3406" i="2"/>
  <c r="P3406" i="2"/>
  <c r="M3406" i="2"/>
  <c r="L3406" i="2"/>
  <c r="K3406" i="2"/>
  <c r="G3406" i="2"/>
  <c r="E3406" i="2"/>
  <c r="B3406" i="2"/>
  <c r="S3405" i="2"/>
  <c r="P3405" i="2"/>
  <c r="M3405" i="2"/>
  <c r="L3405" i="2"/>
  <c r="K3405" i="2"/>
  <c r="G3405" i="2"/>
  <c r="E3405" i="2"/>
  <c r="B3405" i="2"/>
  <c r="S3404" i="2"/>
  <c r="P3404" i="2"/>
  <c r="M3404" i="2"/>
  <c r="L3404" i="2"/>
  <c r="K3404" i="2"/>
  <c r="G3404" i="2"/>
  <c r="E3404" i="2"/>
  <c r="B3404" i="2"/>
  <c r="S3403" i="2"/>
  <c r="P3403" i="2"/>
  <c r="M3403" i="2"/>
  <c r="L3403" i="2"/>
  <c r="K3403" i="2"/>
  <c r="G3403" i="2"/>
  <c r="E3403" i="2"/>
  <c r="B3403" i="2"/>
  <c r="S3402" i="2"/>
  <c r="P3402" i="2"/>
  <c r="M3402" i="2"/>
  <c r="L3402" i="2"/>
  <c r="K3402" i="2"/>
  <c r="G3402" i="2"/>
  <c r="E3402" i="2"/>
  <c r="B3402" i="2"/>
  <c r="S3401" i="2"/>
  <c r="P3401" i="2"/>
  <c r="M3401" i="2"/>
  <c r="L3401" i="2"/>
  <c r="K3401" i="2"/>
  <c r="G3401" i="2"/>
  <c r="E3401" i="2"/>
  <c r="B3401" i="2"/>
  <c r="S3400" i="2"/>
  <c r="P3400" i="2"/>
  <c r="M3400" i="2"/>
  <c r="L3400" i="2"/>
  <c r="K3400" i="2"/>
  <c r="G3400" i="2"/>
  <c r="E3400" i="2"/>
  <c r="B3400" i="2"/>
  <c r="S3399" i="2"/>
  <c r="P3399" i="2"/>
  <c r="M3399" i="2"/>
  <c r="L3399" i="2"/>
  <c r="K3399" i="2"/>
  <c r="G3399" i="2"/>
  <c r="E3399" i="2"/>
  <c r="B3399" i="2"/>
  <c r="S3398" i="2"/>
  <c r="P3398" i="2"/>
  <c r="M3398" i="2"/>
  <c r="L3398" i="2"/>
  <c r="K3398" i="2"/>
  <c r="G3398" i="2"/>
  <c r="E3398" i="2"/>
  <c r="B3398" i="2"/>
  <c r="S3397" i="2"/>
  <c r="P3397" i="2"/>
  <c r="M3397" i="2"/>
  <c r="L3397" i="2"/>
  <c r="K3397" i="2"/>
  <c r="G3397" i="2"/>
  <c r="E3397" i="2"/>
  <c r="B3397" i="2"/>
  <c r="S3396" i="2"/>
  <c r="P3396" i="2"/>
  <c r="M3396" i="2"/>
  <c r="L3396" i="2"/>
  <c r="K3396" i="2"/>
  <c r="G3396" i="2"/>
  <c r="E3396" i="2"/>
  <c r="B3396" i="2"/>
  <c r="S3395" i="2"/>
  <c r="P3395" i="2"/>
  <c r="M3395" i="2"/>
  <c r="L3395" i="2"/>
  <c r="K3395" i="2"/>
  <c r="G3395" i="2"/>
  <c r="E3395" i="2"/>
  <c r="B3395" i="2"/>
  <c r="S3394" i="2"/>
  <c r="P3394" i="2"/>
  <c r="M3394" i="2"/>
  <c r="L3394" i="2"/>
  <c r="K3394" i="2"/>
  <c r="G3394" i="2"/>
  <c r="E3394" i="2"/>
  <c r="B3394" i="2"/>
  <c r="S3393" i="2"/>
  <c r="P3393" i="2"/>
  <c r="M3393" i="2"/>
  <c r="L3393" i="2"/>
  <c r="K3393" i="2"/>
  <c r="G3393" i="2"/>
  <c r="E3393" i="2"/>
  <c r="B3393" i="2"/>
  <c r="S3392" i="2"/>
  <c r="P3392" i="2"/>
  <c r="M3392" i="2"/>
  <c r="L3392" i="2"/>
  <c r="K3392" i="2"/>
  <c r="G3392" i="2"/>
  <c r="E3392" i="2"/>
  <c r="B3392" i="2"/>
  <c r="S3391" i="2"/>
  <c r="P3391" i="2"/>
  <c r="M3391" i="2"/>
  <c r="L3391" i="2"/>
  <c r="K3391" i="2"/>
  <c r="G3391" i="2"/>
  <c r="E3391" i="2"/>
  <c r="B3391" i="2"/>
  <c r="S3390" i="2"/>
  <c r="P3390" i="2"/>
  <c r="M3390" i="2"/>
  <c r="L3390" i="2"/>
  <c r="K3390" i="2"/>
  <c r="G3390" i="2"/>
  <c r="E3390" i="2"/>
  <c r="B3390" i="2"/>
  <c r="S3389" i="2"/>
  <c r="P3389" i="2"/>
  <c r="M3389" i="2"/>
  <c r="L3389" i="2"/>
  <c r="K3389" i="2"/>
  <c r="G3389" i="2"/>
  <c r="E3389" i="2"/>
  <c r="B3389" i="2"/>
  <c r="S3388" i="2"/>
  <c r="P3388" i="2"/>
  <c r="M3388" i="2"/>
  <c r="L3388" i="2"/>
  <c r="K3388" i="2"/>
  <c r="G3388" i="2"/>
  <c r="E3388" i="2"/>
  <c r="B3388" i="2"/>
  <c r="S3387" i="2"/>
  <c r="P3387" i="2"/>
  <c r="M3387" i="2"/>
  <c r="L3387" i="2"/>
  <c r="K3387" i="2"/>
  <c r="G3387" i="2"/>
  <c r="E3387" i="2"/>
  <c r="B3387" i="2"/>
  <c r="S3386" i="2"/>
  <c r="P3386" i="2"/>
  <c r="M3386" i="2"/>
  <c r="L3386" i="2"/>
  <c r="K3386" i="2"/>
  <c r="G3386" i="2"/>
  <c r="E3386" i="2"/>
  <c r="B3386" i="2"/>
  <c r="S3385" i="2"/>
  <c r="P3385" i="2"/>
  <c r="M3385" i="2"/>
  <c r="L3385" i="2"/>
  <c r="K3385" i="2"/>
  <c r="G3385" i="2"/>
  <c r="E3385" i="2"/>
  <c r="B3385" i="2"/>
  <c r="S3384" i="2"/>
  <c r="P3384" i="2"/>
  <c r="M3384" i="2"/>
  <c r="L3384" i="2"/>
  <c r="K3384" i="2"/>
  <c r="G3384" i="2"/>
  <c r="E3384" i="2"/>
  <c r="B3384" i="2"/>
  <c r="S3383" i="2"/>
  <c r="P3383" i="2"/>
  <c r="M3383" i="2"/>
  <c r="L3383" i="2"/>
  <c r="K3383" i="2"/>
  <c r="G3383" i="2"/>
  <c r="E3383" i="2"/>
  <c r="B3383" i="2"/>
  <c r="S3382" i="2"/>
  <c r="P3382" i="2"/>
  <c r="M3382" i="2"/>
  <c r="L3382" i="2"/>
  <c r="K3382" i="2"/>
  <c r="G3382" i="2"/>
  <c r="E3382" i="2"/>
  <c r="B3382" i="2"/>
  <c r="S3381" i="2"/>
  <c r="P3381" i="2"/>
  <c r="M3381" i="2"/>
  <c r="L3381" i="2"/>
  <c r="K3381" i="2"/>
  <c r="G3381" i="2"/>
  <c r="E3381" i="2"/>
  <c r="B3381" i="2"/>
  <c r="S3380" i="2"/>
  <c r="P3380" i="2"/>
  <c r="M3380" i="2"/>
  <c r="L3380" i="2"/>
  <c r="K3380" i="2"/>
  <c r="G3380" i="2"/>
  <c r="E3380" i="2"/>
  <c r="B3380" i="2"/>
  <c r="S3379" i="2"/>
  <c r="P3379" i="2"/>
  <c r="M3379" i="2"/>
  <c r="L3379" i="2"/>
  <c r="K3379" i="2"/>
  <c r="G3379" i="2"/>
  <c r="E3379" i="2"/>
  <c r="B3379" i="2"/>
  <c r="S3378" i="2"/>
  <c r="P3378" i="2"/>
  <c r="M3378" i="2"/>
  <c r="L3378" i="2"/>
  <c r="K3378" i="2"/>
  <c r="G3378" i="2"/>
  <c r="E3378" i="2"/>
  <c r="B3378" i="2"/>
  <c r="S3377" i="2"/>
  <c r="P3377" i="2"/>
  <c r="M3377" i="2"/>
  <c r="L3377" i="2"/>
  <c r="K3377" i="2"/>
  <c r="G3377" i="2"/>
  <c r="E3377" i="2"/>
  <c r="B3377" i="2"/>
  <c r="S3376" i="2"/>
  <c r="P3376" i="2"/>
  <c r="M3376" i="2"/>
  <c r="L3376" i="2"/>
  <c r="K3376" i="2"/>
  <c r="G3376" i="2"/>
  <c r="E3376" i="2"/>
  <c r="B3376" i="2"/>
  <c r="S3375" i="2"/>
  <c r="P3375" i="2"/>
  <c r="M3375" i="2"/>
  <c r="L3375" i="2"/>
  <c r="K3375" i="2"/>
  <c r="G3375" i="2"/>
  <c r="E3375" i="2"/>
  <c r="B3375" i="2"/>
  <c r="S3374" i="2"/>
  <c r="P3374" i="2"/>
  <c r="M3374" i="2"/>
  <c r="L3374" i="2"/>
  <c r="K3374" i="2"/>
  <c r="G3374" i="2"/>
  <c r="E3374" i="2"/>
  <c r="B3374" i="2"/>
  <c r="S3373" i="2"/>
  <c r="P3373" i="2"/>
  <c r="M3373" i="2"/>
  <c r="L3373" i="2"/>
  <c r="K3373" i="2"/>
  <c r="G3373" i="2"/>
  <c r="E3373" i="2"/>
  <c r="B3373" i="2"/>
  <c r="S3372" i="2"/>
  <c r="P3372" i="2"/>
  <c r="M3372" i="2"/>
  <c r="L3372" i="2"/>
  <c r="K3372" i="2"/>
  <c r="G3372" i="2"/>
  <c r="E3372" i="2"/>
  <c r="B3372" i="2"/>
  <c r="S3371" i="2"/>
  <c r="P3371" i="2"/>
  <c r="M3371" i="2"/>
  <c r="L3371" i="2"/>
  <c r="K3371" i="2"/>
  <c r="G3371" i="2"/>
  <c r="E3371" i="2"/>
  <c r="B3371" i="2"/>
  <c r="S3370" i="2"/>
  <c r="P3370" i="2"/>
  <c r="M3370" i="2"/>
  <c r="L3370" i="2"/>
  <c r="K3370" i="2"/>
  <c r="G3370" i="2"/>
  <c r="E3370" i="2"/>
  <c r="B3370" i="2"/>
  <c r="S3369" i="2"/>
  <c r="P3369" i="2"/>
  <c r="M3369" i="2"/>
  <c r="L3369" i="2"/>
  <c r="K3369" i="2"/>
  <c r="G3369" i="2"/>
  <c r="E3369" i="2"/>
  <c r="B3369" i="2"/>
  <c r="S3368" i="2"/>
  <c r="P3368" i="2"/>
  <c r="M3368" i="2"/>
  <c r="L3368" i="2"/>
  <c r="K3368" i="2"/>
  <c r="G3368" i="2"/>
  <c r="E3368" i="2"/>
  <c r="B3368" i="2"/>
  <c r="S3367" i="2"/>
  <c r="P3367" i="2"/>
  <c r="M3367" i="2"/>
  <c r="L3367" i="2"/>
  <c r="K3367" i="2"/>
  <c r="G3367" i="2"/>
  <c r="E3367" i="2"/>
  <c r="B3367" i="2"/>
  <c r="S3366" i="2"/>
  <c r="P3366" i="2"/>
  <c r="M3366" i="2"/>
  <c r="L3366" i="2"/>
  <c r="K3366" i="2"/>
  <c r="G3366" i="2"/>
  <c r="E3366" i="2"/>
  <c r="B3366" i="2"/>
  <c r="S3365" i="2"/>
  <c r="P3365" i="2"/>
  <c r="M3365" i="2"/>
  <c r="L3365" i="2"/>
  <c r="K3365" i="2"/>
  <c r="G3365" i="2"/>
  <c r="E3365" i="2"/>
  <c r="B3365" i="2"/>
  <c r="S3364" i="2"/>
  <c r="P3364" i="2"/>
  <c r="M3364" i="2"/>
  <c r="L3364" i="2"/>
  <c r="K3364" i="2"/>
  <c r="G3364" i="2"/>
  <c r="E3364" i="2"/>
  <c r="B3364" i="2"/>
  <c r="S3363" i="2"/>
  <c r="P3363" i="2"/>
  <c r="M3363" i="2"/>
  <c r="L3363" i="2"/>
  <c r="K3363" i="2"/>
  <c r="G3363" i="2"/>
  <c r="E3363" i="2"/>
  <c r="B3363" i="2"/>
  <c r="S3362" i="2"/>
  <c r="P3362" i="2"/>
  <c r="M3362" i="2"/>
  <c r="L3362" i="2"/>
  <c r="K3362" i="2"/>
  <c r="G3362" i="2"/>
  <c r="E3362" i="2"/>
  <c r="B3362" i="2"/>
  <c r="S3361" i="2"/>
  <c r="P3361" i="2"/>
  <c r="M3361" i="2"/>
  <c r="L3361" i="2"/>
  <c r="K3361" i="2"/>
  <c r="G3361" i="2"/>
  <c r="E3361" i="2"/>
  <c r="B3361" i="2"/>
  <c r="S3360" i="2"/>
  <c r="P3360" i="2"/>
  <c r="M3360" i="2"/>
  <c r="L3360" i="2"/>
  <c r="K3360" i="2"/>
  <c r="G3360" i="2"/>
  <c r="E3360" i="2"/>
  <c r="B3360" i="2"/>
  <c r="S3359" i="2"/>
  <c r="P3359" i="2"/>
  <c r="M3359" i="2"/>
  <c r="L3359" i="2"/>
  <c r="K3359" i="2"/>
  <c r="G3359" i="2"/>
  <c r="E3359" i="2"/>
  <c r="B3359" i="2"/>
  <c r="S3358" i="2"/>
  <c r="P3358" i="2"/>
  <c r="M3358" i="2"/>
  <c r="L3358" i="2"/>
  <c r="K3358" i="2"/>
  <c r="G3358" i="2"/>
  <c r="E3358" i="2"/>
  <c r="B3358" i="2"/>
  <c r="S3357" i="2"/>
  <c r="P3357" i="2"/>
  <c r="M3357" i="2"/>
  <c r="L3357" i="2"/>
  <c r="K3357" i="2"/>
  <c r="G3357" i="2"/>
  <c r="E3357" i="2"/>
  <c r="B3357" i="2"/>
  <c r="S3356" i="2"/>
  <c r="P3356" i="2"/>
  <c r="M3356" i="2"/>
  <c r="L3356" i="2"/>
  <c r="K3356" i="2"/>
  <c r="G3356" i="2"/>
  <c r="E3356" i="2"/>
  <c r="B3356" i="2"/>
  <c r="S3355" i="2"/>
  <c r="P3355" i="2"/>
  <c r="M3355" i="2"/>
  <c r="L3355" i="2"/>
  <c r="K3355" i="2"/>
  <c r="G3355" i="2"/>
  <c r="E3355" i="2"/>
  <c r="B3355" i="2"/>
  <c r="S3354" i="2"/>
  <c r="P3354" i="2"/>
  <c r="M3354" i="2"/>
  <c r="L3354" i="2"/>
  <c r="K3354" i="2"/>
  <c r="G3354" i="2"/>
  <c r="E3354" i="2"/>
  <c r="B3354" i="2"/>
  <c r="S3353" i="2"/>
  <c r="P3353" i="2"/>
  <c r="M3353" i="2"/>
  <c r="L3353" i="2"/>
  <c r="K3353" i="2"/>
  <c r="G3353" i="2"/>
  <c r="E3353" i="2"/>
  <c r="B3353" i="2"/>
  <c r="S3352" i="2"/>
  <c r="P3352" i="2"/>
  <c r="M3352" i="2"/>
  <c r="L3352" i="2"/>
  <c r="K3352" i="2"/>
  <c r="G3352" i="2"/>
  <c r="E3352" i="2"/>
  <c r="B3352" i="2"/>
  <c r="S3351" i="2"/>
  <c r="P3351" i="2"/>
  <c r="M3351" i="2"/>
  <c r="L3351" i="2"/>
  <c r="K3351" i="2"/>
  <c r="G3351" i="2"/>
  <c r="E3351" i="2"/>
  <c r="B3351" i="2"/>
  <c r="S3350" i="2"/>
  <c r="P3350" i="2"/>
  <c r="M3350" i="2"/>
  <c r="L3350" i="2"/>
  <c r="K3350" i="2"/>
  <c r="G3350" i="2"/>
  <c r="E3350" i="2"/>
  <c r="B3350" i="2"/>
  <c r="S3349" i="2"/>
  <c r="P3349" i="2"/>
  <c r="M3349" i="2"/>
  <c r="L3349" i="2"/>
  <c r="K3349" i="2"/>
  <c r="G3349" i="2"/>
  <c r="E3349" i="2"/>
  <c r="B3349" i="2"/>
  <c r="S3348" i="2"/>
  <c r="P3348" i="2"/>
  <c r="M3348" i="2"/>
  <c r="L3348" i="2"/>
  <c r="K3348" i="2"/>
  <c r="G3348" i="2"/>
  <c r="E3348" i="2"/>
  <c r="B3348" i="2"/>
  <c r="S3347" i="2"/>
  <c r="P3347" i="2"/>
  <c r="M3347" i="2"/>
  <c r="L3347" i="2"/>
  <c r="K3347" i="2"/>
  <c r="G3347" i="2"/>
  <c r="E3347" i="2"/>
  <c r="B3347" i="2"/>
  <c r="S3346" i="2"/>
  <c r="P3346" i="2"/>
  <c r="M3346" i="2"/>
  <c r="L3346" i="2"/>
  <c r="K3346" i="2"/>
  <c r="G3346" i="2"/>
  <c r="E3346" i="2"/>
  <c r="B3346" i="2"/>
  <c r="S3345" i="2"/>
  <c r="P3345" i="2"/>
  <c r="M3345" i="2"/>
  <c r="L3345" i="2"/>
  <c r="K3345" i="2"/>
  <c r="G3345" i="2"/>
  <c r="E3345" i="2"/>
  <c r="B3345" i="2"/>
  <c r="S3344" i="2"/>
  <c r="P3344" i="2"/>
  <c r="M3344" i="2"/>
  <c r="L3344" i="2"/>
  <c r="K3344" i="2"/>
  <c r="G3344" i="2"/>
  <c r="E3344" i="2"/>
  <c r="B3344" i="2"/>
  <c r="S3343" i="2"/>
  <c r="P3343" i="2"/>
  <c r="M3343" i="2"/>
  <c r="L3343" i="2"/>
  <c r="K3343" i="2"/>
  <c r="G3343" i="2"/>
  <c r="E3343" i="2"/>
  <c r="B3343" i="2"/>
  <c r="S3342" i="2"/>
  <c r="P3342" i="2"/>
  <c r="M3342" i="2"/>
  <c r="L3342" i="2"/>
  <c r="K3342" i="2"/>
  <c r="G3342" i="2"/>
  <c r="E3342" i="2"/>
  <c r="B3342" i="2"/>
  <c r="S3341" i="2"/>
  <c r="P3341" i="2"/>
  <c r="M3341" i="2"/>
  <c r="L3341" i="2"/>
  <c r="K3341" i="2"/>
  <c r="G3341" i="2"/>
  <c r="E3341" i="2"/>
  <c r="B3341" i="2"/>
  <c r="S3340" i="2"/>
  <c r="P3340" i="2"/>
  <c r="M3340" i="2"/>
  <c r="L3340" i="2"/>
  <c r="K3340" i="2"/>
  <c r="G3340" i="2"/>
  <c r="E3340" i="2"/>
  <c r="B3340" i="2"/>
  <c r="S3339" i="2"/>
  <c r="P3339" i="2"/>
  <c r="M3339" i="2"/>
  <c r="L3339" i="2"/>
  <c r="K3339" i="2"/>
  <c r="G3339" i="2"/>
  <c r="E3339" i="2"/>
  <c r="B3339" i="2"/>
  <c r="S3338" i="2"/>
  <c r="P3338" i="2"/>
  <c r="M3338" i="2"/>
  <c r="L3338" i="2"/>
  <c r="K3338" i="2"/>
  <c r="G3338" i="2"/>
  <c r="E3338" i="2"/>
  <c r="B3338" i="2"/>
  <c r="S3337" i="2"/>
  <c r="P3337" i="2"/>
  <c r="M3337" i="2"/>
  <c r="L3337" i="2"/>
  <c r="K3337" i="2"/>
  <c r="G3337" i="2"/>
  <c r="E3337" i="2"/>
  <c r="B3337" i="2"/>
  <c r="S3336" i="2"/>
  <c r="P3336" i="2"/>
  <c r="M3336" i="2"/>
  <c r="L3336" i="2"/>
  <c r="K3336" i="2"/>
  <c r="G3336" i="2"/>
  <c r="E3336" i="2"/>
  <c r="B3336" i="2"/>
  <c r="S3335" i="2"/>
  <c r="P3335" i="2"/>
  <c r="M3335" i="2"/>
  <c r="L3335" i="2"/>
  <c r="K3335" i="2"/>
  <c r="G3335" i="2"/>
  <c r="E3335" i="2"/>
  <c r="B3335" i="2"/>
  <c r="S3334" i="2"/>
  <c r="P3334" i="2"/>
  <c r="M3334" i="2"/>
  <c r="L3334" i="2"/>
  <c r="K3334" i="2"/>
  <c r="G3334" i="2"/>
  <c r="E3334" i="2"/>
  <c r="B3334" i="2"/>
  <c r="S3333" i="2"/>
  <c r="P3333" i="2"/>
  <c r="M3333" i="2"/>
  <c r="L3333" i="2"/>
  <c r="K3333" i="2"/>
  <c r="G3333" i="2"/>
  <c r="E3333" i="2"/>
  <c r="B3333" i="2"/>
  <c r="S3332" i="2"/>
  <c r="P3332" i="2"/>
  <c r="M3332" i="2"/>
  <c r="L3332" i="2"/>
  <c r="K3332" i="2"/>
  <c r="G3332" i="2"/>
  <c r="E3332" i="2"/>
  <c r="B3332" i="2"/>
  <c r="S3331" i="2"/>
  <c r="P3331" i="2"/>
  <c r="M3331" i="2"/>
  <c r="L3331" i="2"/>
  <c r="K3331" i="2"/>
  <c r="G3331" i="2"/>
  <c r="E3331" i="2"/>
  <c r="B3331" i="2"/>
  <c r="S3330" i="2"/>
  <c r="P3330" i="2"/>
  <c r="M3330" i="2"/>
  <c r="L3330" i="2"/>
  <c r="K3330" i="2"/>
  <c r="G3330" i="2"/>
  <c r="E3330" i="2"/>
  <c r="B3330" i="2"/>
  <c r="S3329" i="2"/>
  <c r="P3329" i="2"/>
  <c r="M3329" i="2"/>
  <c r="L3329" i="2"/>
  <c r="K3329" i="2"/>
  <c r="G3329" i="2"/>
  <c r="E3329" i="2"/>
  <c r="B3329" i="2"/>
  <c r="S3328" i="2"/>
  <c r="P3328" i="2"/>
  <c r="M3328" i="2"/>
  <c r="L3328" i="2"/>
  <c r="K3328" i="2"/>
  <c r="G3328" i="2"/>
  <c r="E3328" i="2"/>
  <c r="B3328" i="2"/>
  <c r="S3327" i="2"/>
  <c r="P3327" i="2"/>
  <c r="M3327" i="2"/>
  <c r="L3327" i="2"/>
  <c r="K3327" i="2"/>
  <c r="G3327" i="2"/>
  <c r="E3327" i="2"/>
  <c r="B3327" i="2"/>
  <c r="S3326" i="2"/>
  <c r="P3326" i="2"/>
  <c r="M3326" i="2"/>
  <c r="L3326" i="2"/>
  <c r="K3326" i="2"/>
  <c r="G3326" i="2"/>
  <c r="E3326" i="2"/>
  <c r="B3326" i="2"/>
  <c r="S3325" i="2"/>
  <c r="P3325" i="2"/>
  <c r="M3325" i="2"/>
  <c r="L3325" i="2"/>
  <c r="K3325" i="2"/>
  <c r="G3325" i="2"/>
  <c r="E3325" i="2"/>
  <c r="B3325" i="2"/>
  <c r="S3324" i="2"/>
  <c r="P3324" i="2"/>
  <c r="M3324" i="2"/>
  <c r="L3324" i="2"/>
  <c r="K3324" i="2"/>
  <c r="G3324" i="2"/>
  <c r="E3324" i="2"/>
  <c r="B3324" i="2"/>
  <c r="S3323" i="2"/>
  <c r="P3323" i="2"/>
  <c r="M3323" i="2"/>
  <c r="L3323" i="2"/>
  <c r="K3323" i="2"/>
  <c r="G3323" i="2"/>
  <c r="E3323" i="2"/>
  <c r="B3323" i="2"/>
  <c r="S3322" i="2"/>
  <c r="P3322" i="2"/>
  <c r="M3322" i="2"/>
  <c r="L3322" i="2"/>
  <c r="K3322" i="2"/>
  <c r="G3322" i="2"/>
  <c r="E3322" i="2"/>
  <c r="B3322" i="2"/>
  <c r="S3321" i="2"/>
  <c r="P3321" i="2"/>
  <c r="M3321" i="2"/>
  <c r="L3321" i="2"/>
  <c r="K3321" i="2"/>
  <c r="G3321" i="2"/>
  <c r="E3321" i="2"/>
  <c r="B3321" i="2"/>
  <c r="S3320" i="2"/>
  <c r="P3320" i="2"/>
  <c r="M3320" i="2"/>
  <c r="L3320" i="2"/>
  <c r="K3320" i="2"/>
  <c r="G3320" i="2"/>
  <c r="E3320" i="2"/>
  <c r="B3320" i="2"/>
  <c r="S3319" i="2"/>
  <c r="P3319" i="2"/>
  <c r="M3319" i="2"/>
  <c r="L3319" i="2"/>
  <c r="K3319" i="2"/>
  <c r="G3319" i="2"/>
  <c r="E3319" i="2"/>
  <c r="B3319" i="2"/>
  <c r="S3318" i="2"/>
  <c r="P3318" i="2"/>
  <c r="M3318" i="2"/>
  <c r="L3318" i="2"/>
  <c r="K3318" i="2"/>
  <c r="G3318" i="2"/>
  <c r="E3318" i="2"/>
  <c r="B3318" i="2"/>
  <c r="S3317" i="2"/>
  <c r="P3317" i="2"/>
  <c r="M3317" i="2"/>
  <c r="L3317" i="2"/>
  <c r="K3317" i="2"/>
  <c r="G3317" i="2"/>
  <c r="E3317" i="2"/>
  <c r="B3317" i="2"/>
  <c r="S3316" i="2"/>
  <c r="P3316" i="2"/>
  <c r="M3316" i="2"/>
  <c r="L3316" i="2"/>
  <c r="K3316" i="2"/>
  <c r="G3316" i="2"/>
  <c r="E3316" i="2"/>
  <c r="B3316" i="2"/>
  <c r="S3315" i="2"/>
  <c r="P3315" i="2"/>
  <c r="M3315" i="2"/>
  <c r="L3315" i="2"/>
  <c r="K3315" i="2"/>
  <c r="G3315" i="2"/>
  <c r="E3315" i="2"/>
  <c r="B3315" i="2"/>
  <c r="S3314" i="2"/>
  <c r="P3314" i="2"/>
  <c r="M3314" i="2"/>
  <c r="L3314" i="2"/>
  <c r="K3314" i="2"/>
  <c r="G3314" i="2"/>
  <c r="E3314" i="2"/>
  <c r="B3314" i="2"/>
  <c r="S3313" i="2"/>
  <c r="P3313" i="2"/>
  <c r="M3313" i="2"/>
  <c r="L3313" i="2"/>
  <c r="K3313" i="2"/>
  <c r="G3313" i="2"/>
  <c r="E3313" i="2"/>
  <c r="B3313" i="2"/>
  <c r="S3312" i="2"/>
  <c r="P3312" i="2"/>
  <c r="M3312" i="2"/>
  <c r="L3312" i="2"/>
  <c r="K3312" i="2"/>
  <c r="G3312" i="2"/>
  <c r="E3312" i="2"/>
  <c r="B3312" i="2"/>
  <c r="S3311" i="2"/>
  <c r="P3311" i="2"/>
  <c r="M3311" i="2"/>
  <c r="L3311" i="2"/>
  <c r="K3311" i="2"/>
  <c r="G3311" i="2"/>
  <c r="E3311" i="2"/>
  <c r="B3311" i="2"/>
  <c r="S3310" i="2"/>
  <c r="P3310" i="2"/>
  <c r="M3310" i="2"/>
  <c r="L3310" i="2"/>
  <c r="K3310" i="2"/>
  <c r="G3310" i="2"/>
  <c r="E3310" i="2"/>
  <c r="B3310" i="2"/>
  <c r="S3309" i="2"/>
  <c r="P3309" i="2"/>
  <c r="M3309" i="2"/>
  <c r="L3309" i="2"/>
  <c r="K3309" i="2"/>
  <c r="G3309" i="2"/>
  <c r="E3309" i="2"/>
  <c r="B3309" i="2"/>
  <c r="S3308" i="2"/>
  <c r="P3308" i="2"/>
  <c r="M3308" i="2"/>
  <c r="L3308" i="2"/>
  <c r="K3308" i="2"/>
  <c r="G3308" i="2"/>
  <c r="E3308" i="2"/>
  <c r="B3308" i="2"/>
  <c r="S3307" i="2"/>
  <c r="P3307" i="2"/>
  <c r="M3307" i="2"/>
  <c r="L3307" i="2"/>
  <c r="K3307" i="2"/>
  <c r="G3307" i="2"/>
  <c r="E3307" i="2"/>
  <c r="B3307" i="2"/>
  <c r="S3306" i="2"/>
  <c r="P3306" i="2"/>
  <c r="M3306" i="2"/>
  <c r="L3306" i="2"/>
  <c r="K3306" i="2"/>
  <c r="G3306" i="2"/>
  <c r="E3306" i="2"/>
  <c r="B3306" i="2"/>
  <c r="S3305" i="2"/>
  <c r="P3305" i="2"/>
  <c r="M3305" i="2"/>
  <c r="L3305" i="2"/>
  <c r="K3305" i="2"/>
  <c r="G3305" i="2"/>
  <c r="E3305" i="2"/>
  <c r="B3305" i="2"/>
  <c r="S3304" i="2"/>
  <c r="P3304" i="2"/>
  <c r="M3304" i="2"/>
  <c r="L3304" i="2"/>
  <c r="K3304" i="2"/>
  <c r="G3304" i="2"/>
  <c r="E3304" i="2"/>
  <c r="B3304" i="2"/>
  <c r="S3303" i="2"/>
  <c r="P3303" i="2"/>
  <c r="M3303" i="2"/>
  <c r="L3303" i="2"/>
  <c r="K3303" i="2"/>
  <c r="G3303" i="2"/>
  <c r="E3303" i="2"/>
  <c r="B3303" i="2"/>
  <c r="S3302" i="2"/>
  <c r="P3302" i="2"/>
  <c r="M3302" i="2"/>
  <c r="L3302" i="2"/>
  <c r="K3302" i="2"/>
  <c r="G3302" i="2"/>
  <c r="E3302" i="2"/>
  <c r="B3302" i="2"/>
  <c r="S3301" i="2"/>
  <c r="P3301" i="2"/>
  <c r="M3301" i="2"/>
  <c r="L3301" i="2"/>
  <c r="K3301" i="2"/>
  <c r="G3301" i="2"/>
  <c r="E3301" i="2"/>
  <c r="B3301" i="2"/>
  <c r="S3300" i="2"/>
  <c r="P3300" i="2"/>
  <c r="M3300" i="2"/>
  <c r="L3300" i="2"/>
  <c r="K3300" i="2"/>
  <c r="G3300" i="2"/>
  <c r="E3300" i="2"/>
  <c r="B3300" i="2"/>
  <c r="S3299" i="2"/>
  <c r="P3299" i="2"/>
  <c r="M3299" i="2"/>
  <c r="L3299" i="2"/>
  <c r="K3299" i="2"/>
  <c r="G3299" i="2"/>
  <c r="E3299" i="2"/>
  <c r="B3299" i="2"/>
  <c r="S3298" i="2"/>
  <c r="P3298" i="2"/>
  <c r="M3298" i="2"/>
  <c r="L3298" i="2"/>
  <c r="K3298" i="2"/>
  <c r="G3298" i="2"/>
  <c r="E3298" i="2"/>
  <c r="B3298" i="2"/>
  <c r="S3297" i="2"/>
  <c r="P3297" i="2"/>
  <c r="M3297" i="2"/>
  <c r="L3297" i="2"/>
  <c r="K3297" i="2"/>
  <c r="G3297" i="2"/>
  <c r="E3297" i="2"/>
  <c r="B3297" i="2"/>
  <c r="S3296" i="2"/>
  <c r="P3296" i="2"/>
  <c r="M3296" i="2"/>
  <c r="L3296" i="2"/>
  <c r="K3296" i="2"/>
  <c r="G3296" i="2"/>
  <c r="E3296" i="2"/>
  <c r="B3296" i="2"/>
  <c r="S3295" i="2"/>
  <c r="P3295" i="2"/>
  <c r="M3295" i="2"/>
  <c r="L3295" i="2"/>
  <c r="K3295" i="2"/>
  <c r="G3295" i="2"/>
  <c r="E3295" i="2"/>
  <c r="B3295" i="2"/>
  <c r="S3294" i="2"/>
  <c r="P3294" i="2"/>
  <c r="M3294" i="2"/>
  <c r="L3294" i="2"/>
  <c r="K3294" i="2"/>
  <c r="G3294" i="2"/>
  <c r="E3294" i="2"/>
  <c r="B3294" i="2"/>
  <c r="S3293" i="2"/>
  <c r="P3293" i="2"/>
  <c r="M3293" i="2"/>
  <c r="L3293" i="2"/>
  <c r="K3293" i="2"/>
  <c r="G3293" i="2"/>
  <c r="E3293" i="2"/>
  <c r="B3293" i="2"/>
  <c r="S3292" i="2"/>
  <c r="P3292" i="2"/>
  <c r="M3292" i="2"/>
  <c r="L3292" i="2"/>
  <c r="K3292" i="2"/>
  <c r="G3292" i="2"/>
  <c r="E3292" i="2"/>
  <c r="B3292" i="2"/>
  <c r="S3291" i="2"/>
  <c r="P3291" i="2"/>
  <c r="M3291" i="2"/>
  <c r="L3291" i="2"/>
  <c r="K3291" i="2"/>
  <c r="G3291" i="2"/>
  <c r="E3291" i="2"/>
  <c r="B3291" i="2"/>
  <c r="S3290" i="2"/>
  <c r="P3290" i="2"/>
  <c r="M3290" i="2"/>
  <c r="L3290" i="2"/>
  <c r="K3290" i="2"/>
  <c r="G3290" i="2"/>
  <c r="E3290" i="2"/>
  <c r="B3290" i="2"/>
  <c r="S3289" i="2"/>
  <c r="P3289" i="2"/>
  <c r="M3289" i="2"/>
  <c r="L3289" i="2"/>
  <c r="K3289" i="2"/>
  <c r="G3289" i="2"/>
  <c r="E3289" i="2"/>
  <c r="B3289" i="2"/>
  <c r="S3288" i="2"/>
  <c r="P3288" i="2"/>
  <c r="M3288" i="2"/>
  <c r="L3288" i="2"/>
  <c r="K3288" i="2"/>
  <c r="G3288" i="2"/>
  <c r="E3288" i="2"/>
  <c r="B3288" i="2"/>
  <c r="S3287" i="2"/>
  <c r="P3287" i="2"/>
  <c r="M3287" i="2"/>
  <c r="L3287" i="2"/>
  <c r="K3287" i="2"/>
  <c r="G3287" i="2"/>
  <c r="E3287" i="2"/>
  <c r="B3287" i="2"/>
  <c r="S3286" i="2"/>
  <c r="P3286" i="2"/>
  <c r="M3286" i="2"/>
  <c r="L3286" i="2"/>
  <c r="K3286" i="2"/>
  <c r="G3286" i="2"/>
  <c r="E3286" i="2"/>
  <c r="B3286" i="2"/>
  <c r="S3285" i="2"/>
  <c r="P3285" i="2"/>
  <c r="M3285" i="2"/>
  <c r="L3285" i="2"/>
  <c r="K3285" i="2"/>
  <c r="G3285" i="2"/>
  <c r="E3285" i="2"/>
  <c r="B3285" i="2"/>
  <c r="S3284" i="2"/>
  <c r="P3284" i="2"/>
  <c r="M3284" i="2"/>
  <c r="L3284" i="2"/>
  <c r="K3284" i="2"/>
  <c r="G3284" i="2"/>
  <c r="E3284" i="2"/>
  <c r="B3284" i="2"/>
  <c r="S3283" i="2"/>
  <c r="P3283" i="2"/>
  <c r="M3283" i="2"/>
  <c r="L3283" i="2"/>
  <c r="K3283" i="2"/>
  <c r="G3283" i="2"/>
  <c r="E3283" i="2"/>
  <c r="B3283" i="2"/>
  <c r="S3282" i="2"/>
  <c r="P3282" i="2"/>
  <c r="M3282" i="2"/>
  <c r="L3282" i="2"/>
  <c r="K3282" i="2"/>
  <c r="G3282" i="2"/>
  <c r="E3282" i="2"/>
  <c r="B3282" i="2"/>
  <c r="S3281" i="2"/>
  <c r="P3281" i="2"/>
  <c r="M3281" i="2"/>
  <c r="L3281" i="2"/>
  <c r="K3281" i="2"/>
  <c r="G3281" i="2"/>
  <c r="E3281" i="2"/>
  <c r="B3281" i="2"/>
  <c r="S3280" i="2"/>
  <c r="P3280" i="2"/>
  <c r="M3280" i="2"/>
  <c r="L3280" i="2"/>
  <c r="K3280" i="2"/>
  <c r="G3280" i="2"/>
  <c r="E3280" i="2"/>
  <c r="B3280" i="2"/>
  <c r="S3279" i="2"/>
  <c r="P3279" i="2"/>
  <c r="M3279" i="2"/>
  <c r="L3279" i="2"/>
  <c r="K3279" i="2"/>
  <c r="G3279" i="2"/>
  <c r="E3279" i="2"/>
  <c r="B3279" i="2"/>
  <c r="S3278" i="2"/>
  <c r="P3278" i="2"/>
  <c r="M3278" i="2"/>
  <c r="L3278" i="2"/>
  <c r="K3278" i="2"/>
  <c r="G3278" i="2"/>
  <c r="E3278" i="2"/>
  <c r="B3278" i="2"/>
  <c r="S3277" i="2"/>
  <c r="P3277" i="2"/>
  <c r="M3277" i="2"/>
  <c r="L3277" i="2"/>
  <c r="K3277" i="2"/>
  <c r="G3277" i="2"/>
  <c r="E3277" i="2"/>
  <c r="B3277" i="2"/>
  <c r="S3276" i="2"/>
  <c r="P3276" i="2"/>
  <c r="M3276" i="2"/>
  <c r="L3276" i="2"/>
  <c r="K3276" i="2"/>
  <c r="G3276" i="2"/>
  <c r="E3276" i="2"/>
  <c r="B3276" i="2"/>
  <c r="S3275" i="2"/>
  <c r="P3275" i="2"/>
  <c r="M3275" i="2"/>
  <c r="L3275" i="2"/>
  <c r="K3275" i="2"/>
  <c r="G3275" i="2"/>
  <c r="E3275" i="2"/>
  <c r="B3275" i="2"/>
  <c r="S3274" i="2"/>
  <c r="P3274" i="2"/>
  <c r="M3274" i="2"/>
  <c r="L3274" i="2"/>
  <c r="K3274" i="2"/>
  <c r="G3274" i="2"/>
  <c r="E3274" i="2"/>
  <c r="B3274" i="2"/>
  <c r="S3273" i="2"/>
  <c r="P3273" i="2"/>
  <c r="M3273" i="2"/>
  <c r="L3273" i="2"/>
  <c r="K3273" i="2"/>
  <c r="G3273" i="2"/>
  <c r="E3273" i="2"/>
  <c r="B3273" i="2"/>
  <c r="S3272" i="2"/>
  <c r="P3272" i="2"/>
  <c r="M3272" i="2"/>
  <c r="L3272" i="2"/>
  <c r="K3272" i="2"/>
  <c r="G3272" i="2"/>
  <c r="E3272" i="2"/>
  <c r="B3272" i="2"/>
  <c r="S3271" i="2"/>
  <c r="P3271" i="2"/>
  <c r="M3271" i="2"/>
  <c r="L3271" i="2"/>
  <c r="K3271" i="2"/>
  <c r="G3271" i="2"/>
  <c r="E3271" i="2"/>
  <c r="B3271" i="2"/>
  <c r="S3270" i="2"/>
  <c r="P3270" i="2"/>
  <c r="M3270" i="2"/>
  <c r="L3270" i="2"/>
  <c r="K3270" i="2"/>
  <c r="G3270" i="2"/>
  <c r="E3270" i="2"/>
  <c r="B3270" i="2"/>
  <c r="S3269" i="2"/>
  <c r="P3269" i="2"/>
  <c r="M3269" i="2"/>
  <c r="L3269" i="2"/>
  <c r="K3269" i="2"/>
  <c r="G3269" i="2"/>
  <c r="E3269" i="2"/>
  <c r="B3269" i="2"/>
  <c r="S3268" i="2"/>
  <c r="P3268" i="2"/>
  <c r="M3268" i="2"/>
  <c r="L3268" i="2"/>
  <c r="K3268" i="2"/>
  <c r="G3268" i="2"/>
  <c r="E3268" i="2"/>
  <c r="B3268" i="2"/>
  <c r="S3267" i="2"/>
  <c r="P3267" i="2"/>
  <c r="M3267" i="2"/>
  <c r="L3267" i="2"/>
  <c r="K3267" i="2"/>
  <c r="G3267" i="2"/>
  <c r="E3267" i="2"/>
  <c r="B3267" i="2"/>
  <c r="S3266" i="2"/>
  <c r="P3266" i="2"/>
  <c r="M3266" i="2"/>
  <c r="L3266" i="2"/>
  <c r="K3266" i="2"/>
  <c r="G3266" i="2"/>
  <c r="E3266" i="2"/>
  <c r="B3266" i="2"/>
  <c r="S3265" i="2"/>
  <c r="P3265" i="2"/>
  <c r="M3265" i="2"/>
  <c r="L3265" i="2"/>
  <c r="K3265" i="2"/>
  <c r="G3265" i="2"/>
  <c r="E3265" i="2"/>
  <c r="B3265" i="2"/>
  <c r="S3264" i="2"/>
  <c r="P3264" i="2"/>
  <c r="M3264" i="2"/>
  <c r="L3264" i="2"/>
  <c r="K3264" i="2"/>
  <c r="G3264" i="2"/>
  <c r="E3264" i="2"/>
  <c r="B3264" i="2"/>
  <c r="S3263" i="2"/>
  <c r="P3263" i="2"/>
  <c r="M3263" i="2"/>
  <c r="L3263" i="2"/>
  <c r="K3263" i="2"/>
  <c r="G3263" i="2"/>
  <c r="E3263" i="2"/>
  <c r="B3263" i="2"/>
  <c r="S3262" i="2"/>
  <c r="P3262" i="2"/>
  <c r="M3262" i="2"/>
  <c r="L3262" i="2"/>
  <c r="K3262" i="2"/>
  <c r="G3262" i="2"/>
  <c r="E3262" i="2"/>
  <c r="B3262" i="2"/>
  <c r="S3261" i="2"/>
  <c r="P3261" i="2"/>
  <c r="M3261" i="2"/>
  <c r="L3261" i="2"/>
  <c r="K3261" i="2"/>
  <c r="G3261" i="2"/>
  <c r="E3261" i="2"/>
  <c r="B3261" i="2"/>
  <c r="S3260" i="2"/>
  <c r="P3260" i="2"/>
  <c r="M3260" i="2"/>
  <c r="L3260" i="2"/>
  <c r="K3260" i="2"/>
  <c r="G3260" i="2"/>
  <c r="E3260" i="2"/>
  <c r="B3260" i="2"/>
  <c r="S3259" i="2"/>
  <c r="P3259" i="2"/>
  <c r="M3259" i="2"/>
  <c r="L3259" i="2"/>
  <c r="K3259" i="2"/>
  <c r="G3259" i="2"/>
  <c r="E3259" i="2"/>
  <c r="B3259" i="2"/>
  <c r="S3258" i="2"/>
  <c r="P3258" i="2"/>
  <c r="M3258" i="2"/>
  <c r="L3258" i="2"/>
  <c r="K3258" i="2"/>
  <c r="G3258" i="2"/>
  <c r="E3258" i="2"/>
  <c r="B3258" i="2"/>
  <c r="S3257" i="2"/>
  <c r="P3257" i="2"/>
  <c r="M3257" i="2"/>
  <c r="L3257" i="2"/>
  <c r="K3257" i="2"/>
  <c r="G3257" i="2"/>
  <c r="E3257" i="2"/>
  <c r="B3257" i="2"/>
  <c r="S3256" i="2"/>
  <c r="P3256" i="2"/>
  <c r="M3256" i="2"/>
  <c r="L3256" i="2"/>
  <c r="K3256" i="2"/>
  <c r="G3256" i="2"/>
  <c r="E3256" i="2"/>
  <c r="B3256" i="2"/>
  <c r="S3255" i="2"/>
  <c r="P3255" i="2"/>
  <c r="M3255" i="2"/>
  <c r="L3255" i="2"/>
  <c r="K3255" i="2"/>
  <c r="G3255" i="2"/>
  <c r="E3255" i="2"/>
  <c r="B3255" i="2"/>
  <c r="S3254" i="2"/>
  <c r="P3254" i="2"/>
  <c r="M3254" i="2"/>
  <c r="L3254" i="2"/>
  <c r="K3254" i="2"/>
  <c r="G3254" i="2"/>
  <c r="E3254" i="2"/>
  <c r="B3254" i="2"/>
  <c r="S3253" i="2"/>
  <c r="P3253" i="2"/>
  <c r="M3253" i="2"/>
  <c r="L3253" i="2"/>
  <c r="K3253" i="2"/>
  <c r="G3253" i="2"/>
  <c r="E3253" i="2"/>
  <c r="B3253" i="2"/>
  <c r="S3252" i="2"/>
  <c r="P3252" i="2"/>
  <c r="M3252" i="2"/>
  <c r="L3252" i="2"/>
  <c r="K3252" i="2"/>
  <c r="G3252" i="2"/>
  <c r="E3252" i="2"/>
  <c r="B3252" i="2"/>
  <c r="S3251" i="2"/>
  <c r="P3251" i="2"/>
  <c r="M3251" i="2"/>
  <c r="L3251" i="2"/>
  <c r="K3251" i="2"/>
  <c r="G3251" i="2"/>
  <c r="E3251" i="2"/>
  <c r="B3251" i="2"/>
  <c r="S3250" i="2"/>
  <c r="P3250" i="2"/>
  <c r="M3250" i="2"/>
  <c r="L3250" i="2"/>
  <c r="K3250" i="2"/>
  <c r="G3250" i="2"/>
  <c r="E3250" i="2"/>
  <c r="B3250" i="2"/>
  <c r="S3249" i="2"/>
  <c r="P3249" i="2"/>
  <c r="M3249" i="2"/>
  <c r="L3249" i="2"/>
  <c r="K3249" i="2"/>
  <c r="G3249" i="2"/>
  <c r="E3249" i="2"/>
  <c r="B3249" i="2"/>
  <c r="S3248" i="2"/>
  <c r="P3248" i="2"/>
  <c r="M3248" i="2"/>
  <c r="L3248" i="2"/>
  <c r="K3248" i="2"/>
  <c r="G3248" i="2"/>
  <c r="E3248" i="2"/>
  <c r="B3248" i="2"/>
  <c r="S3247" i="2"/>
  <c r="P3247" i="2"/>
  <c r="M3247" i="2"/>
  <c r="L3247" i="2"/>
  <c r="K3247" i="2"/>
  <c r="G3247" i="2"/>
  <c r="E3247" i="2"/>
  <c r="B3247" i="2"/>
  <c r="S3246" i="2"/>
  <c r="P3246" i="2"/>
  <c r="M3246" i="2"/>
  <c r="L3246" i="2"/>
  <c r="K3246" i="2"/>
  <c r="G3246" i="2"/>
  <c r="E3246" i="2"/>
  <c r="B3246" i="2"/>
  <c r="S3245" i="2"/>
  <c r="P3245" i="2"/>
  <c r="M3245" i="2"/>
  <c r="L3245" i="2"/>
  <c r="K3245" i="2"/>
  <c r="G3245" i="2"/>
  <c r="E3245" i="2"/>
  <c r="B3245" i="2"/>
  <c r="S3244" i="2"/>
  <c r="P3244" i="2"/>
  <c r="M3244" i="2"/>
  <c r="L3244" i="2"/>
  <c r="K3244" i="2"/>
  <c r="G3244" i="2"/>
  <c r="E3244" i="2"/>
  <c r="B3244" i="2"/>
  <c r="S3243" i="2"/>
  <c r="P3243" i="2"/>
  <c r="M3243" i="2"/>
  <c r="L3243" i="2"/>
  <c r="K3243" i="2"/>
  <c r="G3243" i="2"/>
  <c r="E3243" i="2"/>
  <c r="B3243" i="2"/>
  <c r="S3242" i="2"/>
  <c r="P3242" i="2"/>
  <c r="M3242" i="2"/>
  <c r="L3242" i="2"/>
  <c r="K3242" i="2"/>
  <c r="G3242" i="2"/>
  <c r="E3242" i="2"/>
  <c r="B3242" i="2"/>
  <c r="S3241" i="2"/>
  <c r="P3241" i="2"/>
  <c r="M3241" i="2"/>
  <c r="L3241" i="2"/>
  <c r="K3241" i="2"/>
  <c r="G3241" i="2"/>
  <c r="E3241" i="2"/>
  <c r="B3241" i="2"/>
  <c r="S3240" i="2"/>
  <c r="P3240" i="2"/>
  <c r="M3240" i="2"/>
  <c r="L3240" i="2"/>
  <c r="K3240" i="2"/>
  <c r="G3240" i="2"/>
  <c r="E3240" i="2"/>
  <c r="B3240" i="2"/>
  <c r="S3239" i="2"/>
  <c r="P3239" i="2"/>
  <c r="M3239" i="2"/>
  <c r="L3239" i="2"/>
  <c r="K3239" i="2"/>
  <c r="G3239" i="2"/>
  <c r="E3239" i="2"/>
  <c r="B3239" i="2"/>
  <c r="S3238" i="2"/>
  <c r="P3238" i="2"/>
  <c r="M3238" i="2"/>
  <c r="L3238" i="2"/>
  <c r="K3238" i="2"/>
  <c r="G3238" i="2"/>
  <c r="E3238" i="2"/>
  <c r="B3238" i="2"/>
  <c r="S3237" i="2"/>
  <c r="P3237" i="2"/>
  <c r="M3237" i="2"/>
  <c r="L3237" i="2"/>
  <c r="K3237" i="2"/>
  <c r="G3237" i="2"/>
  <c r="E3237" i="2"/>
  <c r="B3237" i="2"/>
  <c r="S3236" i="2"/>
  <c r="P3236" i="2"/>
  <c r="M3236" i="2"/>
  <c r="L3236" i="2"/>
  <c r="K3236" i="2"/>
  <c r="G3236" i="2"/>
  <c r="E3236" i="2"/>
  <c r="B3236" i="2"/>
  <c r="S3235" i="2"/>
  <c r="P3235" i="2"/>
  <c r="M3235" i="2"/>
  <c r="L3235" i="2"/>
  <c r="K3235" i="2"/>
  <c r="G3235" i="2"/>
  <c r="E3235" i="2"/>
  <c r="B3235" i="2"/>
  <c r="S3234" i="2"/>
  <c r="P3234" i="2"/>
  <c r="M3234" i="2"/>
  <c r="L3234" i="2"/>
  <c r="K3234" i="2"/>
  <c r="G3234" i="2"/>
  <c r="E3234" i="2"/>
  <c r="B3234" i="2"/>
  <c r="S3233" i="2"/>
  <c r="P3233" i="2"/>
  <c r="M3233" i="2"/>
  <c r="L3233" i="2"/>
  <c r="K3233" i="2"/>
  <c r="G3233" i="2"/>
  <c r="E3233" i="2"/>
  <c r="B3233" i="2"/>
  <c r="S3232" i="2"/>
  <c r="P3232" i="2"/>
  <c r="M3232" i="2"/>
  <c r="L3232" i="2"/>
  <c r="K3232" i="2"/>
  <c r="G3232" i="2"/>
  <c r="E3232" i="2"/>
  <c r="B3232" i="2"/>
  <c r="S3231" i="2"/>
  <c r="P3231" i="2"/>
  <c r="M3231" i="2"/>
  <c r="L3231" i="2"/>
  <c r="K3231" i="2"/>
  <c r="G3231" i="2"/>
  <c r="E3231" i="2"/>
  <c r="B3231" i="2"/>
  <c r="S3230" i="2"/>
  <c r="P3230" i="2"/>
  <c r="M3230" i="2"/>
  <c r="L3230" i="2"/>
  <c r="K3230" i="2"/>
  <c r="G3230" i="2"/>
  <c r="E3230" i="2"/>
  <c r="B3230" i="2"/>
  <c r="S3229" i="2"/>
  <c r="P3229" i="2"/>
  <c r="M3229" i="2"/>
  <c r="L3229" i="2"/>
  <c r="K3229" i="2"/>
  <c r="G3229" i="2"/>
  <c r="E3229" i="2"/>
  <c r="B3229" i="2"/>
  <c r="S3228" i="2"/>
  <c r="P3228" i="2"/>
  <c r="M3228" i="2"/>
  <c r="L3228" i="2"/>
  <c r="K3228" i="2"/>
  <c r="G3228" i="2"/>
  <c r="E3228" i="2"/>
  <c r="B3228" i="2"/>
  <c r="S3227" i="2"/>
  <c r="P3227" i="2"/>
  <c r="M3227" i="2"/>
  <c r="L3227" i="2"/>
  <c r="K3227" i="2"/>
  <c r="H3227" i="2"/>
  <c r="G3227" i="2"/>
  <c r="E3227" i="2"/>
  <c r="B3227" i="2"/>
  <c r="S3226" i="2"/>
  <c r="P3226" i="2"/>
  <c r="M3226" i="2"/>
  <c r="L3226" i="2"/>
  <c r="K3226" i="2"/>
  <c r="H3226" i="2"/>
  <c r="G3226" i="2"/>
  <c r="E3226" i="2"/>
  <c r="B3226" i="2"/>
  <c r="S3225" i="2"/>
  <c r="P3225" i="2"/>
  <c r="M3225" i="2"/>
  <c r="L3225" i="2"/>
  <c r="K3225" i="2"/>
  <c r="G3225" i="2"/>
  <c r="E3225" i="2"/>
  <c r="B3225" i="2"/>
  <c r="S3224" i="2"/>
  <c r="P3224" i="2"/>
  <c r="M3224" i="2"/>
  <c r="L3224" i="2"/>
  <c r="K3224" i="2"/>
  <c r="G3224" i="2"/>
  <c r="E3224" i="2"/>
  <c r="B3224" i="2"/>
  <c r="S3223" i="2"/>
  <c r="P3223" i="2"/>
  <c r="M3223" i="2"/>
  <c r="L3223" i="2"/>
  <c r="K3223" i="2"/>
  <c r="G3223" i="2"/>
  <c r="E3223" i="2"/>
  <c r="B3223" i="2"/>
  <c r="S3222" i="2"/>
  <c r="P3222" i="2"/>
  <c r="M3222" i="2"/>
  <c r="L3222" i="2"/>
  <c r="K3222" i="2"/>
  <c r="G3222" i="2"/>
  <c r="E3222" i="2"/>
  <c r="B3222" i="2"/>
  <c r="S3221" i="2"/>
  <c r="P3221" i="2"/>
  <c r="M3221" i="2"/>
  <c r="L3221" i="2"/>
  <c r="K3221" i="2"/>
  <c r="G3221" i="2"/>
  <c r="E3221" i="2"/>
  <c r="B3221" i="2"/>
  <c r="S3220" i="2"/>
  <c r="P3220" i="2"/>
  <c r="M3220" i="2"/>
  <c r="L3220" i="2"/>
  <c r="K3220" i="2"/>
  <c r="G3220" i="2"/>
  <c r="E3220" i="2"/>
  <c r="B3220" i="2"/>
  <c r="S3219" i="2"/>
  <c r="P3219" i="2"/>
  <c r="M3219" i="2"/>
  <c r="L3219" i="2"/>
  <c r="K3219" i="2"/>
  <c r="G3219" i="2"/>
  <c r="E3219" i="2"/>
  <c r="B3219" i="2"/>
  <c r="S3218" i="2"/>
  <c r="P3218" i="2"/>
  <c r="M3218" i="2"/>
  <c r="L3218" i="2"/>
  <c r="K3218" i="2"/>
  <c r="G3218" i="2"/>
  <c r="E3218" i="2"/>
  <c r="B3218" i="2"/>
  <c r="S3217" i="2"/>
  <c r="P3217" i="2"/>
  <c r="M3217" i="2"/>
  <c r="L3217" i="2"/>
  <c r="K3217" i="2"/>
  <c r="G3217" i="2"/>
  <c r="E3217" i="2"/>
  <c r="B3217" i="2"/>
  <c r="S3216" i="2"/>
  <c r="P3216" i="2"/>
  <c r="M3216" i="2"/>
  <c r="L3216" i="2"/>
  <c r="K3216" i="2"/>
  <c r="H3216" i="2"/>
  <c r="G3216" i="2"/>
  <c r="E3216" i="2"/>
  <c r="B3216" i="2"/>
  <c r="S3215" i="2"/>
  <c r="P3215" i="2"/>
  <c r="M3215" i="2"/>
  <c r="L3215" i="2"/>
  <c r="K3215" i="2"/>
  <c r="G3215" i="2"/>
  <c r="E3215" i="2"/>
  <c r="B3215" i="2"/>
  <c r="S3214" i="2"/>
  <c r="P3214" i="2"/>
  <c r="M3214" i="2"/>
  <c r="L3214" i="2"/>
  <c r="K3214" i="2"/>
  <c r="G3214" i="2"/>
  <c r="E3214" i="2"/>
  <c r="B3214" i="2"/>
  <c r="S3213" i="2"/>
  <c r="P3213" i="2"/>
  <c r="M3213" i="2"/>
  <c r="L3213" i="2"/>
  <c r="K3213" i="2"/>
  <c r="G3213" i="2"/>
  <c r="E3213" i="2"/>
  <c r="B3213" i="2"/>
  <c r="S3212" i="2"/>
  <c r="P3212" i="2"/>
  <c r="M3212" i="2"/>
  <c r="L3212" i="2"/>
  <c r="K3212" i="2"/>
  <c r="G3212" i="2"/>
  <c r="E3212" i="2"/>
  <c r="B3212" i="2"/>
  <c r="S3211" i="2"/>
  <c r="P3211" i="2"/>
  <c r="M3211" i="2"/>
  <c r="L3211" i="2"/>
  <c r="K3211" i="2"/>
  <c r="G3211" i="2"/>
  <c r="E3211" i="2"/>
  <c r="B3211" i="2"/>
  <c r="S3210" i="2"/>
  <c r="P3210" i="2"/>
  <c r="M3210" i="2"/>
  <c r="L3210" i="2"/>
  <c r="K3210" i="2"/>
  <c r="G3210" i="2"/>
  <c r="E3210" i="2"/>
  <c r="B3210" i="2"/>
  <c r="S3209" i="2"/>
  <c r="P3209" i="2"/>
  <c r="M3209" i="2"/>
  <c r="L3209" i="2"/>
  <c r="K3209" i="2"/>
  <c r="G3209" i="2"/>
  <c r="E3209" i="2"/>
  <c r="B3209" i="2"/>
  <c r="S3208" i="2"/>
  <c r="P3208" i="2"/>
  <c r="M3208" i="2"/>
  <c r="L3208" i="2"/>
  <c r="K3208" i="2"/>
  <c r="G3208" i="2"/>
  <c r="E3208" i="2"/>
  <c r="B3208" i="2"/>
  <c r="S3207" i="2"/>
  <c r="P3207" i="2"/>
  <c r="M3207" i="2"/>
  <c r="L3207" i="2"/>
  <c r="K3207" i="2"/>
  <c r="H3207" i="2"/>
  <c r="G3207" i="2"/>
  <c r="E3207" i="2"/>
  <c r="B3207" i="2"/>
  <c r="S3206" i="2"/>
  <c r="P3206" i="2"/>
  <c r="M3206" i="2"/>
  <c r="L3206" i="2"/>
  <c r="K3206" i="2"/>
  <c r="G3206" i="2"/>
  <c r="E3206" i="2"/>
  <c r="B3206" i="2"/>
  <c r="S3205" i="2"/>
  <c r="P3205" i="2"/>
  <c r="M3205" i="2"/>
  <c r="L3205" i="2"/>
  <c r="K3205" i="2"/>
  <c r="G3205" i="2"/>
  <c r="E3205" i="2"/>
  <c r="B3205" i="2"/>
  <c r="S3204" i="2"/>
  <c r="P3204" i="2"/>
  <c r="M3204" i="2"/>
  <c r="L3204" i="2"/>
  <c r="K3204" i="2"/>
  <c r="G3204" i="2"/>
  <c r="E3204" i="2"/>
  <c r="B3204" i="2"/>
  <c r="S3203" i="2"/>
  <c r="P3203" i="2"/>
  <c r="M3203" i="2"/>
  <c r="L3203" i="2"/>
  <c r="K3203" i="2"/>
  <c r="G3203" i="2"/>
  <c r="E3203" i="2"/>
  <c r="B3203" i="2"/>
  <c r="S3202" i="2"/>
  <c r="P3202" i="2"/>
  <c r="M3202" i="2"/>
  <c r="L3202" i="2"/>
  <c r="K3202" i="2"/>
  <c r="G3202" i="2"/>
  <c r="E3202" i="2"/>
  <c r="B3202" i="2"/>
  <c r="S3201" i="2"/>
  <c r="P3201" i="2"/>
  <c r="M3201" i="2"/>
  <c r="L3201" i="2"/>
  <c r="K3201" i="2"/>
  <c r="H3201" i="2"/>
  <c r="G3201" i="2"/>
  <c r="E3201" i="2"/>
  <c r="B3201" i="2"/>
  <c r="S3200" i="2"/>
  <c r="P3200" i="2"/>
  <c r="M3200" i="2"/>
  <c r="L3200" i="2"/>
  <c r="K3200" i="2"/>
  <c r="G3200" i="2"/>
  <c r="E3200" i="2"/>
  <c r="B3200" i="2"/>
  <c r="S3199" i="2"/>
  <c r="P3199" i="2"/>
  <c r="M3199" i="2"/>
  <c r="L3199" i="2"/>
  <c r="K3199" i="2"/>
  <c r="G3199" i="2"/>
  <c r="E3199" i="2"/>
  <c r="B3199" i="2"/>
  <c r="S3198" i="2"/>
  <c r="P3198" i="2"/>
  <c r="M3198" i="2"/>
  <c r="L3198" i="2"/>
  <c r="K3198" i="2"/>
  <c r="G3198" i="2"/>
  <c r="E3198" i="2"/>
  <c r="B3198" i="2"/>
  <c r="S3197" i="2"/>
  <c r="P3197" i="2"/>
  <c r="M3197" i="2"/>
  <c r="L3197" i="2"/>
  <c r="K3197" i="2"/>
  <c r="G3197" i="2"/>
  <c r="E3197" i="2"/>
  <c r="B3197" i="2"/>
  <c r="S3196" i="2"/>
  <c r="P3196" i="2"/>
  <c r="M3196" i="2"/>
  <c r="L3196" i="2"/>
  <c r="K3196" i="2"/>
  <c r="G3196" i="2"/>
  <c r="E3196" i="2"/>
  <c r="B3196" i="2"/>
  <c r="S3195" i="2"/>
  <c r="P3195" i="2"/>
  <c r="M3195" i="2"/>
  <c r="L3195" i="2"/>
  <c r="K3195" i="2"/>
  <c r="H3195" i="2"/>
  <c r="G3195" i="2"/>
  <c r="E3195" i="2"/>
  <c r="B3195" i="2"/>
  <c r="S3194" i="2"/>
  <c r="P3194" i="2"/>
  <c r="M3194" i="2"/>
  <c r="L3194" i="2"/>
  <c r="K3194" i="2"/>
  <c r="G3194" i="2"/>
  <c r="E3194" i="2"/>
  <c r="B3194" i="2"/>
  <c r="S3193" i="2"/>
  <c r="P3193" i="2"/>
  <c r="M3193" i="2"/>
  <c r="L3193" i="2"/>
  <c r="K3193" i="2"/>
  <c r="G3193" i="2"/>
  <c r="E3193" i="2"/>
  <c r="B3193" i="2"/>
  <c r="S3192" i="2"/>
  <c r="P3192" i="2"/>
  <c r="M3192" i="2"/>
  <c r="L3192" i="2"/>
  <c r="K3192" i="2"/>
  <c r="H3192" i="2"/>
  <c r="G3192" i="2"/>
  <c r="E3192" i="2"/>
  <c r="B3192" i="2"/>
  <c r="S3191" i="2"/>
  <c r="P3191" i="2"/>
  <c r="M3191" i="2"/>
  <c r="L3191" i="2"/>
  <c r="K3191" i="2"/>
  <c r="G3191" i="2"/>
  <c r="E3191" i="2"/>
  <c r="B3191" i="2"/>
  <c r="S3190" i="2"/>
  <c r="P3190" i="2"/>
  <c r="M3190" i="2"/>
  <c r="L3190" i="2"/>
  <c r="K3190" i="2"/>
  <c r="H3190" i="2"/>
  <c r="G3190" i="2"/>
  <c r="E3190" i="2"/>
  <c r="B3190" i="2"/>
  <c r="S3189" i="2"/>
  <c r="P3189" i="2"/>
  <c r="M3189" i="2"/>
  <c r="L3189" i="2"/>
  <c r="K3189" i="2"/>
  <c r="G3189" i="2"/>
  <c r="E3189" i="2"/>
  <c r="B3189" i="2"/>
  <c r="S3188" i="2"/>
  <c r="P3188" i="2"/>
  <c r="M3188" i="2"/>
  <c r="L3188" i="2"/>
  <c r="K3188" i="2"/>
  <c r="G3188" i="2"/>
  <c r="E3188" i="2"/>
  <c r="B3188" i="2"/>
  <c r="S3187" i="2"/>
  <c r="P3187" i="2"/>
  <c r="M3187" i="2"/>
  <c r="L3187" i="2"/>
  <c r="K3187" i="2"/>
  <c r="G3187" i="2"/>
  <c r="E3187" i="2"/>
  <c r="B3187" i="2"/>
  <c r="S3186" i="2"/>
  <c r="P3186" i="2"/>
  <c r="M3186" i="2"/>
  <c r="L3186" i="2"/>
  <c r="K3186" i="2"/>
  <c r="H3186" i="2"/>
  <c r="G3186" i="2"/>
  <c r="E3186" i="2"/>
  <c r="B3186" i="2"/>
  <c r="S3185" i="2"/>
  <c r="P3185" i="2"/>
  <c r="M3185" i="2"/>
  <c r="L3185" i="2"/>
  <c r="K3185" i="2"/>
  <c r="G3185" i="2"/>
  <c r="E3185" i="2"/>
  <c r="B3185" i="2"/>
  <c r="S3184" i="2"/>
  <c r="P3184" i="2"/>
  <c r="M3184" i="2"/>
  <c r="L3184" i="2"/>
  <c r="K3184" i="2"/>
  <c r="G3184" i="2"/>
  <c r="E3184" i="2"/>
  <c r="B3184" i="2"/>
  <c r="S3183" i="2"/>
  <c r="P3183" i="2"/>
  <c r="M3183" i="2"/>
  <c r="L3183" i="2"/>
  <c r="K3183" i="2"/>
  <c r="H3183" i="2"/>
  <c r="G3183" i="2"/>
  <c r="E3183" i="2"/>
  <c r="B3183" i="2"/>
  <c r="S3182" i="2"/>
  <c r="P3182" i="2"/>
  <c r="M3182" i="2"/>
  <c r="L3182" i="2"/>
  <c r="K3182" i="2"/>
  <c r="H3182" i="2"/>
  <c r="G3182" i="2"/>
  <c r="E3182" i="2"/>
  <c r="B3182" i="2"/>
  <c r="S3181" i="2"/>
  <c r="P3181" i="2"/>
  <c r="M3181" i="2"/>
  <c r="L3181" i="2"/>
  <c r="K3181" i="2"/>
  <c r="G3181" i="2"/>
  <c r="E3181" i="2"/>
  <c r="B3181" i="2"/>
  <c r="S3180" i="2"/>
  <c r="P3180" i="2"/>
  <c r="M3180" i="2"/>
  <c r="L3180" i="2"/>
  <c r="K3180" i="2"/>
  <c r="G3180" i="2"/>
  <c r="E3180" i="2"/>
  <c r="B3180" i="2"/>
  <c r="S3179" i="2"/>
  <c r="P3179" i="2"/>
  <c r="M3179" i="2"/>
  <c r="L3179" i="2"/>
  <c r="K3179" i="2"/>
  <c r="G3179" i="2"/>
  <c r="E3179" i="2"/>
  <c r="B3179" i="2"/>
  <c r="S3178" i="2"/>
  <c r="P3178" i="2"/>
  <c r="M3178" i="2"/>
  <c r="L3178" i="2"/>
  <c r="K3178" i="2"/>
  <c r="G3178" i="2"/>
  <c r="E3178" i="2"/>
  <c r="B3178" i="2"/>
  <c r="S3177" i="2"/>
  <c r="P3177" i="2"/>
  <c r="M3177" i="2"/>
  <c r="L3177" i="2"/>
  <c r="K3177" i="2"/>
  <c r="G3177" i="2"/>
  <c r="E3177" i="2"/>
  <c r="B3177" i="2"/>
  <c r="S3176" i="2"/>
  <c r="P3176" i="2"/>
  <c r="M3176" i="2"/>
  <c r="L3176" i="2"/>
  <c r="K3176" i="2"/>
  <c r="G3176" i="2"/>
  <c r="E3176" i="2"/>
  <c r="B3176" i="2"/>
  <c r="S3175" i="2"/>
  <c r="P3175" i="2"/>
  <c r="M3175" i="2"/>
  <c r="L3175" i="2"/>
  <c r="K3175" i="2"/>
  <c r="G3175" i="2"/>
  <c r="E3175" i="2"/>
  <c r="B3175" i="2"/>
  <c r="S3174" i="2"/>
  <c r="P3174" i="2"/>
  <c r="M3174" i="2"/>
  <c r="L3174" i="2"/>
  <c r="K3174" i="2"/>
  <c r="H3174" i="2"/>
  <c r="G3174" i="2"/>
  <c r="E3174" i="2"/>
  <c r="B3174" i="2"/>
  <c r="S3173" i="2"/>
  <c r="P3173" i="2"/>
  <c r="M3173" i="2"/>
  <c r="L3173" i="2"/>
  <c r="K3173" i="2"/>
  <c r="G3173" i="2"/>
  <c r="E3173" i="2"/>
  <c r="B3173" i="2"/>
  <c r="S3172" i="2"/>
  <c r="P3172" i="2"/>
  <c r="M3172" i="2"/>
  <c r="L3172" i="2"/>
  <c r="K3172" i="2"/>
  <c r="G3172" i="2"/>
  <c r="E3172" i="2"/>
  <c r="B3172" i="2"/>
  <c r="S3171" i="2"/>
  <c r="P3171" i="2"/>
  <c r="M3171" i="2"/>
  <c r="L3171" i="2"/>
  <c r="K3171" i="2"/>
  <c r="G3171" i="2"/>
  <c r="E3171" i="2"/>
  <c r="B3171" i="2"/>
  <c r="S3170" i="2"/>
  <c r="P3170" i="2"/>
  <c r="M3170" i="2"/>
  <c r="L3170" i="2"/>
  <c r="K3170" i="2"/>
  <c r="G3170" i="2"/>
  <c r="E3170" i="2"/>
  <c r="B3170" i="2"/>
  <c r="S3169" i="2"/>
  <c r="P3169" i="2"/>
  <c r="M3169" i="2"/>
  <c r="L3169" i="2"/>
  <c r="K3169" i="2"/>
  <c r="H3169" i="2"/>
  <c r="G3169" i="2"/>
  <c r="E3169" i="2"/>
  <c r="B3169" i="2"/>
  <c r="S3168" i="2"/>
  <c r="P3168" i="2"/>
  <c r="M3168" i="2"/>
  <c r="L3168" i="2"/>
  <c r="K3168" i="2"/>
  <c r="G3168" i="2"/>
  <c r="E3168" i="2"/>
  <c r="B3168" i="2"/>
  <c r="S3167" i="2"/>
  <c r="P3167" i="2"/>
  <c r="M3167" i="2"/>
  <c r="L3167" i="2"/>
  <c r="K3167" i="2"/>
  <c r="G3167" i="2"/>
  <c r="E3167" i="2"/>
  <c r="B3167" i="2"/>
  <c r="S3166" i="2"/>
  <c r="P3166" i="2"/>
  <c r="M3166" i="2"/>
  <c r="L3166" i="2"/>
  <c r="K3166" i="2"/>
  <c r="G3166" i="2"/>
  <c r="E3166" i="2"/>
  <c r="B3166" i="2"/>
  <c r="S3165" i="2"/>
  <c r="P3165" i="2"/>
  <c r="M3165" i="2"/>
  <c r="L3165" i="2"/>
  <c r="K3165" i="2"/>
  <c r="G3165" i="2"/>
  <c r="E3165" i="2"/>
  <c r="B3165" i="2"/>
  <c r="S3164" i="2"/>
  <c r="P3164" i="2"/>
  <c r="M3164" i="2"/>
  <c r="L3164" i="2"/>
  <c r="K3164" i="2"/>
  <c r="G3164" i="2"/>
  <c r="E3164" i="2"/>
  <c r="B3164" i="2"/>
  <c r="S3163" i="2"/>
  <c r="P3163" i="2"/>
  <c r="M3163" i="2"/>
  <c r="L3163" i="2"/>
  <c r="K3163" i="2"/>
  <c r="G3163" i="2"/>
  <c r="E3163" i="2"/>
  <c r="B3163" i="2"/>
  <c r="S3162" i="2"/>
  <c r="P3162" i="2"/>
  <c r="M3162" i="2"/>
  <c r="L3162" i="2"/>
  <c r="K3162" i="2"/>
  <c r="G3162" i="2"/>
  <c r="E3162" i="2"/>
  <c r="B3162" i="2"/>
  <c r="S3161" i="2"/>
  <c r="P3161" i="2"/>
  <c r="M3161" i="2"/>
  <c r="L3161" i="2"/>
  <c r="K3161" i="2"/>
  <c r="G3161" i="2"/>
  <c r="E3161" i="2"/>
  <c r="B3161" i="2"/>
  <c r="S3160" i="2"/>
  <c r="P3160" i="2"/>
  <c r="M3160" i="2"/>
  <c r="L3160" i="2"/>
  <c r="K3160" i="2"/>
  <c r="G3160" i="2"/>
  <c r="E3160" i="2"/>
  <c r="B3160" i="2"/>
  <c r="S3159" i="2"/>
  <c r="P3159" i="2"/>
  <c r="M3159" i="2"/>
  <c r="L3159" i="2"/>
  <c r="K3159" i="2"/>
  <c r="G3159" i="2"/>
  <c r="E3159" i="2"/>
  <c r="B3159" i="2"/>
  <c r="S3158" i="2"/>
  <c r="P3158" i="2"/>
  <c r="M3158" i="2"/>
  <c r="L3158" i="2"/>
  <c r="K3158" i="2"/>
  <c r="G3158" i="2"/>
  <c r="E3158" i="2"/>
  <c r="B3158" i="2"/>
  <c r="S3157" i="2"/>
  <c r="P3157" i="2"/>
  <c r="M3157" i="2"/>
  <c r="L3157" i="2"/>
  <c r="K3157" i="2"/>
  <c r="G3157" i="2"/>
  <c r="E3157" i="2"/>
  <c r="B3157" i="2"/>
  <c r="S3156" i="2"/>
  <c r="P3156" i="2"/>
  <c r="M3156" i="2"/>
  <c r="L3156" i="2"/>
  <c r="K3156" i="2"/>
  <c r="G3156" i="2"/>
  <c r="E3156" i="2"/>
  <c r="B3156" i="2"/>
  <c r="S3155" i="2"/>
  <c r="P3155" i="2"/>
  <c r="M3155" i="2"/>
  <c r="L3155" i="2"/>
  <c r="K3155" i="2"/>
  <c r="G3155" i="2"/>
  <c r="E3155" i="2"/>
  <c r="B3155" i="2"/>
  <c r="S3154" i="2"/>
  <c r="P3154" i="2"/>
  <c r="M3154" i="2"/>
  <c r="L3154" i="2"/>
  <c r="K3154" i="2"/>
  <c r="G3154" i="2"/>
  <c r="E3154" i="2"/>
  <c r="B3154" i="2"/>
  <c r="S3153" i="2"/>
  <c r="P3153" i="2"/>
  <c r="M3153" i="2"/>
  <c r="L3153" i="2"/>
  <c r="K3153" i="2"/>
  <c r="H3153" i="2"/>
  <c r="G3153" i="2"/>
  <c r="E3153" i="2"/>
  <c r="B3153" i="2"/>
  <c r="S3152" i="2"/>
  <c r="P3152" i="2"/>
  <c r="M3152" i="2"/>
  <c r="L3152" i="2"/>
  <c r="K3152" i="2"/>
  <c r="G3152" i="2"/>
  <c r="E3152" i="2"/>
  <c r="B3152" i="2"/>
  <c r="S3151" i="2"/>
  <c r="P3151" i="2"/>
  <c r="M3151" i="2"/>
  <c r="L3151" i="2"/>
  <c r="K3151" i="2"/>
  <c r="G3151" i="2"/>
  <c r="E3151" i="2"/>
  <c r="B3151" i="2"/>
  <c r="S3150" i="2"/>
  <c r="P3150" i="2"/>
  <c r="M3150" i="2"/>
  <c r="L3150" i="2"/>
  <c r="K3150" i="2"/>
  <c r="G3150" i="2"/>
  <c r="E3150" i="2"/>
  <c r="B3150" i="2"/>
  <c r="S3149" i="2"/>
  <c r="P3149" i="2"/>
  <c r="M3149" i="2"/>
  <c r="L3149" i="2"/>
  <c r="K3149" i="2"/>
  <c r="G3149" i="2"/>
  <c r="E3149" i="2"/>
  <c r="B3149" i="2"/>
  <c r="S3148" i="2"/>
  <c r="P3148" i="2"/>
  <c r="M3148" i="2"/>
  <c r="L3148" i="2"/>
  <c r="K3148" i="2"/>
  <c r="H3148" i="2"/>
  <c r="G3148" i="2"/>
  <c r="E3148" i="2"/>
  <c r="B3148" i="2"/>
  <c r="S3147" i="2"/>
  <c r="P3147" i="2"/>
  <c r="M3147" i="2"/>
  <c r="L3147" i="2"/>
  <c r="K3147" i="2"/>
  <c r="G3147" i="2"/>
  <c r="E3147" i="2"/>
  <c r="B3147" i="2"/>
  <c r="S3146" i="2"/>
  <c r="P3146" i="2"/>
  <c r="M3146" i="2"/>
  <c r="L3146" i="2"/>
  <c r="K3146" i="2"/>
  <c r="G3146" i="2"/>
  <c r="E3146" i="2"/>
  <c r="B3146" i="2"/>
  <c r="S3145" i="2"/>
  <c r="P3145" i="2"/>
  <c r="M3145" i="2"/>
  <c r="L3145" i="2"/>
  <c r="K3145" i="2"/>
  <c r="G3145" i="2"/>
  <c r="E3145" i="2"/>
  <c r="B3145" i="2"/>
  <c r="S3144" i="2"/>
  <c r="P3144" i="2"/>
  <c r="M3144" i="2"/>
  <c r="L3144" i="2"/>
  <c r="K3144" i="2"/>
  <c r="G3144" i="2"/>
  <c r="E3144" i="2"/>
  <c r="B3144" i="2"/>
  <c r="S3143" i="2"/>
  <c r="P3143" i="2"/>
  <c r="M3143" i="2"/>
  <c r="L3143" i="2"/>
  <c r="K3143" i="2"/>
  <c r="G3143" i="2"/>
  <c r="E3143" i="2"/>
  <c r="B3143" i="2"/>
  <c r="S3142" i="2"/>
  <c r="P3142" i="2"/>
  <c r="M3142" i="2"/>
  <c r="L3142" i="2"/>
  <c r="K3142" i="2"/>
  <c r="G3142" i="2"/>
  <c r="E3142" i="2"/>
  <c r="B3142" i="2"/>
  <c r="S3141" i="2"/>
  <c r="P3141" i="2"/>
  <c r="M3141" i="2"/>
  <c r="L3141" i="2"/>
  <c r="K3141" i="2"/>
  <c r="G3141" i="2"/>
  <c r="E3141" i="2"/>
  <c r="B3141" i="2"/>
  <c r="S3140" i="2"/>
  <c r="P3140" i="2"/>
  <c r="M3140" i="2"/>
  <c r="L3140" i="2"/>
  <c r="K3140" i="2"/>
  <c r="G3140" i="2"/>
  <c r="E3140" i="2"/>
  <c r="B3140" i="2"/>
  <c r="S3139" i="2"/>
  <c r="P3139" i="2"/>
  <c r="M3139" i="2"/>
  <c r="L3139" i="2"/>
  <c r="K3139" i="2"/>
  <c r="G3139" i="2"/>
  <c r="E3139" i="2"/>
  <c r="B3139" i="2"/>
  <c r="S3138" i="2"/>
  <c r="P3138" i="2"/>
  <c r="M3138" i="2"/>
  <c r="L3138" i="2"/>
  <c r="K3138" i="2"/>
  <c r="G3138" i="2"/>
  <c r="E3138" i="2"/>
  <c r="B3138" i="2"/>
  <c r="S3137" i="2"/>
  <c r="P3137" i="2"/>
  <c r="M3137" i="2"/>
  <c r="L3137" i="2"/>
  <c r="K3137" i="2"/>
  <c r="H3137" i="2"/>
  <c r="G3137" i="2"/>
  <c r="E3137" i="2"/>
  <c r="B3137" i="2"/>
  <c r="S3136" i="2"/>
  <c r="P3136" i="2"/>
  <c r="M3136" i="2"/>
  <c r="L3136" i="2"/>
  <c r="K3136" i="2"/>
  <c r="G3136" i="2"/>
  <c r="E3136" i="2"/>
  <c r="B3136" i="2"/>
  <c r="S3135" i="2"/>
  <c r="P3135" i="2"/>
  <c r="M3135" i="2"/>
  <c r="L3135" i="2"/>
  <c r="K3135" i="2"/>
  <c r="G3135" i="2"/>
  <c r="E3135" i="2"/>
  <c r="B3135" i="2"/>
  <c r="S3134" i="2"/>
  <c r="P3134" i="2"/>
  <c r="M3134" i="2"/>
  <c r="L3134" i="2"/>
  <c r="K3134" i="2"/>
  <c r="G3134" i="2"/>
  <c r="E3134" i="2"/>
  <c r="B3134" i="2"/>
  <c r="S3133" i="2"/>
  <c r="P3133" i="2"/>
  <c r="M3133" i="2"/>
  <c r="L3133" i="2"/>
  <c r="K3133" i="2"/>
  <c r="H3133" i="2"/>
  <c r="G3133" i="2"/>
  <c r="E3133" i="2"/>
  <c r="B3133" i="2"/>
  <c r="S3132" i="2"/>
  <c r="P3132" i="2"/>
  <c r="M3132" i="2"/>
  <c r="L3132" i="2"/>
  <c r="K3132" i="2"/>
  <c r="G3132" i="2"/>
  <c r="E3132" i="2"/>
  <c r="B3132" i="2"/>
  <c r="S3131" i="2"/>
  <c r="P3131" i="2"/>
  <c r="M3131" i="2"/>
  <c r="L3131" i="2"/>
  <c r="K3131" i="2"/>
  <c r="G3131" i="2"/>
  <c r="E3131" i="2"/>
  <c r="B3131" i="2"/>
  <c r="S3130" i="2"/>
  <c r="P3130" i="2"/>
  <c r="M3130" i="2"/>
  <c r="L3130" i="2"/>
  <c r="K3130" i="2"/>
  <c r="G3130" i="2"/>
  <c r="E3130" i="2"/>
  <c r="B3130" i="2"/>
  <c r="S3129" i="2"/>
  <c r="P3129" i="2"/>
  <c r="M3129" i="2"/>
  <c r="L3129" i="2"/>
  <c r="K3129" i="2"/>
  <c r="G3129" i="2"/>
  <c r="E3129" i="2"/>
  <c r="B3129" i="2"/>
  <c r="S3128" i="2"/>
  <c r="P3128" i="2"/>
  <c r="M3128" i="2"/>
  <c r="L3128" i="2"/>
  <c r="K3128" i="2"/>
  <c r="G3128" i="2"/>
  <c r="E3128" i="2"/>
  <c r="B3128" i="2"/>
  <c r="S3127" i="2"/>
  <c r="P3127" i="2"/>
  <c r="M3127" i="2"/>
  <c r="L3127" i="2"/>
  <c r="K3127" i="2"/>
  <c r="G3127" i="2"/>
  <c r="E3127" i="2"/>
  <c r="B3127" i="2"/>
  <c r="S3126" i="2"/>
  <c r="P3126" i="2"/>
  <c r="M3126" i="2"/>
  <c r="L3126" i="2"/>
  <c r="K3126" i="2"/>
  <c r="G3126" i="2"/>
  <c r="E3126" i="2"/>
  <c r="B3126" i="2"/>
  <c r="S3125" i="2"/>
  <c r="P3125" i="2"/>
  <c r="M3125" i="2"/>
  <c r="L3125" i="2"/>
  <c r="K3125" i="2"/>
  <c r="G3125" i="2"/>
  <c r="E3125" i="2"/>
  <c r="B3125" i="2"/>
  <c r="S3124" i="2"/>
  <c r="P3124" i="2"/>
  <c r="M3124" i="2"/>
  <c r="L3124" i="2"/>
  <c r="K3124" i="2"/>
  <c r="G3124" i="2"/>
  <c r="E3124" i="2"/>
  <c r="B3124" i="2"/>
  <c r="S3123" i="2"/>
  <c r="P3123" i="2"/>
  <c r="M3123" i="2"/>
  <c r="L3123" i="2"/>
  <c r="K3123" i="2"/>
  <c r="G3123" i="2"/>
  <c r="E3123" i="2"/>
  <c r="B3123" i="2"/>
  <c r="S3122" i="2"/>
  <c r="P3122" i="2"/>
  <c r="M3122" i="2"/>
  <c r="L3122" i="2"/>
  <c r="K3122" i="2"/>
  <c r="G3122" i="2"/>
  <c r="E3122" i="2"/>
  <c r="B3122" i="2"/>
  <c r="S3121" i="2"/>
  <c r="P3121" i="2"/>
  <c r="M3121" i="2"/>
  <c r="L3121" i="2"/>
  <c r="K3121" i="2"/>
  <c r="G3121" i="2"/>
  <c r="E3121" i="2"/>
  <c r="B3121" i="2"/>
  <c r="S3120" i="2"/>
  <c r="P3120" i="2"/>
  <c r="M3120" i="2"/>
  <c r="L3120" i="2"/>
  <c r="K3120" i="2"/>
  <c r="G3120" i="2"/>
  <c r="E3120" i="2"/>
  <c r="B3120" i="2"/>
  <c r="S3119" i="2"/>
  <c r="P3119" i="2"/>
  <c r="M3119" i="2"/>
  <c r="L3119" i="2"/>
  <c r="K3119" i="2"/>
  <c r="G3119" i="2"/>
  <c r="E3119" i="2"/>
  <c r="B3119" i="2"/>
  <c r="S3118" i="2"/>
  <c r="P3118" i="2"/>
  <c r="M3118" i="2"/>
  <c r="L3118" i="2"/>
  <c r="K3118" i="2"/>
  <c r="G3118" i="2"/>
  <c r="E3118" i="2"/>
  <c r="B3118" i="2"/>
  <c r="S3117" i="2"/>
  <c r="P3117" i="2"/>
  <c r="M3117" i="2"/>
  <c r="L3117" i="2"/>
  <c r="K3117" i="2"/>
  <c r="G3117" i="2"/>
  <c r="E3117" i="2"/>
  <c r="B3117" i="2"/>
  <c r="S3116" i="2"/>
  <c r="P3116" i="2"/>
  <c r="M3116" i="2"/>
  <c r="L3116" i="2"/>
  <c r="K3116" i="2"/>
  <c r="G3116" i="2"/>
  <c r="E3116" i="2"/>
  <c r="B3116" i="2"/>
  <c r="S3115" i="2"/>
  <c r="P3115" i="2"/>
  <c r="M3115" i="2"/>
  <c r="L3115" i="2"/>
  <c r="K3115" i="2"/>
  <c r="G3115" i="2"/>
  <c r="E3115" i="2"/>
  <c r="B3115" i="2"/>
  <c r="S3114" i="2"/>
  <c r="P3114" i="2"/>
  <c r="M3114" i="2"/>
  <c r="L3114" i="2"/>
  <c r="K3114" i="2"/>
  <c r="G3114" i="2"/>
  <c r="E3114" i="2"/>
  <c r="B3114" i="2"/>
  <c r="S3113" i="2"/>
  <c r="P3113" i="2"/>
  <c r="M3113" i="2"/>
  <c r="L3113" i="2"/>
  <c r="K3113" i="2"/>
  <c r="G3113" i="2"/>
  <c r="E3113" i="2"/>
  <c r="B3113" i="2"/>
  <c r="S3112" i="2"/>
  <c r="P3112" i="2"/>
  <c r="M3112" i="2"/>
  <c r="L3112" i="2"/>
  <c r="K3112" i="2"/>
  <c r="G3112" i="2"/>
  <c r="E3112" i="2"/>
  <c r="B3112" i="2"/>
  <c r="S3111" i="2"/>
  <c r="P3111" i="2"/>
  <c r="M3111" i="2"/>
  <c r="L3111" i="2"/>
  <c r="K3111" i="2"/>
  <c r="G3111" i="2"/>
  <c r="E3111" i="2"/>
  <c r="B3111" i="2"/>
  <c r="S3110" i="2"/>
  <c r="P3110" i="2"/>
  <c r="M3110" i="2"/>
  <c r="L3110" i="2"/>
  <c r="K3110" i="2"/>
  <c r="G3110" i="2"/>
  <c r="E3110" i="2"/>
  <c r="B3110" i="2"/>
  <c r="S3109" i="2"/>
  <c r="P3109" i="2"/>
  <c r="M3109" i="2"/>
  <c r="L3109" i="2"/>
  <c r="K3109" i="2"/>
  <c r="G3109" i="2"/>
  <c r="E3109" i="2"/>
  <c r="B3109" i="2"/>
  <c r="S3108" i="2"/>
  <c r="P3108" i="2"/>
  <c r="M3108" i="2"/>
  <c r="L3108" i="2"/>
  <c r="K3108" i="2"/>
  <c r="G3108" i="2"/>
  <c r="E3108" i="2"/>
  <c r="B3108" i="2"/>
  <c r="S3107" i="2"/>
  <c r="P3107" i="2"/>
  <c r="M3107" i="2"/>
  <c r="L3107" i="2"/>
  <c r="K3107" i="2"/>
  <c r="G3107" i="2"/>
  <c r="E3107" i="2"/>
  <c r="B3107" i="2"/>
  <c r="S3106" i="2"/>
  <c r="P3106" i="2"/>
  <c r="M3106" i="2"/>
  <c r="L3106" i="2"/>
  <c r="K3106" i="2"/>
  <c r="G3106" i="2"/>
  <c r="E3106" i="2"/>
  <c r="B3106" i="2"/>
  <c r="S3105" i="2"/>
  <c r="P3105" i="2"/>
  <c r="M3105" i="2"/>
  <c r="L3105" i="2"/>
  <c r="K3105" i="2"/>
  <c r="G3105" i="2"/>
  <c r="E3105" i="2"/>
  <c r="B3105" i="2"/>
  <c r="S3104" i="2"/>
  <c r="P3104" i="2"/>
  <c r="M3104" i="2"/>
  <c r="L3104" i="2"/>
  <c r="K3104" i="2"/>
  <c r="G3104" i="2"/>
  <c r="E3104" i="2"/>
  <c r="B3104" i="2"/>
  <c r="S3103" i="2"/>
  <c r="P3103" i="2"/>
  <c r="M3103" i="2"/>
  <c r="L3103" i="2"/>
  <c r="K3103" i="2"/>
  <c r="H3103" i="2"/>
  <c r="G3103" i="2"/>
  <c r="E3103" i="2"/>
  <c r="B3103" i="2"/>
  <c r="S3102" i="2"/>
  <c r="P3102" i="2"/>
  <c r="M3102" i="2"/>
  <c r="L3102" i="2"/>
  <c r="K3102" i="2"/>
  <c r="H3102" i="2"/>
  <c r="G3102" i="2"/>
  <c r="E3102" i="2"/>
  <c r="B3102" i="2"/>
  <c r="S3101" i="2"/>
  <c r="P3101" i="2"/>
  <c r="M3101" i="2"/>
  <c r="L3101" i="2"/>
  <c r="K3101" i="2"/>
  <c r="H3101" i="2"/>
  <c r="G3101" i="2"/>
  <c r="E3101" i="2"/>
  <c r="B3101" i="2"/>
  <c r="S3100" i="2"/>
  <c r="P3100" i="2"/>
  <c r="M3100" i="2"/>
  <c r="L3100" i="2"/>
  <c r="K3100" i="2"/>
  <c r="G3100" i="2"/>
  <c r="E3100" i="2"/>
  <c r="B3100" i="2"/>
  <c r="S3099" i="2"/>
  <c r="P3099" i="2"/>
  <c r="M3099" i="2"/>
  <c r="L3099" i="2"/>
  <c r="K3099" i="2"/>
  <c r="G3099" i="2"/>
  <c r="E3099" i="2"/>
  <c r="B3099" i="2"/>
  <c r="S3098" i="2"/>
  <c r="P3098" i="2"/>
  <c r="M3098" i="2"/>
  <c r="L3098" i="2"/>
  <c r="K3098" i="2"/>
  <c r="G3098" i="2"/>
  <c r="E3098" i="2"/>
  <c r="B3098" i="2"/>
  <c r="S3097" i="2"/>
  <c r="P3097" i="2"/>
  <c r="M3097" i="2"/>
  <c r="L3097" i="2"/>
  <c r="K3097" i="2"/>
  <c r="G3097" i="2"/>
  <c r="E3097" i="2"/>
  <c r="B3097" i="2"/>
  <c r="S3096" i="2"/>
  <c r="P3096" i="2"/>
  <c r="M3096" i="2"/>
  <c r="L3096" i="2"/>
  <c r="K3096" i="2"/>
  <c r="G3096" i="2"/>
  <c r="E3096" i="2"/>
  <c r="B3096" i="2"/>
  <c r="S3095" i="2"/>
  <c r="P3095" i="2"/>
  <c r="M3095" i="2"/>
  <c r="L3095" i="2"/>
  <c r="K3095" i="2"/>
  <c r="H3095" i="2"/>
  <c r="G3095" i="2"/>
  <c r="E3095" i="2"/>
  <c r="B3095" i="2"/>
  <c r="S3094" i="2"/>
  <c r="P3094" i="2"/>
  <c r="M3094" i="2"/>
  <c r="L3094" i="2"/>
  <c r="K3094" i="2"/>
  <c r="G3094" i="2"/>
  <c r="E3094" i="2"/>
  <c r="B3094" i="2"/>
  <c r="S3093" i="2"/>
  <c r="P3093" i="2"/>
  <c r="M3093" i="2"/>
  <c r="L3093" i="2"/>
  <c r="K3093" i="2"/>
  <c r="G3093" i="2"/>
  <c r="E3093" i="2"/>
  <c r="B3093" i="2"/>
  <c r="S3092" i="2"/>
  <c r="P3092" i="2"/>
  <c r="M3092" i="2"/>
  <c r="L3092" i="2"/>
  <c r="K3092" i="2"/>
  <c r="H3092" i="2"/>
  <c r="G3092" i="2"/>
  <c r="E3092" i="2"/>
  <c r="B3092" i="2"/>
  <c r="S3091" i="2"/>
  <c r="P3091" i="2"/>
  <c r="M3091" i="2"/>
  <c r="L3091" i="2"/>
  <c r="K3091" i="2"/>
  <c r="G3091" i="2"/>
  <c r="E3091" i="2"/>
  <c r="B3091" i="2"/>
  <c r="S3090" i="2"/>
  <c r="P3090" i="2"/>
  <c r="M3090" i="2"/>
  <c r="L3090" i="2"/>
  <c r="K3090" i="2"/>
  <c r="G3090" i="2"/>
  <c r="E3090" i="2"/>
  <c r="B3090" i="2"/>
  <c r="S3089" i="2"/>
  <c r="P3089" i="2"/>
  <c r="M3089" i="2"/>
  <c r="L3089" i="2"/>
  <c r="K3089" i="2"/>
  <c r="G3089" i="2"/>
  <c r="E3089" i="2"/>
  <c r="B3089" i="2"/>
  <c r="S3088" i="2"/>
  <c r="P3088" i="2"/>
  <c r="M3088" i="2"/>
  <c r="L3088" i="2"/>
  <c r="K3088" i="2"/>
  <c r="G3088" i="2"/>
  <c r="E3088" i="2"/>
  <c r="B3088" i="2"/>
  <c r="S3087" i="2"/>
  <c r="P3087" i="2"/>
  <c r="M3087" i="2"/>
  <c r="L3087" i="2"/>
  <c r="K3087" i="2"/>
  <c r="G3087" i="2"/>
  <c r="E3087" i="2"/>
  <c r="B3087" i="2"/>
  <c r="S3086" i="2"/>
  <c r="P3086" i="2"/>
  <c r="M3086" i="2"/>
  <c r="L3086" i="2"/>
  <c r="K3086" i="2"/>
  <c r="H3086" i="2"/>
  <c r="G3086" i="2"/>
  <c r="E3086" i="2"/>
  <c r="B3086" i="2"/>
  <c r="S3085" i="2"/>
  <c r="P3085" i="2"/>
  <c r="M3085" i="2"/>
  <c r="L3085" i="2"/>
  <c r="K3085" i="2"/>
  <c r="G3085" i="2"/>
  <c r="E3085" i="2"/>
  <c r="B3085" i="2"/>
  <c r="S3084" i="2"/>
  <c r="P3084" i="2"/>
  <c r="M3084" i="2"/>
  <c r="L3084" i="2"/>
  <c r="K3084" i="2"/>
  <c r="H3084" i="2"/>
  <c r="G3084" i="2"/>
  <c r="E3084" i="2"/>
  <c r="B3084" i="2"/>
  <c r="S3083" i="2"/>
  <c r="P3083" i="2"/>
  <c r="M3083" i="2"/>
  <c r="L3083" i="2"/>
  <c r="K3083" i="2"/>
  <c r="G3083" i="2"/>
  <c r="E3083" i="2"/>
  <c r="B3083" i="2"/>
  <c r="S3082" i="2"/>
  <c r="P3082" i="2"/>
  <c r="M3082" i="2"/>
  <c r="L3082" i="2"/>
  <c r="K3082" i="2"/>
  <c r="H3082" i="2"/>
  <c r="G3082" i="2"/>
  <c r="E3082" i="2"/>
  <c r="B3082" i="2"/>
  <c r="S3081" i="2"/>
  <c r="P3081" i="2"/>
  <c r="M3081" i="2"/>
  <c r="L3081" i="2"/>
  <c r="K3081" i="2"/>
  <c r="H3081" i="2"/>
  <c r="G3081" i="2"/>
  <c r="E3081" i="2"/>
  <c r="B3081" i="2"/>
  <c r="S3080" i="2"/>
  <c r="P3080" i="2"/>
  <c r="M3080" i="2"/>
  <c r="L3080" i="2"/>
  <c r="K3080" i="2"/>
  <c r="G3080" i="2"/>
  <c r="E3080" i="2"/>
  <c r="B3080" i="2"/>
  <c r="S3079" i="2"/>
  <c r="P3079" i="2"/>
  <c r="M3079" i="2"/>
  <c r="L3079" i="2"/>
  <c r="K3079" i="2"/>
  <c r="H3079" i="2"/>
  <c r="G3079" i="2"/>
  <c r="E3079" i="2"/>
  <c r="B3079" i="2"/>
  <c r="S3078" i="2"/>
  <c r="P3078" i="2"/>
  <c r="M3078" i="2"/>
  <c r="L3078" i="2"/>
  <c r="K3078" i="2"/>
  <c r="G3078" i="2"/>
  <c r="E3078" i="2"/>
  <c r="B3078" i="2"/>
  <c r="S3077" i="2"/>
  <c r="P3077" i="2"/>
  <c r="M3077" i="2"/>
  <c r="L3077" i="2"/>
  <c r="K3077" i="2"/>
  <c r="H3077" i="2"/>
  <c r="G3077" i="2"/>
  <c r="E3077" i="2"/>
  <c r="B3077" i="2"/>
  <c r="S3076" i="2"/>
  <c r="P3076" i="2"/>
  <c r="M3076" i="2"/>
  <c r="L3076" i="2"/>
  <c r="K3076" i="2"/>
  <c r="H3076" i="2"/>
  <c r="G3076" i="2"/>
  <c r="E3076" i="2"/>
  <c r="B3076" i="2"/>
  <c r="S3075" i="2"/>
  <c r="P3075" i="2"/>
  <c r="M3075" i="2"/>
  <c r="L3075" i="2"/>
  <c r="K3075" i="2"/>
  <c r="G3075" i="2"/>
  <c r="E3075" i="2"/>
  <c r="B3075" i="2"/>
  <c r="S3074" i="2"/>
  <c r="P3074" i="2"/>
  <c r="M3074" i="2"/>
  <c r="L3074" i="2"/>
  <c r="K3074" i="2"/>
  <c r="G3074" i="2"/>
  <c r="E3074" i="2"/>
  <c r="B3074" i="2"/>
  <c r="S3073" i="2"/>
  <c r="P3073" i="2"/>
  <c r="M3073" i="2"/>
  <c r="L3073" i="2"/>
  <c r="K3073" i="2"/>
  <c r="G3073" i="2"/>
  <c r="E3073" i="2"/>
  <c r="B3073" i="2"/>
  <c r="S3072" i="2"/>
  <c r="P3072" i="2"/>
  <c r="M3072" i="2"/>
  <c r="L3072" i="2"/>
  <c r="K3072" i="2"/>
  <c r="G3072" i="2"/>
  <c r="E3072" i="2"/>
  <c r="B3072" i="2"/>
  <c r="S3071" i="2"/>
  <c r="P3071" i="2"/>
  <c r="M3071" i="2"/>
  <c r="L3071" i="2"/>
  <c r="K3071" i="2"/>
  <c r="H3071" i="2"/>
  <c r="G3071" i="2"/>
  <c r="E3071" i="2"/>
  <c r="B3071" i="2"/>
  <c r="S3070" i="2"/>
  <c r="P3070" i="2"/>
  <c r="M3070" i="2"/>
  <c r="L3070" i="2"/>
  <c r="K3070" i="2"/>
  <c r="G3070" i="2"/>
  <c r="E3070" i="2"/>
  <c r="B3070" i="2"/>
  <c r="S3069" i="2"/>
  <c r="P3069" i="2"/>
  <c r="M3069" i="2"/>
  <c r="L3069" i="2"/>
  <c r="K3069" i="2"/>
  <c r="G3069" i="2"/>
  <c r="E3069" i="2"/>
  <c r="B3069" i="2"/>
  <c r="S3068" i="2"/>
  <c r="P3068" i="2"/>
  <c r="M3068" i="2"/>
  <c r="L3068" i="2"/>
  <c r="K3068" i="2"/>
  <c r="G3068" i="2"/>
  <c r="E3068" i="2"/>
  <c r="B3068" i="2"/>
  <c r="S3067" i="2"/>
  <c r="P3067" i="2"/>
  <c r="M3067" i="2"/>
  <c r="L3067" i="2"/>
  <c r="K3067" i="2"/>
  <c r="G3067" i="2"/>
  <c r="E3067" i="2"/>
  <c r="B3067" i="2"/>
  <c r="S3066" i="2"/>
  <c r="P3066" i="2"/>
  <c r="M3066" i="2"/>
  <c r="L3066" i="2"/>
  <c r="K3066" i="2"/>
  <c r="G3066" i="2"/>
  <c r="E3066" i="2"/>
  <c r="B3066" i="2"/>
  <c r="S3065" i="2"/>
  <c r="P3065" i="2"/>
  <c r="M3065" i="2"/>
  <c r="L3065" i="2"/>
  <c r="K3065" i="2"/>
  <c r="G3065" i="2"/>
  <c r="E3065" i="2"/>
  <c r="B3065" i="2"/>
  <c r="S3064" i="2"/>
  <c r="P3064" i="2"/>
  <c r="M3064" i="2"/>
  <c r="L3064" i="2"/>
  <c r="K3064" i="2"/>
  <c r="H3064" i="2"/>
  <c r="G3064" i="2"/>
  <c r="E3064" i="2"/>
  <c r="B3064" i="2"/>
  <c r="S3063" i="2"/>
  <c r="P3063" i="2"/>
  <c r="M3063" i="2"/>
  <c r="L3063" i="2"/>
  <c r="K3063" i="2"/>
  <c r="G3063" i="2"/>
  <c r="E3063" i="2"/>
  <c r="B3063" i="2"/>
  <c r="S3062" i="2"/>
  <c r="P3062" i="2"/>
  <c r="M3062" i="2"/>
  <c r="L3062" i="2"/>
  <c r="K3062" i="2"/>
  <c r="G3062" i="2"/>
  <c r="E3062" i="2"/>
  <c r="B3062" i="2"/>
  <c r="S3061" i="2"/>
  <c r="P3061" i="2"/>
  <c r="M3061" i="2"/>
  <c r="L3061" i="2"/>
  <c r="K3061" i="2"/>
  <c r="G3061" i="2"/>
  <c r="E3061" i="2"/>
  <c r="B3061" i="2"/>
  <c r="S3060" i="2"/>
  <c r="P3060" i="2"/>
  <c r="M3060" i="2"/>
  <c r="L3060" i="2"/>
  <c r="K3060" i="2"/>
  <c r="G3060" i="2"/>
  <c r="E3060" i="2"/>
  <c r="B3060" i="2"/>
  <c r="S3059" i="2"/>
  <c r="P3059" i="2"/>
  <c r="M3059" i="2"/>
  <c r="L3059" i="2"/>
  <c r="K3059" i="2"/>
  <c r="G3059" i="2"/>
  <c r="E3059" i="2"/>
  <c r="B3059" i="2"/>
  <c r="S3058" i="2"/>
  <c r="P3058" i="2"/>
  <c r="M3058" i="2"/>
  <c r="L3058" i="2"/>
  <c r="K3058" i="2"/>
  <c r="G3058" i="2"/>
  <c r="E3058" i="2"/>
  <c r="B3058" i="2"/>
  <c r="S3057" i="2"/>
  <c r="P3057" i="2"/>
  <c r="M3057" i="2"/>
  <c r="L3057" i="2"/>
  <c r="K3057" i="2"/>
  <c r="G3057" i="2"/>
  <c r="E3057" i="2"/>
  <c r="B3057" i="2"/>
  <c r="S3056" i="2"/>
  <c r="P3056" i="2"/>
  <c r="M3056" i="2"/>
  <c r="L3056" i="2"/>
  <c r="K3056" i="2"/>
  <c r="G3056" i="2"/>
  <c r="E3056" i="2"/>
  <c r="B3056" i="2"/>
  <c r="S3055" i="2"/>
  <c r="P3055" i="2"/>
  <c r="M3055" i="2"/>
  <c r="L3055" i="2"/>
  <c r="K3055" i="2"/>
  <c r="G3055" i="2"/>
  <c r="E3055" i="2"/>
  <c r="B3055" i="2"/>
  <c r="S3054" i="2"/>
  <c r="P3054" i="2"/>
  <c r="M3054" i="2"/>
  <c r="L3054" i="2"/>
  <c r="K3054" i="2"/>
  <c r="H3054" i="2"/>
  <c r="G3054" i="2"/>
  <c r="E3054" i="2"/>
  <c r="B3054" i="2"/>
  <c r="S3053" i="2"/>
  <c r="P3053" i="2"/>
  <c r="M3053" i="2"/>
  <c r="L3053" i="2"/>
  <c r="K3053" i="2"/>
  <c r="G3053" i="2"/>
  <c r="E3053" i="2"/>
  <c r="B3053" i="2"/>
  <c r="S3052" i="2"/>
  <c r="P3052" i="2"/>
  <c r="M3052" i="2"/>
  <c r="L3052" i="2"/>
  <c r="K3052" i="2"/>
  <c r="G3052" i="2"/>
  <c r="E3052" i="2"/>
  <c r="B3052" i="2"/>
  <c r="S3051" i="2"/>
  <c r="P3051" i="2"/>
  <c r="M3051" i="2"/>
  <c r="L3051" i="2"/>
  <c r="K3051" i="2"/>
  <c r="G3051" i="2"/>
  <c r="E3051" i="2"/>
  <c r="B3051" i="2"/>
  <c r="S3050" i="2"/>
  <c r="P3050" i="2"/>
  <c r="M3050" i="2"/>
  <c r="L3050" i="2"/>
  <c r="K3050" i="2"/>
  <c r="G3050" i="2"/>
  <c r="E3050" i="2"/>
  <c r="B3050" i="2"/>
  <c r="S3049" i="2"/>
  <c r="P3049" i="2"/>
  <c r="M3049" i="2"/>
  <c r="L3049" i="2"/>
  <c r="K3049" i="2"/>
  <c r="G3049" i="2"/>
  <c r="E3049" i="2"/>
  <c r="B3049" i="2"/>
  <c r="S3048" i="2"/>
  <c r="P3048" i="2"/>
  <c r="M3048" i="2"/>
  <c r="L3048" i="2"/>
  <c r="K3048" i="2"/>
  <c r="G3048" i="2"/>
  <c r="E3048" i="2"/>
  <c r="B3048" i="2"/>
  <c r="S3047" i="2"/>
  <c r="P3047" i="2"/>
  <c r="M3047" i="2"/>
  <c r="L3047" i="2"/>
  <c r="K3047" i="2"/>
  <c r="G3047" i="2"/>
  <c r="E3047" i="2"/>
  <c r="B3047" i="2"/>
  <c r="S3046" i="2"/>
  <c r="P3046" i="2"/>
  <c r="M3046" i="2"/>
  <c r="L3046" i="2"/>
  <c r="K3046" i="2"/>
  <c r="G3046" i="2"/>
  <c r="E3046" i="2"/>
  <c r="B3046" i="2"/>
  <c r="S3045" i="2"/>
  <c r="P3045" i="2"/>
  <c r="M3045" i="2"/>
  <c r="L3045" i="2"/>
  <c r="K3045" i="2"/>
  <c r="G3045" i="2"/>
  <c r="E3045" i="2"/>
  <c r="B3045" i="2"/>
  <c r="S3044" i="2"/>
  <c r="P3044" i="2"/>
  <c r="M3044" i="2"/>
  <c r="L3044" i="2"/>
  <c r="K3044" i="2"/>
  <c r="G3044" i="2"/>
  <c r="E3044" i="2"/>
  <c r="B3044" i="2"/>
  <c r="S3043" i="2"/>
  <c r="P3043" i="2"/>
  <c r="M3043" i="2"/>
  <c r="L3043" i="2"/>
  <c r="K3043" i="2"/>
  <c r="G3043" i="2"/>
  <c r="E3043" i="2"/>
  <c r="B3043" i="2"/>
  <c r="S3042" i="2"/>
  <c r="P3042" i="2"/>
  <c r="M3042" i="2"/>
  <c r="L3042" i="2"/>
  <c r="K3042" i="2"/>
  <c r="H3042" i="2"/>
  <c r="G3042" i="2"/>
  <c r="E3042" i="2"/>
  <c r="B3042" i="2"/>
  <c r="S3041" i="2"/>
  <c r="P3041" i="2"/>
  <c r="M3041" i="2"/>
  <c r="L3041" i="2"/>
  <c r="K3041" i="2"/>
  <c r="H3041" i="2"/>
  <c r="G3041" i="2"/>
  <c r="E3041" i="2"/>
  <c r="B3041" i="2"/>
  <c r="S3040" i="2"/>
  <c r="P3040" i="2"/>
  <c r="M3040" i="2"/>
  <c r="L3040" i="2"/>
  <c r="K3040" i="2"/>
  <c r="H3040" i="2"/>
  <c r="G3040" i="2"/>
  <c r="E3040" i="2"/>
  <c r="B3040" i="2"/>
  <c r="S3039" i="2"/>
  <c r="P3039" i="2"/>
  <c r="M3039" i="2"/>
  <c r="L3039" i="2"/>
  <c r="K3039" i="2"/>
  <c r="G3039" i="2"/>
  <c r="E3039" i="2"/>
  <c r="B3039" i="2"/>
  <c r="S3038" i="2"/>
  <c r="P3038" i="2"/>
  <c r="M3038" i="2"/>
  <c r="L3038" i="2"/>
  <c r="K3038" i="2"/>
  <c r="G3038" i="2"/>
  <c r="E3038" i="2"/>
  <c r="B3038" i="2"/>
  <c r="S3037" i="2"/>
  <c r="P3037" i="2"/>
  <c r="M3037" i="2"/>
  <c r="L3037" i="2"/>
  <c r="K3037" i="2"/>
  <c r="G3037" i="2"/>
  <c r="E3037" i="2"/>
  <c r="B3037" i="2"/>
  <c r="S3036" i="2"/>
  <c r="P3036" i="2"/>
  <c r="M3036" i="2"/>
  <c r="L3036" i="2"/>
  <c r="K3036" i="2"/>
  <c r="G3036" i="2"/>
  <c r="E3036" i="2"/>
  <c r="B3036" i="2"/>
  <c r="S3035" i="2"/>
  <c r="P3035" i="2"/>
  <c r="M3035" i="2"/>
  <c r="L3035" i="2"/>
  <c r="K3035" i="2"/>
  <c r="G3035" i="2"/>
  <c r="E3035" i="2"/>
  <c r="B3035" i="2"/>
  <c r="S3034" i="2"/>
  <c r="P3034" i="2"/>
  <c r="M3034" i="2"/>
  <c r="L3034" i="2"/>
  <c r="K3034" i="2"/>
  <c r="G3034" i="2"/>
  <c r="E3034" i="2"/>
  <c r="B3034" i="2"/>
  <c r="S3033" i="2"/>
  <c r="P3033" i="2"/>
  <c r="M3033" i="2"/>
  <c r="L3033" i="2"/>
  <c r="K3033" i="2"/>
  <c r="G3033" i="2"/>
  <c r="E3033" i="2"/>
  <c r="B3033" i="2"/>
  <c r="S3032" i="2"/>
  <c r="P3032" i="2"/>
  <c r="M3032" i="2"/>
  <c r="L3032" i="2"/>
  <c r="K3032" i="2"/>
  <c r="G3032" i="2"/>
  <c r="E3032" i="2"/>
  <c r="B3032" i="2"/>
  <c r="S3031" i="2"/>
  <c r="P3031" i="2"/>
  <c r="M3031" i="2"/>
  <c r="L3031" i="2"/>
  <c r="K3031" i="2"/>
  <c r="G3031" i="2"/>
  <c r="E3031" i="2"/>
  <c r="B3031" i="2"/>
  <c r="S3030" i="2"/>
  <c r="P3030" i="2"/>
  <c r="M3030" i="2"/>
  <c r="L3030" i="2"/>
  <c r="K3030" i="2"/>
  <c r="G3030" i="2"/>
  <c r="E3030" i="2"/>
  <c r="B3030" i="2"/>
  <c r="S3029" i="2"/>
  <c r="P3029" i="2"/>
  <c r="M3029" i="2"/>
  <c r="L3029" i="2"/>
  <c r="K3029" i="2"/>
  <c r="H3029" i="2"/>
  <c r="G3029" i="2"/>
  <c r="E3029" i="2"/>
  <c r="B3029" i="2"/>
  <c r="S3028" i="2"/>
  <c r="P3028" i="2"/>
  <c r="M3028" i="2"/>
  <c r="L3028" i="2"/>
  <c r="K3028" i="2"/>
  <c r="G3028" i="2"/>
  <c r="E3028" i="2"/>
  <c r="B3028" i="2"/>
  <c r="S3027" i="2"/>
  <c r="P3027" i="2"/>
  <c r="M3027" i="2"/>
  <c r="L3027" i="2"/>
  <c r="K3027" i="2"/>
  <c r="G3027" i="2"/>
  <c r="E3027" i="2"/>
  <c r="B3027" i="2"/>
  <c r="S3026" i="2"/>
  <c r="P3026" i="2"/>
  <c r="M3026" i="2"/>
  <c r="L3026" i="2"/>
  <c r="K3026" i="2"/>
  <c r="G3026" i="2"/>
  <c r="E3026" i="2"/>
  <c r="B3026" i="2"/>
  <c r="S3025" i="2"/>
  <c r="P3025" i="2"/>
  <c r="M3025" i="2"/>
  <c r="L3025" i="2"/>
  <c r="K3025" i="2"/>
  <c r="G3025" i="2"/>
  <c r="E3025" i="2"/>
  <c r="B3025" i="2"/>
  <c r="S3024" i="2"/>
  <c r="P3024" i="2"/>
  <c r="M3024" i="2"/>
  <c r="L3024" i="2"/>
  <c r="K3024" i="2"/>
  <c r="G3024" i="2"/>
  <c r="E3024" i="2"/>
  <c r="B3024" i="2"/>
  <c r="S3023" i="2"/>
  <c r="P3023" i="2"/>
  <c r="M3023" i="2"/>
  <c r="L3023" i="2"/>
  <c r="K3023" i="2"/>
  <c r="G3023" i="2"/>
  <c r="E3023" i="2"/>
  <c r="B3023" i="2"/>
  <c r="S3022" i="2"/>
  <c r="P3022" i="2"/>
  <c r="M3022" i="2"/>
  <c r="L3022" i="2"/>
  <c r="K3022" i="2"/>
  <c r="G3022" i="2"/>
  <c r="E3022" i="2"/>
  <c r="B3022" i="2"/>
  <c r="S3021" i="2"/>
  <c r="P3021" i="2"/>
  <c r="M3021" i="2"/>
  <c r="L3021" i="2"/>
  <c r="K3021" i="2"/>
  <c r="G3021" i="2"/>
  <c r="E3021" i="2"/>
  <c r="B3021" i="2"/>
  <c r="S3020" i="2"/>
  <c r="P3020" i="2"/>
  <c r="M3020" i="2"/>
  <c r="L3020" i="2"/>
  <c r="K3020" i="2"/>
  <c r="G3020" i="2"/>
  <c r="E3020" i="2"/>
  <c r="B3020" i="2"/>
  <c r="S3019" i="2"/>
  <c r="P3019" i="2"/>
  <c r="M3019" i="2"/>
  <c r="L3019" i="2"/>
  <c r="K3019" i="2"/>
  <c r="H3019" i="2"/>
  <c r="G3019" i="2"/>
  <c r="E3019" i="2"/>
  <c r="B3019" i="2"/>
  <c r="S3018" i="2"/>
  <c r="P3018" i="2"/>
  <c r="M3018" i="2"/>
  <c r="L3018" i="2"/>
  <c r="K3018" i="2"/>
  <c r="H3018" i="2"/>
  <c r="G3018" i="2"/>
  <c r="E3018" i="2"/>
  <c r="B3018" i="2"/>
  <c r="S3017" i="2"/>
  <c r="P3017" i="2"/>
  <c r="M3017" i="2"/>
  <c r="L3017" i="2"/>
  <c r="K3017" i="2"/>
  <c r="G3017" i="2"/>
  <c r="E3017" i="2"/>
  <c r="B3017" i="2"/>
  <c r="S3016" i="2"/>
  <c r="P3016" i="2"/>
  <c r="M3016" i="2"/>
  <c r="L3016" i="2"/>
  <c r="K3016" i="2"/>
  <c r="G3016" i="2"/>
  <c r="E3016" i="2"/>
  <c r="B3016" i="2"/>
  <c r="S3015" i="2"/>
  <c r="P3015" i="2"/>
  <c r="M3015" i="2"/>
  <c r="L3015" i="2"/>
  <c r="K3015" i="2"/>
  <c r="H3015" i="2"/>
  <c r="G3015" i="2"/>
  <c r="E3015" i="2"/>
  <c r="B3015" i="2"/>
  <c r="S3014" i="2"/>
  <c r="P3014" i="2"/>
  <c r="M3014" i="2"/>
  <c r="L3014" i="2"/>
  <c r="K3014" i="2"/>
  <c r="G3014" i="2"/>
  <c r="E3014" i="2"/>
  <c r="B3014" i="2"/>
  <c r="S3013" i="2"/>
  <c r="P3013" i="2"/>
  <c r="M3013" i="2"/>
  <c r="L3013" i="2"/>
  <c r="K3013" i="2"/>
  <c r="G3013" i="2"/>
  <c r="E3013" i="2"/>
  <c r="B3013" i="2"/>
  <c r="S3012" i="2"/>
  <c r="P3012" i="2"/>
  <c r="M3012" i="2"/>
  <c r="L3012" i="2"/>
  <c r="K3012" i="2"/>
  <c r="G3012" i="2"/>
  <c r="E3012" i="2"/>
  <c r="B3012" i="2"/>
  <c r="S3011" i="2"/>
  <c r="P3011" i="2"/>
  <c r="M3011" i="2"/>
  <c r="L3011" i="2"/>
  <c r="K3011" i="2"/>
  <c r="H3011" i="2"/>
  <c r="G3011" i="2"/>
  <c r="E3011" i="2"/>
  <c r="B3011" i="2"/>
  <c r="S3010" i="2"/>
  <c r="P3010" i="2"/>
  <c r="M3010" i="2"/>
  <c r="L3010" i="2"/>
  <c r="K3010" i="2"/>
  <c r="G3010" i="2"/>
  <c r="E3010" i="2"/>
  <c r="B3010" i="2"/>
  <c r="S3009" i="2"/>
  <c r="P3009" i="2"/>
  <c r="M3009" i="2"/>
  <c r="L3009" i="2"/>
  <c r="K3009" i="2"/>
  <c r="G3009" i="2"/>
  <c r="E3009" i="2"/>
  <c r="B3009" i="2"/>
  <c r="S3008" i="2"/>
  <c r="P3008" i="2"/>
  <c r="M3008" i="2"/>
  <c r="L3008" i="2"/>
  <c r="K3008" i="2"/>
  <c r="H3008" i="2"/>
  <c r="G3008" i="2"/>
  <c r="E3008" i="2"/>
  <c r="B3008" i="2"/>
  <c r="S3007" i="2"/>
  <c r="P3007" i="2"/>
  <c r="M3007" i="2"/>
  <c r="L3007" i="2"/>
  <c r="K3007" i="2"/>
  <c r="H3007" i="2"/>
  <c r="G3007" i="2"/>
  <c r="E3007" i="2"/>
  <c r="B3007" i="2"/>
  <c r="S3006" i="2"/>
  <c r="P3006" i="2"/>
  <c r="M3006" i="2"/>
  <c r="L3006" i="2"/>
  <c r="K3006" i="2"/>
  <c r="G3006" i="2"/>
  <c r="E3006" i="2"/>
  <c r="B3006" i="2"/>
  <c r="S3005" i="2"/>
  <c r="P3005" i="2"/>
  <c r="M3005" i="2"/>
  <c r="L3005" i="2"/>
  <c r="K3005" i="2"/>
  <c r="H3005" i="2"/>
  <c r="G3005" i="2"/>
  <c r="E3005" i="2"/>
  <c r="B3005" i="2"/>
  <c r="S3004" i="2"/>
  <c r="P3004" i="2"/>
  <c r="M3004" i="2"/>
  <c r="L3004" i="2"/>
  <c r="K3004" i="2"/>
  <c r="G3004" i="2"/>
  <c r="E3004" i="2"/>
  <c r="B3004" i="2"/>
  <c r="S3003" i="2"/>
  <c r="P3003" i="2"/>
  <c r="M3003" i="2"/>
  <c r="L3003" i="2"/>
  <c r="K3003" i="2"/>
  <c r="G3003" i="2"/>
  <c r="E3003" i="2"/>
  <c r="B3003" i="2"/>
  <c r="S3002" i="2"/>
  <c r="P3002" i="2"/>
  <c r="M3002" i="2"/>
  <c r="L3002" i="2"/>
  <c r="K3002" i="2"/>
  <c r="G3002" i="2"/>
  <c r="E3002" i="2"/>
  <c r="B3002" i="2"/>
  <c r="S3001" i="2"/>
  <c r="P3001" i="2"/>
  <c r="M3001" i="2"/>
  <c r="L3001" i="2"/>
  <c r="K3001" i="2"/>
  <c r="G3001" i="2"/>
  <c r="E3001" i="2"/>
  <c r="B3001" i="2"/>
  <c r="S3000" i="2"/>
  <c r="P3000" i="2"/>
  <c r="M3000" i="2"/>
  <c r="L3000" i="2"/>
  <c r="K3000" i="2"/>
  <c r="H3000" i="2"/>
  <c r="G3000" i="2"/>
  <c r="E3000" i="2"/>
  <c r="B3000" i="2"/>
  <c r="S2999" i="2"/>
  <c r="P2999" i="2"/>
  <c r="M2999" i="2"/>
  <c r="L2999" i="2"/>
  <c r="K2999" i="2"/>
  <c r="G2999" i="2"/>
  <c r="E2999" i="2"/>
  <c r="B2999" i="2"/>
  <c r="S2998" i="2"/>
  <c r="P2998" i="2"/>
  <c r="M2998" i="2"/>
  <c r="L2998" i="2"/>
  <c r="K2998" i="2"/>
  <c r="H2998" i="2"/>
  <c r="G2998" i="2"/>
  <c r="E2998" i="2"/>
  <c r="B2998" i="2"/>
  <c r="S2997" i="2"/>
  <c r="P2997" i="2"/>
  <c r="M2997" i="2"/>
  <c r="L2997" i="2"/>
  <c r="K2997" i="2"/>
  <c r="H2997" i="2"/>
  <c r="G2997" i="2"/>
  <c r="E2997" i="2"/>
  <c r="B2997" i="2"/>
  <c r="S2996" i="2"/>
  <c r="P2996" i="2"/>
  <c r="M2996" i="2"/>
  <c r="L2996" i="2"/>
  <c r="K2996" i="2"/>
  <c r="H2996" i="2"/>
  <c r="G2996" i="2"/>
  <c r="E2996" i="2"/>
  <c r="B2996" i="2"/>
  <c r="S2995" i="2"/>
  <c r="P2995" i="2"/>
  <c r="M2995" i="2"/>
  <c r="L2995" i="2"/>
  <c r="K2995" i="2"/>
  <c r="G2995" i="2"/>
  <c r="E2995" i="2"/>
  <c r="B2995" i="2"/>
  <c r="S2994" i="2"/>
  <c r="P2994" i="2"/>
  <c r="M2994" i="2"/>
  <c r="L2994" i="2"/>
  <c r="K2994" i="2"/>
  <c r="G2994" i="2"/>
  <c r="E2994" i="2"/>
  <c r="B2994" i="2"/>
  <c r="S2993" i="2"/>
  <c r="P2993" i="2"/>
  <c r="M2993" i="2"/>
  <c r="L2993" i="2"/>
  <c r="K2993" i="2"/>
  <c r="G2993" i="2"/>
  <c r="E2993" i="2"/>
  <c r="B2993" i="2"/>
  <c r="S2992" i="2"/>
  <c r="P2992" i="2"/>
  <c r="M2992" i="2"/>
  <c r="L2992" i="2"/>
  <c r="K2992" i="2"/>
  <c r="G2992" i="2"/>
  <c r="E2992" i="2"/>
  <c r="B2992" i="2"/>
  <c r="S2991" i="2"/>
  <c r="P2991" i="2"/>
  <c r="M2991" i="2"/>
  <c r="L2991" i="2"/>
  <c r="K2991" i="2"/>
  <c r="G2991" i="2"/>
  <c r="E2991" i="2"/>
  <c r="B2991" i="2"/>
  <c r="S2990" i="2"/>
  <c r="P2990" i="2"/>
  <c r="M2990" i="2"/>
  <c r="L2990" i="2"/>
  <c r="K2990" i="2"/>
  <c r="H2990" i="2"/>
  <c r="G2990" i="2"/>
  <c r="E2990" i="2"/>
  <c r="B2990" i="2"/>
  <c r="S2989" i="2"/>
  <c r="P2989" i="2"/>
  <c r="M2989" i="2"/>
  <c r="L2989" i="2"/>
  <c r="K2989" i="2"/>
  <c r="G2989" i="2"/>
  <c r="E2989" i="2"/>
  <c r="B2989" i="2"/>
  <c r="S2988" i="2"/>
  <c r="P2988" i="2"/>
  <c r="M2988" i="2"/>
  <c r="L2988" i="2"/>
  <c r="K2988" i="2"/>
  <c r="G2988" i="2"/>
  <c r="E2988" i="2"/>
  <c r="B2988" i="2"/>
  <c r="S2987" i="2"/>
  <c r="P2987" i="2"/>
  <c r="M2987" i="2"/>
  <c r="L2987" i="2"/>
  <c r="K2987" i="2"/>
  <c r="G2987" i="2"/>
  <c r="E2987" i="2"/>
  <c r="B2987" i="2"/>
  <c r="S2986" i="2"/>
  <c r="P2986" i="2"/>
  <c r="M2986" i="2"/>
  <c r="L2986" i="2"/>
  <c r="K2986" i="2"/>
  <c r="G2986" i="2"/>
  <c r="E2986" i="2"/>
  <c r="B2986" i="2"/>
  <c r="S2985" i="2"/>
  <c r="P2985" i="2"/>
  <c r="M2985" i="2"/>
  <c r="L2985" i="2"/>
  <c r="K2985" i="2"/>
  <c r="G2985" i="2"/>
  <c r="E2985" i="2"/>
  <c r="B2985" i="2"/>
  <c r="S2984" i="2"/>
  <c r="P2984" i="2"/>
  <c r="M2984" i="2"/>
  <c r="L2984" i="2"/>
  <c r="K2984" i="2"/>
  <c r="G2984" i="2"/>
  <c r="E2984" i="2"/>
  <c r="B2984" i="2"/>
  <c r="S2983" i="2"/>
  <c r="P2983" i="2"/>
  <c r="M2983" i="2"/>
  <c r="L2983" i="2"/>
  <c r="K2983" i="2"/>
  <c r="G2983" i="2"/>
  <c r="E2983" i="2"/>
  <c r="B2983" i="2"/>
  <c r="S2982" i="2"/>
  <c r="P2982" i="2"/>
  <c r="M2982" i="2"/>
  <c r="L2982" i="2"/>
  <c r="K2982" i="2"/>
  <c r="G2982" i="2"/>
  <c r="E2982" i="2"/>
  <c r="B2982" i="2"/>
  <c r="S2981" i="2"/>
  <c r="P2981" i="2"/>
  <c r="M2981" i="2"/>
  <c r="L2981" i="2"/>
  <c r="K2981" i="2"/>
  <c r="G2981" i="2"/>
  <c r="E2981" i="2"/>
  <c r="B2981" i="2"/>
  <c r="S2980" i="2"/>
  <c r="P2980" i="2"/>
  <c r="M2980" i="2"/>
  <c r="L2980" i="2"/>
  <c r="K2980" i="2"/>
  <c r="G2980" i="2"/>
  <c r="E2980" i="2"/>
  <c r="B2980" i="2"/>
  <c r="S2979" i="2"/>
  <c r="P2979" i="2"/>
  <c r="M2979" i="2"/>
  <c r="L2979" i="2"/>
  <c r="K2979" i="2"/>
  <c r="G2979" i="2"/>
  <c r="E2979" i="2"/>
  <c r="B2979" i="2"/>
  <c r="S2978" i="2"/>
  <c r="P2978" i="2"/>
  <c r="M2978" i="2"/>
  <c r="L2978" i="2"/>
  <c r="K2978" i="2"/>
  <c r="G2978" i="2"/>
  <c r="E2978" i="2"/>
  <c r="B2978" i="2"/>
  <c r="S2977" i="2"/>
  <c r="P2977" i="2"/>
  <c r="M2977" i="2"/>
  <c r="L2977" i="2"/>
  <c r="K2977" i="2"/>
  <c r="G2977" i="2"/>
  <c r="E2977" i="2"/>
  <c r="B2977" i="2"/>
  <c r="S2976" i="2"/>
  <c r="P2976" i="2"/>
  <c r="M2976" i="2"/>
  <c r="L2976" i="2"/>
  <c r="K2976" i="2"/>
  <c r="G2976" i="2"/>
  <c r="E2976" i="2"/>
  <c r="B2976" i="2"/>
  <c r="S2975" i="2"/>
  <c r="P2975" i="2"/>
  <c r="M2975" i="2"/>
  <c r="L2975" i="2"/>
  <c r="K2975" i="2"/>
  <c r="G2975" i="2"/>
  <c r="E2975" i="2"/>
  <c r="B2975" i="2"/>
  <c r="S2974" i="2"/>
  <c r="P2974" i="2"/>
  <c r="M2974" i="2"/>
  <c r="L2974" i="2"/>
  <c r="K2974" i="2"/>
  <c r="G2974" i="2"/>
  <c r="E2974" i="2"/>
  <c r="B2974" i="2"/>
  <c r="S2973" i="2"/>
  <c r="P2973" i="2"/>
  <c r="M2973" i="2"/>
  <c r="L2973" i="2"/>
  <c r="K2973" i="2"/>
  <c r="G2973" i="2"/>
  <c r="E2973" i="2"/>
  <c r="B2973" i="2"/>
  <c r="S2972" i="2"/>
  <c r="P2972" i="2"/>
  <c r="M2972" i="2"/>
  <c r="L2972" i="2"/>
  <c r="K2972" i="2"/>
  <c r="H2972" i="2"/>
  <c r="G2972" i="2"/>
  <c r="E2972" i="2"/>
  <c r="B2972" i="2"/>
  <c r="S2971" i="2"/>
  <c r="P2971" i="2"/>
  <c r="M2971" i="2"/>
  <c r="L2971" i="2"/>
  <c r="K2971" i="2"/>
  <c r="H2971" i="2"/>
  <c r="G2971" i="2"/>
  <c r="E2971" i="2"/>
  <c r="B2971" i="2"/>
  <c r="S2970" i="2"/>
  <c r="P2970" i="2"/>
  <c r="M2970" i="2"/>
  <c r="L2970" i="2"/>
  <c r="K2970" i="2"/>
  <c r="G2970" i="2"/>
  <c r="E2970" i="2"/>
  <c r="B2970" i="2"/>
  <c r="S2969" i="2"/>
  <c r="P2969" i="2"/>
  <c r="M2969" i="2"/>
  <c r="L2969" i="2"/>
  <c r="K2969" i="2"/>
  <c r="G2969" i="2"/>
  <c r="E2969" i="2"/>
  <c r="B2969" i="2"/>
  <c r="S2968" i="2"/>
  <c r="P2968" i="2"/>
  <c r="M2968" i="2"/>
  <c r="L2968" i="2"/>
  <c r="K2968" i="2"/>
  <c r="H2968" i="2"/>
  <c r="G2968" i="2"/>
  <c r="E2968" i="2"/>
  <c r="B2968" i="2"/>
  <c r="S2967" i="2"/>
  <c r="P2967" i="2"/>
  <c r="M2967" i="2"/>
  <c r="L2967" i="2"/>
  <c r="K2967" i="2"/>
  <c r="H2967" i="2"/>
  <c r="G2967" i="2"/>
  <c r="E2967" i="2"/>
  <c r="B2967" i="2"/>
  <c r="S2966" i="2"/>
  <c r="P2966" i="2"/>
  <c r="M2966" i="2"/>
  <c r="L2966" i="2"/>
  <c r="K2966" i="2"/>
  <c r="G2966" i="2"/>
  <c r="E2966" i="2"/>
  <c r="B2966" i="2"/>
  <c r="S2965" i="2"/>
  <c r="P2965" i="2"/>
  <c r="M2965" i="2"/>
  <c r="L2965" i="2"/>
  <c r="K2965" i="2"/>
  <c r="G2965" i="2"/>
  <c r="E2965" i="2"/>
  <c r="B2965" i="2"/>
  <c r="S2964" i="2"/>
  <c r="P2964" i="2"/>
  <c r="M2964" i="2"/>
  <c r="L2964" i="2"/>
  <c r="K2964" i="2"/>
  <c r="G2964" i="2"/>
  <c r="E2964" i="2"/>
  <c r="B2964" i="2"/>
  <c r="S2963" i="2"/>
  <c r="P2963" i="2"/>
  <c r="M2963" i="2"/>
  <c r="L2963" i="2"/>
  <c r="K2963" i="2"/>
  <c r="H2963" i="2"/>
  <c r="G2963" i="2"/>
  <c r="E2963" i="2"/>
  <c r="B2963" i="2"/>
  <c r="S2962" i="2"/>
  <c r="P2962" i="2"/>
  <c r="M2962" i="2"/>
  <c r="L2962" i="2"/>
  <c r="K2962" i="2"/>
  <c r="G2962" i="2"/>
  <c r="E2962" i="2"/>
  <c r="B2962" i="2"/>
  <c r="S2961" i="2"/>
  <c r="P2961" i="2"/>
  <c r="M2961" i="2"/>
  <c r="L2961" i="2"/>
  <c r="K2961" i="2"/>
  <c r="G2961" i="2"/>
  <c r="E2961" i="2"/>
  <c r="B2961" i="2"/>
  <c r="S2960" i="2"/>
  <c r="P2960" i="2"/>
  <c r="M2960" i="2"/>
  <c r="L2960" i="2"/>
  <c r="K2960" i="2"/>
  <c r="G2960" i="2"/>
  <c r="E2960" i="2"/>
  <c r="B2960" i="2"/>
  <c r="S2959" i="2"/>
  <c r="P2959" i="2"/>
  <c r="M2959" i="2"/>
  <c r="L2959" i="2"/>
  <c r="K2959" i="2"/>
  <c r="H2959" i="2"/>
  <c r="G2959" i="2"/>
  <c r="E2959" i="2"/>
  <c r="B2959" i="2"/>
  <c r="S2958" i="2"/>
  <c r="P2958" i="2"/>
  <c r="M2958" i="2"/>
  <c r="L2958" i="2"/>
  <c r="K2958" i="2"/>
  <c r="G2958" i="2"/>
  <c r="E2958" i="2"/>
  <c r="B2958" i="2"/>
  <c r="S2957" i="2"/>
  <c r="P2957" i="2"/>
  <c r="M2957" i="2"/>
  <c r="L2957" i="2"/>
  <c r="K2957" i="2"/>
  <c r="G2957" i="2"/>
  <c r="E2957" i="2"/>
  <c r="B2957" i="2"/>
  <c r="S2956" i="2"/>
  <c r="P2956" i="2"/>
  <c r="M2956" i="2"/>
  <c r="L2956" i="2"/>
  <c r="K2956" i="2"/>
  <c r="H2956" i="2"/>
  <c r="G2956" i="2"/>
  <c r="E2956" i="2"/>
  <c r="B2956" i="2"/>
  <c r="S2955" i="2"/>
  <c r="P2955" i="2"/>
  <c r="M2955" i="2"/>
  <c r="L2955" i="2"/>
  <c r="K2955" i="2"/>
  <c r="G2955" i="2"/>
  <c r="E2955" i="2"/>
  <c r="B2955" i="2"/>
  <c r="S2954" i="2"/>
  <c r="P2954" i="2"/>
  <c r="M2954" i="2"/>
  <c r="L2954" i="2"/>
  <c r="K2954" i="2"/>
  <c r="H2954" i="2"/>
  <c r="G2954" i="2"/>
  <c r="E2954" i="2"/>
  <c r="B2954" i="2"/>
  <c r="S2953" i="2"/>
  <c r="P2953" i="2"/>
  <c r="M2953" i="2"/>
  <c r="L2953" i="2"/>
  <c r="K2953" i="2"/>
  <c r="H2953" i="2"/>
  <c r="G2953" i="2"/>
  <c r="E2953" i="2"/>
  <c r="B2953" i="2"/>
  <c r="S2952" i="2"/>
  <c r="P2952" i="2"/>
  <c r="M2952" i="2"/>
  <c r="L2952" i="2"/>
  <c r="K2952" i="2"/>
  <c r="H2952" i="2"/>
  <c r="G2952" i="2"/>
  <c r="E2952" i="2"/>
  <c r="B2952" i="2"/>
  <c r="S2951" i="2"/>
  <c r="P2951" i="2"/>
  <c r="M2951" i="2"/>
  <c r="L2951" i="2"/>
  <c r="K2951" i="2"/>
  <c r="H2951" i="2"/>
  <c r="G2951" i="2"/>
  <c r="E2951" i="2"/>
  <c r="B2951" i="2"/>
  <c r="S2950" i="2"/>
  <c r="P2950" i="2"/>
  <c r="M2950" i="2"/>
  <c r="L2950" i="2"/>
  <c r="K2950" i="2"/>
  <c r="H2950" i="2"/>
  <c r="G2950" i="2"/>
  <c r="E2950" i="2"/>
  <c r="B2950" i="2"/>
  <c r="S2949" i="2"/>
  <c r="P2949" i="2"/>
  <c r="M2949" i="2"/>
  <c r="L2949" i="2"/>
  <c r="K2949" i="2"/>
  <c r="H2949" i="2"/>
  <c r="G2949" i="2"/>
  <c r="E2949" i="2"/>
  <c r="B2949" i="2"/>
  <c r="S2948" i="2"/>
  <c r="P2948" i="2"/>
  <c r="M2948" i="2"/>
  <c r="L2948" i="2"/>
  <c r="K2948" i="2"/>
  <c r="H2948" i="2"/>
  <c r="G2948" i="2"/>
  <c r="E2948" i="2"/>
  <c r="B2948" i="2"/>
  <c r="S2947" i="2"/>
  <c r="P2947" i="2"/>
  <c r="M2947" i="2"/>
  <c r="L2947" i="2"/>
  <c r="K2947" i="2"/>
  <c r="H2947" i="2"/>
  <c r="G2947" i="2"/>
  <c r="E2947" i="2"/>
  <c r="B2947" i="2"/>
  <c r="S2946" i="2"/>
  <c r="P2946" i="2"/>
  <c r="M2946" i="2"/>
  <c r="L2946" i="2"/>
  <c r="K2946" i="2"/>
  <c r="H2946" i="2"/>
  <c r="G2946" i="2"/>
  <c r="E2946" i="2"/>
  <c r="B2946" i="2"/>
  <c r="S2945" i="2"/>
  <c r="P2945" i="2"/>
  <c r="M2945" i="2"/>
  <c r="L2945" i="2"/>
  <c r="K2945" i="2"/>
  <c r="H2945" i="2"/>
  <c r="G2945" i="2"/>
  <c r="E2945" i="2"/>
  <c r="B2945" i="2"/>
  <c r="S2944" i="2"/>
  <c r="P2944" i="2"/>
  <c r="M2944" i="2"/>
  <c r="L2944" i="2"/>
  <c r="K2944" i="2"/>
  <c r="H2944" i="2"/>
  <c r="G2944" i="2"/>
  <c r="E2944" i="2"/>
  <c r="B2944" i="2"/>
  <c r="S2943" i="2"/>
  <c r="P2943" i="2"/>
  <c r="M2943" i="2"/>
  <c r="L2943" i="2"/>
  <c r="K2943" i="2"/>
  <c r="H2943" i="2"/>
  <c r="G2943" i="2"/>
  <c r="E2943" i="2"/>
  <c r="B2943" i="2"/>
  <c r="S2942" i="2"/>
  <c r="P2942" i="2"/>
  <c r="M2942" i="2"/>
  <c r="L2942" i="2"/>
  <c r="K2942" i="2"/>
  <c r="H2942" i="2"/>
  <c r="G2942" i="2"/>
  <c r="E2942" i="2"/>
  <c r="B2942" i="2"/>
  <c r="S2941" i="2"/>
  <c r="P2941" i="2"/>
  <c r="M2941" i="2"/>
  <c r="L2941" i="2"/>
  <c r="K2941" i="2"/>
  <c r="H2941" i="2"/>
  <c r="G2941" i="2"/>
  <c r="E2941" i="2"/>
  <c r="B2941" i="2"/>
  <c r="S2940" i="2"/>
  <c r="P2940" i="2"/>
  <c r="M2940" i="2"/>
  <c r="L2940" i="2"/>
  <c r="K2940" i="2"/>
  <c r="H2940" i="2"/>
  <c r="G2940" i="2"/>
  <c r="E2940" i="2"/>
  <c r="B2940" i="2"/>
  <c r="S2939" i="2"/>
  <c r="P2939" i="2"/>
  <c r="M2939" i="2"/>
  <c r="L2939" i="2"/>
  <c r="K2939" i="2"/>
  <c r="H2939" i="2"/>
  <c r="G2939" i="2"/>
  <c r="E2939" i="2"/>
  <c r="B2939" i="2"/>
  <c r="S2938" i="2"/>
  <c r="P2938" i="2"/>
  <c r="M2938" i="2"/>
  <c r="L2938" i="2"/>
  <c r="K2938" i="2"/>
  <c r="H2938" i="2"/>
  <c r="G2938" i="2"/>
  <c r="E2938" i="2"/>
  <c r="B2938" i="2"/>
  <c r="S2937" i="2"/>
  <c r="P2937" i="2"/>
  <c r="M2937" i="2"/>
  <c r="L2937" i="2"/>
  <c r="K2937" i="2"/>
  <c r="H2937" i="2"/>
  <c r="G2937" i="2"/>
  <c r="E2937" i="2"/>
  <c r="B2937" i="2"/>
  <c r="S2936" i="2"/>
  <c r="P2936" i="2"/>
  <c r="M2936" i="2"/>
  <c r="L2936" i="2"/>
  <c r="K2936" i="2"/>
  <c r="H2936" i="2"/>
  <c r="G2936" i="2"/>
  <c r="E2936" i="2"/>
  <c r="B2936" i="2"/>
  <c r="S2935" i="2"/>
  <c r="P2935" i="2"/>
  <c r="M2935" i="2"/>
  <c r="L2935" i="2"/>
  <c r="K2935" i="2"/>
  <c r="H2935" i="2"/>
  <c r="G2935" i="2"/>
  <c r="E2935" i="2"/>
  <c r="B2935" i="2"/>
  <c r="S2934" i="2"/>
  <c r="P2934" i="2"/>
  <c r="M2934" i="2"/>
  <c r="L2934" i="2"/>
  <c r="K2934" i="2"/>
  <c r="H2934" i="2"/>
  <c r="G2934" i="2"/>
  <c r="E2934" i="2"/>
  <c r="B2934" i="2"/>
  <c r="S2933" i="2"/>
  <c r="P2933" i="2"/>
  <c r="M2933" i="2"/>
  <c r="L2933" i="2"/>
  <c r="K2933" i="2"/>
  <c r="H2933" i="2"/>
  <c r="G2933" i="2"/>
  <c r="E2933" i="2"/>
  <c r="B2933" i="2"/>
  <c r="S2932" i="2"/>
  <c r="P2932" i="2"/>
  <c r="M2932" i="2"/>
  <c r="L2932" i="2"/>
  <c r="K2932" i="2"/>
  <c r="H2932" i="2"/>
  <c r="G2932" i="2"/>
  <c r="E2932" i="2"/>
  <c r="B2932" i="2"/>
  <c r="S2931" i="2"/>
  <c r="P2931" i="2"/>
  <c r="M2931" i="2"/>
  <c r="L2931" i="2"/>
  <c r="K2931" i="2"/>
  <c r="H2931" i="2"/>
  <c r="G2931" i="2"/>
  <c r="E2931" i="2"/>
  <c r="B2931" i="2"/>
  <c r="S2930" i="2"/>
  <c r="P2930" i="2"/>
  <c r="M2930" i="2"/>
  <c r="L2930" i="2"/>
  <c r="K2930" i="2"/>
  <c r="H2930" i="2"/>
  <c r="G2930" i="2"/>
  <c r="E2930" i="2"/>
  <c r="B2930" i="2"/>
  <c r="S2929" i="2"/>
  <c r="P2929" i="2"/>
  <c r="M2929" i="2"/>
  <c r="L2929" i="2"/>
  <c r="K2929" i="2"/>
  <c r="H2929" i="2"/>
  <c r="G2929" i="2"/>
  <c r="E2929" i="2"/>
  <c r="B2929" i="2"/>
  <c r="S2928" i="2"/>
  <c r="P2928" i="2"/>
  <c r="M2928" i="2"/>
  <c r="L2928" i="2"/>
  <c r="K2928" i="2"/>
  <c r="H2928" i="2"/>
  <c r="G2928" i="2"/>
  <c r="E2928" i="2"/>
  <c r="B2928" i="2"/>
  <c r="S2927" i="2"/>
  <c r="P2927" i="2"/>
  <c r="M2927" i="2"/>
  <c r="L2927" i="2"/>
  <c r="K2927" i="2"/>
  <c r="H2927" i="2"/>
  <c r="G2927" i="2"/>
  <c r="E2927" i="2"/>
  <c r="B2927" i="2"/>
  <c r="S2926" i="2"/>
  <c r="P2926" i="2"/>
  <c r="M2926" i="2"/>
  <c r="L2926" i="2"/>
  <c r="K2926" i="2"/>
  <c r="H2926" i="2"/>
  <c r="G2926" i="2"/>
  <c r="E2926" i="2"/>
  <c r="B2926" i="2"/>
  <c r="S2925" i="2"/>
  <c r="P2925" i="2"/>
  <c r="M2925" i="2"/>
  <c r="L2925" i="2"/>
  <c r="K2925" i="2"/>
  <c r="H2925" i="2"/>
  <c r="G2925" i="2"/>
  <c r="E2925" i="2"/>
  <c r="B2925" i="2"/>
  <c r="S2924" i="2"/>
  <c r="P2924" i="2"/>
  <c r="M2924" i="2"/>
  <c r="L2924" i="2"/>
  <c r="K2924" i="2"/>
  <c r="H2924" i="2"/>
  <c r="G2924" i="2"/>
  <c r="E2924" i="2"/>
  <c r="B2924" i="2"/>
  <c r="S2923" i="2"/>
  <c r="P2923" i="2"/>
  <c r="M2923" i="2"/>
  <c r="L2923" i="2"/>
  <c r="K2923" i="2"/>
  <c r="G2923" i="2"/>
  <c r="E2923" i="2"/>
  <c r="B2923" i="2"/>
  <c r="S2922" i="2"/>
  <c r="P2922" i="2"/>
  <c r="M2922" i="2"/>
  <c r="L2922" i="2"/>
  <c r="K2922" i="2"/>
  <c r="G2922" i="2"/>
  <c r="E2922" i="2"/>
  <c r="B2922" i="2"/>
  <c r="S2921" i="2"/>
  <c r="P2921" i="2"/>
  <c r="M2921" i="2"/>
  <c r="L2921" i="2"/>
  <c r="K2921" i="2"/>
  <c r="G2921" i="2"/>
  <c r="E2921" i="2"/>
  <c r="B2921" i="2"/>
  <c r="S2920" i="2"/>
  <c r="P2920" i="2"/>
  <c r="M2920" i="2"/>
  <c r="L2920" i="2"/>
  <c r="K2920" i="2"/>
  <c r="G2920" i="2"/>
  <c r="E2920" i="2"/>
  <c r="B2920" i="2"/>
  <c r="S2919" i="2"/>
  <c r="P2919" i="2"/>
  <c r="M2919" i="2"/>
  <c r="L2919" i="2"/>
  <c r="K2919" i="2"/>
  <c r="G2919" i="2"/>
  <c r="E2919" i="2"/>
  <c r="B2919" i="2"/>
  <c r="S2918" i="2"/>
  <c r="P2918" i="2"/>
  <c r="M2918" i="2"/>
  <c r="L2918" i="2"/>
  <c r="K2918" i="2"/>
  <c r="G2918" i="2"/>
  <c r="E2918" i="2"/>
  <c r="B2918" i="2"/>
  <c r="S2917" i="2"/>
  <c r="P2917" i="2"/>
  <c r="M2917" i="2"/>
  <c r="L2917" i="2"/>
  <c r="K2917" i="2"/>
  <c r="G2917" i="2"/>
  <c r="E2917" i="2"/>
  <c r="B2917" i="2"/>
  <c r="S2916" i="2"/>
  <c r="P2916" i="2"/>
  <c r="M2916" i="2"/>
  <c r="L2916" i="2"/>
  <c r="K2916" i="2"/>
  <c r="G2916" i="2"/>
  <c r="E2916" i="2"/>
  <c r="B2916" i="2"/>
  <c r="S2915" i="2"/>
  <c r="P2915" i="2"/>
  <c r="M2915" i="2"/>
  <c r="L2915" i="2"/>
  <c r="K2915" i="2"/>
  <c r="G2915" i="2"/>
  <c r="E2915" i="2"/>
  <c r="B2915" i="2"/>
  <c r="S2914" i="2"/>
  <c r="P2914" i="2"/>
  <c r="M2914" i="2"/>
  <c r="L2914" i="2"/>
  <c r="K2914" i="2"/>
  <c r="G2914" i="2"/>
  <c r="E2914" i="2"/>
  <c r="B2914" i="2"/>
  <c r="S2913" i="2"/>
  <c r="P2913" i="2"/>
  <c r="M2913" i="2"/>
  <c r="L2913" i="2"/>
  <c r="K2913" i="2"/>
  <c r="G2913" i="2"/>
  <c r="E2913" i="2"/>
  <c r="B2913" i="2"/>
  <c r="S2912" i="2"/>
  <c r="P2912" i="2"/>
  <c r="M2912" i="2"/>
  <c r="L2912" i="2"/>
  <c r="K2912" i="2"/>
  <c r="G2912" i="2"/>
  <c r="E2912" i="2"/>
  <c r="B2912" i="2"/>
  <c r="S2911" i="2"/>
  <c r="P2911" i="2"/>
  <c r="M2911" i="2"/>
  <c r="L2911" i="2"/>
  <c r="K2911" i="2"/>
  <c r="G2911" i="2"/>
  <c r="E2911" i="2"/>
  <c r="B2911" i="2"/>
  <c r="S2910" i="2"/>
  <c r="P2910" i="2"/>
  <c r="M2910" i="2"/>
  <c r="L2910" i="2"/>
  <c r="K2910" i="2"/>
  <c r="G2910" i="2"/>
  <c r="E2910" i="2"/>
  <c r="B2910" i="2"/>
  <c r="S2909" i="2"/>
  <c r="P2909" i="2"/>
  <c r="M2909" i="2"/>
  <c r="L2909" i="2"/>
  <c r="K2909" i="2"/>
  <c r="G2909" i="2"/>
  <c r="E2909" i="2"/>
  <c r="B2909" i="2"/>
  <c r="S2908" i="2"/>
  <c r="P2908" i="2"/>
  <c r="M2908" i="2"/>
  <c r="L2908" i="2"/>
  <c r="K2908" i="2"/>
  <c r="G2908" i="2"/>
  <c r="E2908" i="2"/>
  <c r="B2908" i="2"/>
  <c r="S2907" i="2"/>
  <c r="P2907" i="2"/>
  <c r="M2907" i="2"/>
  <c r="L2907" i="2"/>
  <c r="K2907" i="2"/>
  <c r="G2907" i="2"/>
  <c r="E2907" i="2"/>
  <c r="B2907" i="2"/>
  <c r="S2906" i="2"/>
  <c r="P2906" i="2"/>
  <c r="M2906" i="2"/>
  <c r="L2906" i="2"/>
  <c r="K2906" i="2"/>
  <c r="G2906" i="2"/>
  <c r="E2906" i="2"/>
  <c r="B2906" i="2"/>
  <c r="S2905" i="2"/>
  <c r="P2905" i="2"/>
  <c r="M2905" i="2"/>
  <c r="L2905" i="2"/>
  <c r="K2905" i="2"/>
  <c r="G2905" i="2"/>
  <c r="E2905" i="2"/>
  <c r="B2905" i="2"/>
  <c r="S2904" i="2"/>
  <c r="P2904" i="2"/>
  <c r="M2904" i="2"/>
  <c r="L2904" i="2"/>
  <c r="K2904" i="2"/>
  <c r="G2904" i="2"/>
  <c r="E2904" i="2"/>
  <c r="B2904" i="2"/>
  <c r="S2903" i="2"/>
  <c r="P2903" i="2"/>
  <c r="M2903" i="2"/>
  <c r="L2903" i="2"/>
  <c r="K2903" i="2"/>
  <c r="G2903" i="2"/>
  <c r="E2903" i="2"/>
  <c r="B2903" i="2"/>
  <c r="S2902" i="2"/>
  <c r="P2902" i="2"/>
  <c r="M2902" i="2"/>
  <c r="L2902" i="2"/>
  <c r="K2902" i="2"/>
  <c r="G2902" i="2"/>
  <c r="E2902" i="2"/>
  <c r="B2902" i="2"/>
  <c r="S2901" i="2"/>
  <c r="P2901" i="2"/>
  <c r="M2901" i="2"/>
  <c r="L2901" i="2"/>
  <c r="K2901" i="2"/>
  <c r="H2901" i="2"/>
  <c r="G2901" i="2"/>
  <c r="E2901" i="2"/>
  <c r="B2901" i="2"/>
  <c r="S2900" i="2"/>
  <c r="P2900" i="2"/>
  <c r="M2900" i="2"/>
  <c r="L2900" i="2"/>
  <c r="K2900" i="2"/>
  <c r="G2900" i="2"/>
  <c r="E2900" i="2"/>
  <c r="B2900" i="2"/>
  <c r="S2899" i="2"/>
  <c r="P2899" i="2"/>
  <c r="M2899" i="2"/>
  <c r="L2899" i="2"/>
  <c r="K2899" i="2"/>
  <c r="G2899" i="2"/>
  <c r="E2899" i="2"/>
  <c r="B2899" i="2"/>
  <c r="S2898" i="2"/>
  <c r="P2898" i="2"/>
  <c r="M2898" i="2"/>
  <c r="L2898" i="2"/>
  <c r="K2898" i="2"/>
  <c r="G2898" i="2"/>
  <c r="E2898" i="2"/>
  <c r="B2898" i="2"/>
  <c r="S2897" i="2"/>
  <c r="P2897" i="2"/>
  <c r="M2897" i="2"/>
  <c r="L2897" i="2"/>
  <c r="K2897" i="2"/>
  <c r="G2897" i="2"/>
  <c r="E2897" i="2"/>
  <c r="B2897" i="2"/>
  <c r="S2896" i="2"/>
  <c r="P2896" i="2"/>
  <c r="M2896" i="2"/>
  <c r="L2896" i="2"/>
  <c r="K2896" i="2"/>
  <c r="G2896" i="2"/>
  <c r="E2896" i="2"/>
  <c r="B2896" i="2"/>
  <c r="S2895" i="2"/>
  <c r="P2895" i="2"/>
  <c r="M2895" i="2"/>
  <c r="L2895" i="2"/>
  <c r="K2895" i="2"/>
  <c r="G2895" i="2"/>
  <c r="E2895" i="2"/>
  <c r="B2895" i="2"/>
  <c r="S2894" i="2"/>
  <c r="P2894" i="2"/>
  <c r="M2894" i="2"/>
  <c r="L2894" i="2"/>
  <c r="K2894" i="2"/>
  <c r="G2894" i="2"/>
  <c r="E2894" i="2"/>
  <c r="B2894" i="2"/>
  <c r="S2893" i="2"/>
  <c r="P2893" i="2"/>
  <c r="M2893" i="2"/>
  <c r="L2893" i="2"/>
  <c r="K2893" i="2"/>
  <c r="G2893" i="2"/>
  <c r="E2893" i="2"/>
  <c r="B2893" i="2"/>
  <c r="S2892" i="2"/>
  <c r="P2892" i="2"/>
  <c r="M2892" i="2"/>
  <c r="L2892" i="2"/>
  <c r="K2892" i="2"/>
  <c r="G2892" i="2"/>
  <c r="E2892" i="2"/>
  <c r="B2892" i="2"/>
  <c r="S2891" i="2"/>
  <c r="P2891" i="2"/>
  <c r="M2891" i="2"/>
  <c r="L2891" i="2"/>
  <c r="K2891" i="2"/>
  <c r="G2891" i="2"/>
  <c r="E2891" i="2"/>
  <c r="B2891" i="2"/>
  <c r="S2890" i="2"/>
  <c r="P2890" i="2"/>
  <c r="M2890" i="2"/>
  <c r="L2890" i="2"/>
  <c r="K2890" i="2"/>
  <c r="G2890" i="2"/>
  <c r="E2890" i="2"/>
  <c r="B2890" i="2"/>
  <c r="S2889" i="2"/>
  <c r="P2889" i="2"/>
  <c r="M2889" i="2"/>
  <c r="L2889" i="2"/>
  <c r="K2889" i="2"/>
  <c r="G2889" i="2"/>
  <c r="E2889" i="2"/>
  <c r="B2889" i="2"/>
  <c r="S2888" i="2"/>
  <c r="P2888" i="2"/>
  <c r="M2888" i="2"/>
  <c r="L2888" i="2"/>
  <c r="K2888" i="2"/>
  <c r="H2888" i="2"/>
  <c r="G2888" i="2"/>
  <c r="E2888" i="2"/>
  <c r="B2888" i="2"/>
  <c r="S2887" i="2"/>
  <c r="P2887" i="2"/>
  <c r="M2887" i="2"/>
  <c r="L2887" i="2"/>
  <c r="K2887" i="2"/>
  <c r="G2887" i="2"/>
  <c r="E2887" i="2"/>
  <c r="B2887" i="2"/>
  <c r="S2886" i="2"/>
  <c r="P2886" i="2"/>
  <c r="M2886" i="2"/>
  <c r="L2886" i="2"/>
  <c r="K2886" i="2"/>
  <c r="G2886" i="2"/>
  <c r="E2886" i="2"/>
  <c r="B2886" i="2"/>
  <c r="S2885" i="2"/>
  <c r="P2885" i="2"/>
  <c r="M2885" i="2"/>
  <c r="L2885" i="2"/>
  <c r="K2885" i="2"/>
  <c r="H2885" i="2"/>
  <c r="G2885" i="2"/>
  <c r="E2885" i="2"/>
  <c r="B2885" i="2"/>
  <c r="S2884" i="2"/>
  <c r="P2884" i="2"/>
  <c r="M2884" i="2"/>
  <c r="L2884" i="2"/>
  <c r="K2884" i="2"/>
  <c r="G2884" i="2"/>
  <c r="E2884" i="2"/>
  <c r="B2884" i="2"/>
  <c r="S2883" i="2"/>
  <c r="P2883" i="2"/>
  <c r="M2883" i="2"/>
  <c r="L2883" i="2"/>
  <c r="K2883" i="2"/>
  <c r="G2883" i="2"/>
  <c r="E2883" i="2"/>
  <c r="B2883" i="2"/>
  <c r="S2882" i="2"/>
  <c r="P2882" i="2"/>
  <c r="M2882" i="2"/>
  <c r="L2882" i="2"/>
  <c r="K2882" i="2"/>
  <c r="G2882" i="2"/>
  <c r="E2882" i="2"/>
  <c r="B2882" i="2"/>
  <c r="S2881" i="2"/>
  <c r="P2881" i="2"/>
  <c r="M2881" i="2"/>
  <c r="L2881" i="2"/>
  <c r="K2881" i="2"/>
  <c r="G2881" i="2"/>
  <c r="E2881" i="2"/>
  <c r="B2881" i="2"/>
  <c r="S2880" i="2"/>
  <c r="P2880" i="2"/>
  <c r="M2880" i="2"/>
  <c r="L2880" i="2"/>
  <c r="K2880" i="2"/>
  <c r="H2880" i="2"/>
  <c r="G2880" i="2"/>
  <c r="E2880" i="2"/>
  <c r="B2880" i="2"/>
  <c r="S2879" i="2"/>
  <c r="P2879" i="2"/>
  <c r="M2879" i="2"/>
  <c r="L2879" i="2"/>
  <c r="K2879" i="2"/>
  <c r="H2879" i="2"/>
  <c r="G2879" i="2"/>
  <c r="E2879" i="2"/>
  <c r="B2879" i="2"/>
  <c r="S2878" i="2"/>
  <c r="P2878" i="2"/>
  <c r="M2878" i="2"/>
  <c r="L2878" i="2"/>
  <c r="K2878" i="2"/>
  <c r="G2878" i="2"/>
  <c r="E2878" i="2"/>
  <c r="B2878" i="2"/>
  <c r="S2877" i="2"/>
  <c r="P2877" i="2"/>
  <c r="M2877" i="2"/>
  <c r="L2877" i="2"/>
  <c r="K2877" i="2"/>
  <c r="G2877" i="2"/>
  <c r="E2877" i="2"/>
  <c r="B2877" i="2"/>
  <c r="S2876" i="2"/>
  <c r="P2876" i="2"/>
  <c r="M2876" i="2"/>
  <c r="L2876" i="2"/>
  <c r="K2876" i="2"/>
  <c r="H2876" i="2"/>
  <c r="G2876" i="2"/>
  <c r="E2876" i="2"/>
  <c r="B2876" i="2"/>
  <c r="S2875" i="2"/>
  <c r="P2875" i="2"/>
  <c r="M2875" i="2"/>
  <c r="L2875" i="2"/>
  <c r="K2875" i="2"/>
  <c r="H2875" i="2"/>
  <c r="G2875" i="2"/>
  <c r="E2875" i="2"/>
  <c r="B2875" i="2"/>
  <c r="S2874" i="2"/>
  <c r="P2874" i="2"/>
  <c r="M2874" i="2"/>
  <c r="L2874" i="2"/>
  <c r="K2874" i="2"/>
  <c r="G2874" i="2"/>
  <c r="E2874" i="2"/>
  <c r="B2874" i="2"/>
  <c r="S2873" i="2"/>
  <c r="P2873" i="2"/>
  <c r="M2873" i="2"/>
  <c r="L2873" i="2"/>
  <c r="K2873" i="2"/>
  <c r="H2873" i="2"/>
  <c r="G2873" i="2"/>
  <c r="E2873" i="2"/>
  <c r="B2873" i="2"/>
  <c r="S2872" i="2"/>
  <c r="P2872" i="2"/>
  <c r="M2872" i="2"/>
  <c r="L2872" i="2"/>
  <c r="K2872" i="2"/>
  <c r="G2872" i="2"/>
  <c r="E2872" i="2"/>
  <c r="B2872" i="2"/>
  <c r="S2871" i="2"/>
  <c r="P2871" i="2"/>
  <c r="M2871" i="2"/>
  <c r="L2871" i="2"/>
  <c r="K2871" i="2"/>
  <c r="G2871" i="2"/>
  <c r="E2871" i="2"/>
  <c r="B2871" i="2"/>
  <c r="S2870" i="2"/>
  <c r="P2870" i="2"/>
  <c r="M2870" i="2"/>
  <c r="L2870" i="2"/>
  <c r="K2870" i="2"/>
  <c r="G2870" i="2"/>
  <c r="E2870" i="2"/>
  <c r="B2870" i="2"/>
  <c r="S2869" i="2"/>
  <c r="P2869" i="2"/>
  <c r="M2869" i="2"/>
  <c r="L2869" i="2"/>
  <c r="K2869" i="2"/>
  <c r="G2869" i="2"/>
  <c r="E2869" i="2"/>
  <c r="B2869" i="2"/>
  <c r="S2868" i="2"/>
  <c r="P2868" i="2"/>
  <c r="M2868" i="2"/>
  <c r="L2868" i="2"/>
  <c r="K2868" i="2"/>
  <c r="G2868" i="2"/>
  <c r="E2868" i="2"/>
  <c r="B2868" i="2"/>
  <c r="S2867" i="2"/>
  <c r="P2867" i="2"/>
  <c r="M2867" i="2"/>
  <c r="L2867" i="2"/>
  <c r="K2867" i="2"/>
  <c r="G2867" i="2"/>
  <c r="E2867" i="2"/>
  <c r="B2867" i="2"/>
  <c r="S2866" i="2"/>
  <c r="P2866" i="2"/>
  <c r="M2866" i="2"/>
  <c r="L2866" i="2"/>
  <c r="K2866" i="2"/>
  <c r="G2866" i="2"/>
  <c r="E2866" i="2"/>
  <c r="B2866" i="2"/>
  <c r="S2865" i="2"/>
  <c r="P2865" i="2"/>
  <c r="M2865" i="2"/>
  <c r="L2865" i="2"/>
  <c r="K2865" i="2"/>
  <c r="G2865" i="2"/>
  <c r="E2865" i="2"/>
  <c r="B2865" i="2"/>
  <c r="S2864" i="2"/>
  <c r="P2864" i="2"/>
  <c r="M2864" i="2"/>
  <c r="L2864" i="2"/>
  <c r="K2864" i="2"/>
  <c r="G2864" i="2"/>
  <c r="E2864" i="2"/>
  <c r="B2864" i="2"/>
  <c r="S2863" i="2"/>
  <c r="P2863" i="2"/>
  <c r="M2863" i="2"/>
  <c r="L2863" i="2"/>
  <c r="K2863" i="2"/>
  <c r="G2863" i="2"/>
  <c r="E2863" i="2"/>
  <c r="B2863" i="2"/>
  <c r="S2862" i="2"/>
  <c r="P2862" i="2"/>
  <c r="M2862" i="2"/>
  <c r="L2862" i="2"/>
  <c r="K2862" i="2"/>
  <c r="G2862" i="2"/>
  <c r="E2862" i="2"/>
  <c r="B2862" i="2"/>
  <c r="S2861" i="2"/>
  <c r="P2861" i="2"/>
  <c r="M2861" i="2"/>
  <c r="L2861" i="2"/>
  <c r="K2861" i="2"/>
  <c r="G2861" i="2"/>
  <c r="E2861" i="2"/>
  <c r="B2861" i="2"/>
  <c r="S2860" i="2"/>
  <c r="P2860" i="2"/>
  <c r="M2860" i="2"/>
  <c r="L2860" i="2"/>
  <c r="K2860" i="2"/>
  <c r="G2860" i="2"/>
  <c r="E2860" i="2"/>
  <c r="B2860" i="2"/>
  <c r="S2859" i="2"/>
  <c r="P2859" i="2"/>
  <c r="M2859" i="2"/>
  <c r="L2859" i="2"/>
  <c r="K2859" i="2"/>
  <c r="G2859" i="2"/>
  <c r="E2859" i="2"/>
  <c r="B2859" i="2"/>
  <c r="S2858" i="2"/>
  <c r="P2858" i="2"/>
  <c r="M2858" i="2"/>
  <c r="L2858" i="2"/>
  <c r="K2858" i="2"/>
  <c r="G2858" i="2"/>
  <c r="E2858" i="2"/>
  <c r="B2858" i="2"/>
  <c r="S2857" i="2"/>
  <c r="P2857" i="2"/>
  <c r="M2857" i="2"/>
  <c r="L2857" i="2"/>
  <c r="K2857" i="2"/>
  <c r="G2857" i="2"/>
  <c r="E2857" i="2"/>
  <c r="B2857" i="2"/>
  <c r="S2856" i="2"/>
  <c r="P2856" i="2"/>
  <c r="M2856" i="2"/>
  <c r="L2856" i="2"/>
  <c r="K2856" i="2"/>
  <c r="G2856" i="2"/>
  <c r="E2856" i="2"/>
  <c r="B2856" i="2"/>
  <c r="S2855" i="2"/>
  <c r="P2855" i="2"/>
  <c r="M2855" i="2"/>
  <c r="L2855" i="2"/>
  <c r="K2855" i="2"/>
  <c r="G2855" i="2"/>
  <c r="E2855" i="2"/>
  <c r="B2855" i="2"/>
  <c r="S2854" i="2"/>
  <c r="P2854" i="2"/>
  <c r="M2854" i="2"/>
  <c r="L2854" i="2"/>
  <c r="K2854" i="2"/>
  <c r="G2854" i="2"/>
  <c r="E2854" i="2"/>
  <c r="B2854" i="2"/>
  <c r="S2853" i="2"/>
  <c r="P2853" i="2"/>
  <c r="M2853" i="2"/>
  <c r="L2853" i="2"/>
  <c r="K2853" i="2"/>
  <c r="G2853" i="2"/>
  <c r="E2853" i="2"/>
  <c r="B2853" i="2"/>
  <c r="S2852" i="2"/>
  <c r="P2852" i="2"/>
  <c r="M2852" i="2"/>
  <c r="L2852" i="2"/>
  <c r="K2852" i="2"/>
  <c r="G2852" i="2"/>
  <c r="E2852" i="2"/>
  <c r="B2852" i="2"/>
  <c r="S2851" i="2"/>
  <c r="P2851" i="2"/>
  <c r="M2851" i="2"/>
  <c r="L2851" i="2"/>
  <c r="K2851" i="2"/>
  <c r="G2851" i="2"/>
  <c r="E2851" i="2"/>
  <c r="B2851" i="2"/>
  <c r="S2850" i="2"/>
  <c r="P2850" i="2"/>
  <c r="M2850" i="2"/>
  <c r="L2850" i="2"/>
  <c r="K2850" i="2"/>
  <c r="G2850" i="2"/>
  <c r="E2850" i="2"/>
  <c r="B2850" i="2"/>
  <c r="S2849" i="2"/>
  <c r="P2849" i="2"/>
  <c r="M2849" i="2"/>
  <c r="L2849" i="2"/>
  <c r="K2849" i="2"/>
  <c r="H2849" i="2"/>
  <c r="G2849" i="2"/>
  <c r="E2849" i="2"/>
  <c r="B2849" i="2"/>
  <c r="S2848" i="2"/>
  <c r="P2848" i="2"/>
  <c r="M2848" i="2"/>
  <c r="L2848" i="2"/>
  <c r="K2848" i="2"/>
  <c r="G2848" i="2"/>
  <c r="E2848" i="2"/>
  <c r="B2848" i="2"/>
  <c r="S2847" i="2"/>
  <c r="P2847" i="2"/>
  <c r="M2847" i="2"/>
  <c r="L2847" i="2"/>
  <c r="K2847" i="2"/>
  <c r="G2847" i="2"/>
  <c r="E2847" i="2"/>
  <c r="B2847" i="2"/>
  <c r="S2846" i="2"/>
  <c r="P2846" i="2"/>
  <c r="M2846" i="2"/>
  <c r="L2846" i="2"/>
  <c r="K2846" i="2"/>
  <c r="G2846" i="2"/>
  <c r="E2846" i="2"/>
  <c r="B2846" i="2"/>
  <c r="S2845" i="2"/>
  <c r="P2845" i="2"/>
  <c r="M2845" i="2"/>
  <c r="L2845" i="2"/>
  <c r="K2845" i="2"/>
  <c r="G2845" i="2"/>
  <c r="E2845" i="2"/>
  <c r="B2845" i="2"/>
  <c r="S2844" i="2"/>
  <c r="P2844" i="2"/>
  <c r="M2844" i="2"/>
  <c r="L2844" i="2"/>
  <c r="K2844" i="2"/>
  <c r="G2844" i="2"/>
  <c r="E2844" i="2"/>
  <c r="B2844" i="2"/>
  <c r="S2843" i="2"/>
  <c r="P2843" i="2"/>
  <c r="M2843" i="2"/>
  <c r="L2843" i="2"/>
  <c r="K2843" i="2"/>
  <c r="G2843" i="2"/>
  <c r="E2843" i="2"/>
  <c r="B2843" i="2"/>
  <c r="S2842" i="2"/>
  <c r="P2842" i="2"/>
  <c r="M2842" i="2"/>
  <c r="L2842" i="2"/>
  <c r="K2842" i="2"/>
  <c r="G2842" i="2"/>
  <c r="E2842" i="2"/>
  <c r="B2842" i="2"/>
  <c r="S2841" i="2"/>
  <c r="P2841" i="2"/>
  <c r="M2841" i="2"/>
  <c r="L2841" i="2"/>
  <c r="K2841" i="2"/>
  <c r="G2841" i="2"/>
  <c r="E2841" i="2"/>
  <c r="B2841" i="2"/>
  <c r="S2840" i="2"/>
  <c r="P2840" i="2"/>
  <c r="M2840" i="2"/>
  <c r="L2840" i="2"/>
  <c r="K2840" i="2"/>
  <c r="G2840" i="2"/>
  <c r="E2840" i="2"/>
  <c r="B2840" i="2"/>
  <c r="S2839" i="2"/>
  <c r="P2839" i="2"/>
  <c r="M2839" i="2"/>
  <c r="L2839" i="2"/>
  <c r="K2839" i="2"/>
  <c r="G2839" i="2"/>
  <c r="E2839" i="2"/>
  <c r="B2839" i="2"/>
  <c r="S2838" i="2"/>
  <c r="P2838" i="2"/>
  <c r="M2838" i="2"/>
  <c r="L2838" i="2"/>
  <c r="K2838" i="2"/>
  <c r="G2838" i="2"/>
  <c r="E2838" i="2"/>
  <c r="B2838" i="2"/>
  <c r="S2837" i="2"/>
  <c r="P2837" i="2"/>
  <c r="M2837" i="2"/>
  <c r="L2837" i="2"/>
  <c r="K2837" i="2"/>
  <c r="G2837" i="2"/>
  <c r="E2837" i="2"/>
  <c r="B2837" i="2"/>
  <c r="S2836" i="2"/>
  <c r="P2836" i="2"/>
  <c r="M2836" i="2"/>
  <c r="L2836" i="2"/>
  <c r="K2836" i="2"/>
  <c r="G2836" i="2"/>
  <c r="E2836" i="2"/>
  <c r="B2836" i="2"/>
  <c r="S2835" i="2"/>
  <c r="P2835" i="2"/>
  <c r="M2835" i="2"/>
  <c r="L2835" i="2"/>
  <c r="K2835" i="2"/>
  <c r="G2835" i="2"/>
  <c r="E2835" i="2"/>
  <c r="B2835" i="2"/>
  <c r="S2834" i="2"/>
  <c r="P2834" i="2"/>
  <c r="M2834" i="2"/>
  <c r="L2834" i="2"/>
  <c r="K2834" i="2"/>
  <c r="G2834" i="2"/>
  <c r="E2834" i="2"/>
  <c r="B2834" i="2"/>
  <c r="S2833" i="2"/>
  <c r="P2833" i="2"/>
  <c r="M2833" i="2"/>
  <c r="L2833" i="2"/>
  <c r="K2833" i="2"/>
  <c r="G2833" i="2"/>
  <c r="E2833" i="2"/>
  <c r="B2833" i="2"/>
  <c r="S2832" i="2"/>
  <c r="P2832" i="2"/>
  <c r="M2832" i="2"/>
  <c r="L2832" i="2"/>
  <c r="K2832" i="2"/>
  <c r="G2832" i="2"/>
  <c r="E2832" i="2"/>
  <c r="B2832" i="2"/>
  <c r="S2831" i="2"/>
  <c r="P2831" i="2"/>
  <c r="M2831" i="2"/>
  <c r="L2831" i="2"/>
  <c r="K2831" i="2"/>
  <c r="G2831" i="2"/>
  <c r="E2831" i="2"/>
  <c r="B2831" i="2"/>
  <c r="S2830" i="2"/>
  <c r="P2830" i="2"/>
  <c r="M2830" i="2"/>
  <c r="L2830" i="2"/>
  <c r="K2830" i="2"/>
  <c r="G2830" i="2"/>
  <c r="E2830" i="2"/>
  <c r="B2830" i="2"/>
  <c r="S2829" i="2"/>
  <c r="P2829" i="2"/>
  <c r="M2829" i="2"/>
  <c r="L2829" i="2"/>
  <c r="K2829" i="2"/>
  <c r="G2829" i="2"/>
  <c r="E2829" i="2"/>
  <c r="B2829" i="2"/>
  <c r="S2828" i="2"/>
  <c r="P2828" i="2"/>
  <c r="M2828" i="2"/>
  <c r="L2828" i="2"/>
  <c r="K2828" i="2"/>
  <c r="G2828" i="2"/>
  <c r="E2828" i="2"/>
  <c r="B2828" i="2"/>
  <c r="S2827" i="2"/>
  <c r="P2827" i="2"/>
  <c r="M2827" i="2"/>
  <c r="L2827" i="2"/>
  <c r="K2827" i="2"/>
  <c r="G2827" i="2"/>
  <c r="E2827" i="2"/>
  <c r="B2827" i="2"/>
  <c r="S2826" i="2"/>
  <c r="P2826" i="2"/>
  <c r="M2826" i="2"/>
  <c r="L2826" i="2"/>
  <c r="K2826" i="2"/>
  <c r="H2826" i="2"/>
  <c r="G2826" i="2"/>
  <c r="E2826" i="2"/>
  <c r="B2826" i="2"/>
  <c r="S2825" i="2"/>
  <c r="P2825" i="2"/>
  <c r="M2825" i="2"/>
  <c r="L2825" i="2"/>
  <c r="K2825" i="2"/>
  <c r="G2825" i="2"/>
  <c r="E2825" i="2"/>
  <c r="B2825" i="2"/>
  <c r="S2824" i="2"/>
  <c r="P2824" i="2"/>
  <c r="M2824" i="2"/>
  <c r="L2824" i="2"/>
  <c r="K2824" i="2"/>
  <c r="G2824" i="2"/>
  <c r="E2824" i="2"/>
  <c r="B2824" i="2"/>
  <c r="S2823" i="2"/>
  <c r="P2823" i="2"/>
  <c r="M2823" i="2"/>
  <c r="L2823" i="2"/>
  <c r="K2823" i="2"/>
  <c r="G2823" i="2"/>
  <c r="E2823" i="2"/>
  <c r="B2823" i="2"/>
  <c r="S2822" i="2"/>
  <c r="P2822" i="2"/>
  <c r="M2822" i="2"/>
  <c r="L2822" i="2"/>
  <c r="K2822" i="2"/>
  <c r="G2822" i="2"/>
  <c r="E2822" i="2"/>
  <c r="B2822" i="2"/>
  <c r="S2821" i="2"/>
  <c r="P2821" i="2"/>
  <c r="M2821" i="2"/>
  <c r="L2821" i="2"/>
  <c r="K2821" i="2"/>
  <c r="H2821" i="2"/>
  <c r="G2821" i="2"/>
  <c r="E2821" i="2"/>
  <c r="B2821" i="2"/>
  <c r="S2820" i="2"/>
  <c r="P2820" i="2"/>
  <c r="M2820" i="2"/>
  <c r="L2820" i="2"/>
  <c r="K2820" i="2"/>
  <c r="G2820" i="2"/>
  <c r="E2820" i="2"/>
  <c r="B2820" i="2"/>
  <c r="S2819" i="2"/>
  <c r="P2819" i="2"/>
  <c r="M2819" i="2"/>
  <c r="L2819" i="2"/>
  <c r="K2819" i="2"/>
  <c r="G2819" i="2"/>
  <c r="E2819" i="2"/>
  <c r="B2819" i="2"/>
  <c r="S2818" i="2"/>
  <c r="P2818" i="2"/>
  <c r="M2818" i="2"/>
  <c r="L2818" i="2"/>
  <c r="K2818" i="2"/>
  <c r="G2818" i="2"/>
  <c r="E2818" i="2"/>
  <c r="B2818" i="2"/>
  <c r="S2817" i="2"/>
  <c r="P2817" i="2"/>
  <c r="M2817" i="2"/>
  <c r="L2817" i="2"/>
  <c r="K2817" i="2"/>
  <c r="G2817" i="2"/>
  <c r="E2817" i="2"/>
  <c r="B2817" i="2"/>
  <c r="S2816" i="2"/>
  <c r="P2816" i="2"/>
  <c r="M2816" i="2"/>
  <c r="L2816" i="2"/>
  <c r="K2816" i="2"/>
  <c r="G2816" i="2"/>
  <c r="E2816" i="2"/>
  <c r="B2816" i="2"/>
  <c r="S2815" i="2"/>
  <c r="P2815" i="2"/>
  <c r="M2815" i="2"/>
  <c r="L2815" i="2"/>
  <c r="K2815" i="2"/>
  <c r="H2815" i="2"/>
  <c r="G2815" i="2"/>
  <c r="E2815" i="2"/>
  <c r="B2815" i="2"/>
  <c r="S2814" i="2"/>
  <c r="P2814" i="2"/>
  <c r="M2814" i="2"/>
  <c r="L2814" i="2"/>
  <c r="K2814" i="2"/>
  <c r="H2814" i="2"/>
  <c r="G2814" i="2"/>
  <c r="E2814" i="2"/>
  <c r="B2814" i="2"/>
  <c r="S2813" i="2"/>
  <c r="P2813" i="2"/>
  <c r="M2813" i="2"/>
  <c r="L2813" i="2"/>
  <c r="K2813" i="2"/>
  <c r="H2813" i="2"/>
  <c r="G2813" i="2"/>
  <c r="E2813" i="2"/>
  <c r="B2813" i="2"/>
  <c r="S2812" i="2"/>
  <c r="P2812" i="2"/>
  <c r="M2812" i="2"/>
  <c r="L2812" i="2"/>
  <c r="K2812" i="2"/>
  <c r="G2812" i="2"/>
  <c r="E2812" i="2"/>
  <c r="B2812" i="2"/>
  <c r="S2811" i="2"/>
  <c r="P2811" i="2"/>
  <c r="M2811" i="2"/>
  <c r="L2811" i="2"/>
  <c r="K2811" i="2"/>
  <c r="H2811" i="2"/>
  <c r="G2811" i="2"/>
  <c r="E2811" i="2"/>
  <c r="B2811" i="2"/>
  <c r="S2810" i="2"/>
  <c r="P2810" i="2"/>
  <c r="M2810" i="2"/>
  <c r="L2810" i="2"/>
  <c r="K2810" i="2"/>
  <c r="H2810" i="2"/>
  <c r="G2810" i="2"/>
  <c r="E2810" i="2"/>
  <c r="B2810" i="2"/>
  <c r="S2809" i="2"/>
  <c r="P2809" i="2"/>
  <c r="M2809" i="2"/>
  <c r="L2809" i="2"/>
  <c r="K2809" i="2"/>
  <c r="H2809" i="2"/>
  <c r="G2809" i="2"/>
  <c r="E2809" i="2"/>
  <c r="B2809" i="2"/>
  <c r="S2808" i="2"/>
  <c r="P2808" i="2"/>
  <c r="M2808" i="2"/>
  <c r="L2808" i="2"/>
  <c r="K2808" i="2"/>
  <c r="H2808" i="2"/>
  <c r="G2808" i="2"/>
  <c r="E2808" i="2"/>
  <c r="B2808" i="2"/>
  <c r="S2807" i="2"/>
  <c r="P2807" i="2"/>
  <c r="M2807" i="2"/>
  <c r="L2807" i="2"/>
  <c r="K2807" i="2"/>
  <c r="H2807" i="2"/>
  <c r="G2807" i="2"/>
  <c r="E2807" i="2"/>
  <c r="B2807" i="2"/>
  <c r="S2806" i="2"/>
  <c r="P2806" i="2"/>
  <c r="M2806" i="2"/>
  <c r="L2806" i="2"/>
  <c r="K2806" i="2"/>
  <c r="G2806" i="2"/>
  <c r="E2806" i="2"/>
  <c r="B2806" i="2"/>
  <c r="S2805" i="2"/>
  <c r="P2805" i="2"/>
  <c r="M2805" i="2"/>
  <c r="L2805" i="2"/>
  <c r="K2805" i="2"/>
  <c r="H2805" i="2"/>
  <c r="G2805" i="2"/>
  <c r="E2805" i="2"/>
  <c r="B2805" i="2"/>
  <c r="S2804" i="2"/>
  <c r="P2804" i="2"/>
  <c r="M2804" i="2"/>
  <c r="L2804" i="2"/>
  <c r="K2804" i="2"/>
  <c r="H2804" i="2"/>
  <c r="G2804" i="2"/>
  <c r="E2804" i="2"/>
  <c r="B2804" i="2"/>
  <c r="S2803" i="2"/>
  <c r="P2803" i="2"/>
  <c r="M2803" i="2"/>
  <c r="L2803" i="2"/>
  <c r="K2803" i="2"/>
  <c r="G2803" i="2"/>
  <c r="E2803" i="2"/>
  <c r="B2803" i="2"/>
  <c r="S2802" i="2"/>
  <c r="P2802" i="2"/>
  <c r="M2802" i="2"/>
  <c r="L2802" i="2"/>
  <c r="K2802" i="2"/>
  <c r="G2802" i="2"/>
  <c r="E2802" i="2"/>
  <c r="B2802" i="2"/>
  <c r="S2801" i="2"/>
  <c r="P2801" i="2"/>
  <c r="M2801" i="2"/>
  <c r="L2801" i="2"/>
  <c r="K2801" i="2"/>
  <c r="G2801" i="2"/>
  <c r="E2801" i="2"/>
  <c r="B2801" i="2"/>
  <c r="S2800" i="2"/>
  <c r="P2800" i="2"/>
  <c r="M2800" i="2"/>
  <c r="L2800" i="2"/>
  <c r="K2800" i="2"/>
  <c r="G2800" i="2"/>
  <c r="E2800" i="2"/>
  <c r="B2800" i="2"/>
  <c r="S2799" i="2"/>
  <c r="P2799" i="2"/>
  <c r="M2799" i="2"/>
  <c r="L2799" i="2"/>
  <c r="K2799" i="2"/>
  <c r="G2799" i="2"/>
  <c r="E2799" i="2"/>
  <c r="B2799" i="2"/>
  <c r="S2798" i="2"/>
  <c r="P2798" i="2"/>
  <c r="M2798" i="2"/>
  <c r="L2798" i="2"/>
  <c r="K2798" i="2"/>
  <c r="G2798" i="2"/>
  <c r="E2798" i="2"/>
  <c r="B2798" i="2"/>
  <c r="S2797" i="2"/>
  <c r="P2797" i="2"/>
  <c r="M2797" i="2"/>
  <c r="L2797" i="2"/>
  <c r="K2797" i="2"/>
  <c r="G2797" i="2"/>
  <c r="E2797" i="2"/>
  <c r="B2797" i="2"/>
  <c r="S2796" i="2"/>
  <c r="P2796" i="2"/>
  <c r="M2796" i="2"/>
  <c r="L2796" i="2"/>
  <c r="K2796" i="2"/>
  <c r="G2796" i="2"/>
  <c r="E2796" i="2"/>
  <c r="B2796" i="2"/>
  <c r="S2795" i="2"/>
  <c r="P2795" i="2"/>
  <c r="M2795" i="2"/>
  <c r="L2795" i="2"/>
  <c r="K2795" i="2"/>
  <c r="G2795" i="2"/>
  <c r="E2795" i="2"/>
  <c r="B2795" i="2"/>
  <c r="S2794" i="2"/>
  <c r="P2794" i="2"/>
  <c r="M2794" i="2"/>
  <c r="L2794" i="2"/>
  <c r="K2794" i="2"/>
  <c r="G2794" i="2"/>
  <c r="E2794" i="2"/>
  <c r="B2794" i="2"/>
  <c r="S2793" i="2"/>
  <c r="P2793" i="2"/>
  <c r="M2793" i="2"/>
  <c r="L2793" i="2"/>
  <c r="K2793" i="2"/>
  <c r="H2793" i="2"/>
  <c r="G2793" i="2"/>
  <c r="E2793" i="2"/>
  <c r="B2793" i="2"/>
  <c r="S2792" i="2"/>
  <c r="P2792" i="2"/>
  <c r="M2792" i="2"/>
  <c r="L2792" i="2"/>
  <c r="K2792" i="2"/>
  <c r="G2792" i="2"/>
  <c r="E2792" i="2"/>
  <c r="B2792" i="2"/>
  <c r="S2791" i="2"/>
  <c r="P2791" i="2"/>
  <c r="M2791" i="2"/>
  <c r="L2791" i="2"/>
  <c r="K2791" i="2"/>
  <c r="G2791" i="2"/>
  <c r="E2791" i="2"/>
  <c r="B2791" i="2"/>
  <c r="S2790" i="2"/>
  <c r="P2790" i="2"/>
  <c r="M2790" i="2"/>
  <c r="L2790" i="2"/>
  <c r="K2790" i="2"/>
  <c r="G2790" i="2"/>
  <c r="E2790" i="2"/>
  <c r="B2790" i="2"/>
  <c r="S2789" i="2"/>
  <c r="P2789" i="2"/>
  <c r="M2789" i="2"/>
  <c r="L2789" i="2"/>
  <c r="K2789" i="2"/>
  <c r="G2789" i="2"/>
  <c r="E2789" i="2"/>
  <c r="B2789" i="2"/>
  <c r="S2788" i="2"/>
  <c r="P2788" i="2"/>
  <c r="M2788" i="2"/>
  <c r="L2788" i="2"/>
  <c r="K2788" i="2"/>
  <c r="G2788" i="2"/>
  <c r="E2788" i="2"/>
  <c r="B2788" i="2"/>
  <c r="S2787" i="2"/>
  <c r="P2787" i="2"/>
  <c r="M2787" i="2"/>
  <c r="L2787" i="2"/>
  <c r="K2787" i="2"/>
  <c r="G2787" i="2"/>
  <c r="E2787" i="2"/>
  <c r="B2787" i="2"/>
  <c r="S2786" i="2"/>
  <c r="P2786" i="2"/>
  <c r="M2786" i="2"/>
  <c r="L2786" i="2"/>
  <c r="K2786" i="2"/>
  <c r="G2786" i="2"/>
  <c r="E2786" i="2"/>
  <c r="B2786" i="2"/>
  <c r="S2785" i="2"/>
  <c r="P2785" i="2"/>
  <c r="M2785" i="2"/>
  <c r="L2785" i="2"/>
  <c r="K2785" i="2"/>
  <c r="H2785" i="2"/>
  <c r="G2785" i="2"/>
  <c r="E2785" i="2"/>
  <c r="B2785" i="2"/>
  <c r="S2784" i="2"/>
  <c r="P2784" i="2"/>
  <c r="M2784" i="2"/>
  <c r="L2784" i="2"/>
  <c r="K2784" i="2"/>
  <c r="H2784" i="2"/>
  <c r="G2784" i="2"/>
  <c r="E2784" i="2"/>
  <c r="B2784" i="2"/>
  <c r="S2783" i="2"/>
  <c r="P2783" i="2"/>
  <c r="M2783" i="2"/>
  <c r="L2783" i="2"/>
  <c r="K2783" i="2"/>
  <c r="H2783" i="2"/>
  <c r="G2783" i="2"/>
  <c r="E2783" i="2"/>
  <c r="B2783" i="2"/>
  <c r="S2782" i="2"/>
  <c r="P2782" i="2"/>
  <c r="M2782" i="2"/>
  <c r="L2782" i="2"/>
  <c r="K2782" i="2"/>
  <c r="H2782" i="2"/>
  <c r="G2782" i="2"/>
  <c r="E2782" i="2"/>
  <c r="B2782" i="2"/>
  <c r="S2781" i="2"/>
  <c r="P2781" i="2"/>
  <c r="M2781" i="2"/>
  <c r="L2781" i="2"/>
  <c r="K2781" i="2"/>
  <c r="G2781" i="2"/>
  <c r="E2781" i="2"/>
  <c r="B2781" i="2"/>
  <c r="S2780" i="2"/>
  <c r="P2780" i="2"/>
  <c r="M2780" i="2"/>
  <c r="L2780" i="2"/>
  <c r="K2780" i="2"/>
  <c r="G2780" i="2"/>
  <c r="E2780" i="2"/>
  <c r="B2780" i="2"/>
  <c r="S2779" i="2"/>
  <c r="P2779" i="2"/>
  <c r="M2779" i="2"/>
  <c r="L2779" i="2"/>
  <c r="K2779" i="2"/>
  <c r="G2779" i="2"/>
  <c r="E2779" i="2"/>
  <c r="B2779" i="2"/>
  <c r="S2778" i="2"/>
  <c r="P2778" i="2"/>
  <c r="M2778" i="2"/>
  <c r="L2778" i="2"/>
  <c r="K2778" i="2"/>
  <c r="G2778" i="2"/>
  <c r="E2778" i="2"/>
  <c r="B2778" i="2"/>
  <c r="S2777" i="2"/>
  <c r="P2777" i="2"/>
  <c r="M2777" i="2"/>
  <c r="L2777" i="2"/>
  <c r="K2777" i="2"/>
  <c r="G2777" i="2"/>
  <c r="E2777" i="2"/>
  <c r="B2777" i="2"/>
  <c r="S2776" i="2"/>
  <c r="P2776" i="2"/>
  <c r="M2776" i="2"/>
  <c r="L2776" i="2"/>
  <c r="K2776" i="2"/>
  <c r="G2776" i="2"/>
  <c r="E2776" i="2"/>
  <c r="B2776" i="2"/>
  <c r="S2775" i="2"/>
  <c r="P2775" i="2"/>
  <c r="M2775" i="2"/>
  <c r="L2775" i="2"/>
  <c r="K2775" i="2"/>
  <c r="G2775" i="2"/>
  <c r="E2775" i="2"/>
  <c r="B2775" i="2"/>
  <c r="S2774" i="2"/>
  <c r="P2774" i="2"/>
  <c r="M2774" i="2"/>
  <c r="L2774" i="2"/>
  <c r="K2774" i="2"/>
  <c r="H2774" i="2"/>
  <c r="G2774" i="2"/>
  <c r="E2774" i="2"/>
  <c r="B2774" i="2"/>
  <c r="S2773" i="2"/>
  <c r="P2773" i="2"/>
  <c r="M2773" i="2"/>
  <c r="L2773" i="2"/>
  <c r="K2773" i="2"/>
  <c r="H2773" i="2"/>
  <c r="G2773" i="2"/>
  <c r="E2773" i="2"/>
  <c r="B2773" i="2"/>
  <c r="S2772" i="2"/>
  <c r="P2772" i="2"/>
  <c r="M2772" i="2"/>
  <c r="L2772" i="2"/>
  <c r="K2772" i="2"/>
  <c r="H2772" i="2"/>
  <c r="G2772" i="2"/>
  <c r="E2772" i="2"/>
  <c r="B2772" i="2"/>
  <c r="S2771" i="2"/>
  <c r="P2771" i="2"/>
  <c r="M2771" i="2"/>
  <c r="L2771" i="2"/>
  <c r="K2771" i="2"/>
  <c r="H2771" i="2"/>
  <c r="G2771" i="2"/>
  <c r="E2771" i="2"/>
  <c r="B2771" i="2"/>
  <c r="S2770" i="2"/>
  <c r="P2770" i="2"/>
  <c r="M2770" i="2"/>
  <c r="L2770" i="2"/>
  <c r="K2770" i="2"/>
  <c r="H2770" i="2"/>
  <c r="G2770" i="2"/>
  <c r="E2770" i="2"/>
  <c r="B2770" i="2"/>
  <c r="S2769" i="2"/>
  <c r="P2769" i="2"/>
  <c r="M2769" i="2"/>
  <c r="L2769" i="2"/>
  <c r="K2769" i="2"/>
  <c r="H2769" i="2"/>
  <c r="G2769" i="2"/>
  <c r="E2769" i="2"/>
  <c r="B2769" i="2"/>
  <c r="S2768" i="2"/>
  <c r="P2768" i="2"/>
  <c r="M2768" i="2"/>
  <c r="L2768" i="2"/>
  <c r="K2768" i="2"/>
  <c r="H2768" i="2"/>
  <c r="G2768" i="2"/>
  <c r="E2768" i="2"/>
  <c r="B2768" i="2"/>
  <c r="S2767" i="2"/>
  <c r="P2767" i="2"/>
  <c r="M2767" i="2"/>
  <c r="L2767" i="2"/>
  <c r="K2767" i="2"/>
  <c r="G2767" i="2"/>
  <c r="E2767" i="2"/>
  <c r="B2767" i="2"/>
  <c r="S2766" i="2"/>
  <c r="P2766" i="2"/>
  <c r="M2766" i="2"/>
  <c r="L2766" i="2"/>
  <c r="K2766" i="2"/>
  <c r="G2766" i="2"/>
  <c r="E2766" i="2"/>
  <c r="B2766" i="2"/>
  <c r="S2765" i="2"/>
  <c r="P2765" i="2"/>
  <c r="M2765" i="2"/>
  <c r="L2765" i="2"/>
  <c r="K2765" i="2"/>
  <c r="G2765" i="2"/>
  <c r="E2765" i="2"/>
  <c r="B2765" i="2"/>
  <c r="S2764" i="2"/>
  <c r="P2764" i="2"/>
  <c r="M2764" i="2"/>
  <c r="L2764" i="2"/>
  <c r="K2764" i="2"/>
  <c r="H2764" i="2"/>
  <c r="G2764" i="2"/>
  <c r="E2764" i="2"/>
  <c r="B2764" i="2"/>
  <c r="S2763" i="2"/>
  <c r="P2763" i="2"/>
  <c r="M2763" i="2"/>
  <c r="L2763" i="2"/>
  <c r="K2763" i="2"/>
  <c r="H2763" i="2"/>
  <c r="G2763" i="2"/>
  <c r="E2763" i="2"/>
  <c r="B2763" i="2"/>
  <c r="S2762" i="2"/>
  <c r="P2762" i="2"/>
  <c r="M2762" i="2"/>
  <c r="L2762" i="2"/>
  <c r="K2762" i="2"/>
  <c r="H2762" i="2"/>
  <c r="G2762" i="2"/>
  <c r="E2762" i="2"/>
  <c r="B2762" i="2"/>
  <c r="S2761" i="2"/>
  <c r="P2761" i="2"/>
  <c r="M2761" i="2"/>
  <c r="L2761" i="2"/>
  <c r="K2761" i="2"/>
  <c r="H2761" i="2"/>
  <c r="G2761" i="2"/>
  <c r="E2761" i="2"/>
  <c r="B2761" i="2"/>
  <c r="S2760" i="2"/>
  <c r="P2760" i="2"/>
  <c r="M2760" i="2"/>
  <c r="L2760" i="2"/>
  <c r="K2760" i="2"/>
  <c r="H2760" i="2"/>
  <c r="G2760" i="2"/>
  <c r="E2760" i="2"/>
  <c r="B2760" i="2"/>
  <c r="S2759" i="2"/>
  <c r="P2759" i="2"/>
  <c r="M2759" i="2"/>
  <c r="L2759" i="2"/>
  <c r="K2759" i="2"/>
  <c r="H2759" i="2"/>
  <c r="G2759" i="2"/>
  <c r="E2759" i="2"/>
  <c r="B2759" i="2"/>
  <c r="S2758" i="2"/>
  <c r="P2758" i="2"/>
  <c r="M2758" i="2"/>
  <c r="L2758" i="2"/>
  <c r="K2758" i="2"/>
  <c r="H2758" i="2"/>
  <c r="G2758" i="2"/>
  <c r="E2758" i="2"/>
  <c r="B2758" i="2"/>
  <c r="S2757" i="2"/>
  <c r="P2757" i="2"/>
  <c r="M2757" i="2"/>
  <c r="L2757" i="2"/>
  <c r="K2757" i="2"/>
  <c r="G2757" i="2"/>
  <c r="E2757" i="2"/>
  <c r="B2757" i="2"/>
  <c r="S2756" i="2"/>
  <c r="P2756" i="2"/>
  <c r="M2756" i="2"/>
  <c r="L2756" i="2"/>
  <c r="K2756" i="2"/>
  <c r="G2756" i="2"/>
  <c r="E2756" i="2"/>
  <c r="B2756" i="2"/>
  <c r="S2755" i="2"/>
  <c r="P2755" i="2"/>
  <c r="M2755" i="2"/>
  <c r="L2755" i="2"/>
  <c r="K2755" i="2"/>
  <c r="G2755" i="2"/>
  <c r="E2755" i="2"/>
  <c r="B2755" i="2"/>
  <c r="S2754" i="2"/>
  <c r="P2754" i="2"/>
  <c r="M2754" i="2"/>
  <c r="L2754" i="2"/>
  <c r="K2754" i="2"/>
  <c r="G2754" i="2"/>
  <c r="E2754" i="2"/>
  <c r="B2754" i="2"/>
  <c r="S2753" i="2"/>
  <c r="P2753" i="2"/>
  <c r="M2753" i="2"/>
  <c r="L2753" i="2"/>
  <c r="K2753" i="2"/>
  <c r="G2753" i="2"/>
  <c r="E2753" i="2"/>
  <c r="B2753" i="2"/>
  <c r="S2752" i="2"/>
  <c r="P2752" i="2"/>
  <c r="M2752" i="2"/>
  <c r="L2752" i="2"/>
  <c r="K2752" i="2"/>
  <c r="G2752" i="2"/>
  <c r="E2752" i="2"/>
  <c r="B2752" i="2"/>
  <c r="S2751" i="2"/>
  <c r="P2751" i="2"/>
  <c r="M2751" i="2"/>
  <c r="L2751" i="2"/>
  <c r="K2751" i="2"/>
  <c r="H2751" i="2"/>
  <c r="G2751" i="2"/>
  <c r="E2751" i="2"/>
  <c r="B2751" i="2"/>
  <c r="S2750" i="2"/>
  <c r="P2750" i="2"/>
  <c r="M2750" i="2"/>
  <c r="L2750" i="2"/>
  <c r="K2750" i="2"/>
  <c r="H2750" i="2"/>
  <c r="G2750" i="2"/>
  <c r="E2750" i="2"/>
  <c r="B2750" i="2"/>
  <c r="S2749" i="2"/>
  <c r="P2749" i="2"/>
  <c r="M2749" i="2"/>
  <c r="L2749" i="2"/>
  <c r="K2749" i="2"/>
  <c r="H2749" i="2"/>
  <c r="G2749" i="2"/>
  <c r="E2749" i="2"/>
  <c r="B2749" i="2"/>
  <c r="S2748" i="2"/>
  <c r="P2748" i="2"/>
  <c r="M2748" i="2"/>
  <c r="L2748" i="2"/>
  <c r="K2748" i="2"/>
  <c r="H2748" i="2"/>
  <c r="G2748" i="2"/>
  <c r="E2748" i="2"/>
  <c r="B2748" i="2"/>
  <c r="S2747" i="2"/>
  <c r="P2747" i="2"/>
  <c r="M2747" i="2"/>
  <c r="L2747" i="2"/>
  <c r="K2747" i="2"/>
  <c r="H2747" i="2"/>
  <c r="G2747" i="2"/>
  <c r="E2747" i="2"/>
  <c r="B2747" i="2"/>
  <c r="S2746" i="2"/>
  <c r="P2746" i="2"/>
  <c r="M2746" i="2"/>
  <c r="L2746" i="2"/>
  <c r="K2746" i="2"/>
  <c r="H2746" i="2"/>
  <c r="G2746" i="2"/>
  <c r="E2746" i="2"/>
  <c r="B2746" i="2"/>
  <c r="S2745" i="2"/>
  <c r="P2745" i="2"/>
  <c r="M2745" i="2"/>
  <c r="L2745" i="2"/>
  <c r="K2745" i="2"/>
  <c r="H2745" i="2"/>
  <c r="G2745" i="2"/>
  <c r="E2745" i="2"/>
  <c r="B2745" i="2"/>
  <c r="S2744" i="2"/>
  <c r="P2744" i="2"/>
  <c r="M2744" i="2"/>
  <c r="L2744" i="2"/>
  <c r="K2744" i="2"/>
  <c r="H2744" i="2"/>
  <c r="G2744" i="2"/>
  <c r="E2744" i="2"/>
  <c r="B2744" i="2"/>
  <c r="S2743" i="2"/>
  <c r="P2743" i="2"/>
  <c r="M2743" i="2"/>
  <c r="L2743" i="2"/>
  <c r="K2743" i="2"/>
  <c r="H2743" i="2"/>
  <c r="G2743" i="2"/>
  <c r="E2743" i="2"/>
  <c r="B2743" i="2"/>
  <c r="S2742" i="2"/>
  <c r="P2742" i="2"/>
  <c r="M2742" i="2"/>
  <c r="L2742" i="2"/>
  <c r="K2742" i="2"/>
  <c r="H2742" i="2"/>
  <c r="G2742" i="2"/>
  <c r="E2742" i="2"/>
  <c r="B2742" i="2"/>
  <c r="S2741" i="2"/>
  <c r="P2741" i="2"/>
  <c r="M2741" i="2"/>
  <c r="L2741" i="2"/>
  <c r="K2741" i="2"/>
  <c r="H2741" i="2"/>
  <c r="G2741" i="2"/>
  <c r="E2741" i="2"/>
  <c r="B2741" i="2"/>
  <c r="S2740" i="2"/>
  <c r="P2740" i="2"/>
  <c r="M2740" i="2"/>
  <c r="L2740" i="2"/>
  <c r="K2740" i="2"/>
  <c r="H2740" i="2"/>
  <c r="G2740" i="2"/>
  <c r="E2740" i="2"/>
  <c r="B2740" i="2"/>
  <c r="S2739" i="2"/>
  <c r="P2739" i="2"/>
  <c r="M2739" i="2"/>
  <c r="L2739" i="2"/>
  <c r="K2739" i="2"/>
  <c r="G2739" i="2"/>
  <c r="E2739" i="2"/>
  <c r="B2739" i="2"/>
  <c r="S2738" i="2"/>
  <c r="P2738" i="2"/>
  <c r="M2738" i="2"/>
  <c r="L2738" i="2"/>
  <c r="K2738" i="2"/>
  <c r="G2738" i="2"/>
  <c r="E2738" i="2"/>
  <c r="B2738" i="2"/>
  <c r="S2737" i="2"/>
  <c r="P2737" i="2"/>
  <c r="M2737" i="2"/>
  <c r="L2737" i="2"/>
  <c r="K2737" i="2"/>
  <c r="G2737" i="2"/>
  <c r="E2737" i="2"/>
  <c r="B2737" i="2"/>
  <c r="S2736" i="2"/>
  <c r="P2736" i="2"/>
  <c r="M2736" i="2"/>
  <c r="L2736" i="2"/>
  <c r="K2736" i="2"/>
  <c r="H2736" i="2"/>
  <c r="G2736" i="2"/>
  <c r="E2736" i="2"/>
  <c r="B2736" i="2"/>
  <c r="S2735" i="2"/>
  <c r="P2735" i="2"/>
  <c r="M2735" i="2"/>
  <c r="L2735" i="2"/>
  <c r="K2735" i="2"/>
  <c r="H2735" i="2"/>
  <c r="G2735" i="2"/>
  <c r="E2735" i="2"/>
  <c r="B2735" i="2"/>
  <c r="S2734" i="2"/>
  <c r="P2734" i="2"/>
  <c r="M2734" i="2"/>
  <c r="L2734" i="2"/>
  <c r="K2734" i="2"/>
  <c r="H2734" i="2"/>
  <c r="G2734" i="2"/>
  <c r="E2734" i="2"/>
  <c r="B2734" i="2"/>
  <c r="S2733" i="2"/>
  <c r="P2733" i="2"/>
  <c r="M2733" i="2"/>
  <c r="L2733" i="2"/>
  <c r="K2733" i="2"/>
  <c r="G2733" i="2"/>
  <c r="E2733" i="2"/>
  <c r="B2733" i="2"/>
  <c r="S2732" i="2"/>
  <c r="P2732" i="2"/>
  <c r="M2732" i="2"/>
  <c r="L2732" i="2"/>
  <c r="K2732" i="2"/>
  <c r="G2732" i="2"/>
  <c r="E2732" i="2"/>
  <c r="B2732" i="2"/>
  <c r="S2731" i="2"/>
  <c r="P2731" i="2"/>
  <c r="M2731" i="2"/>
  <c r="L2731" i="2"/>
  <c r="K2731" i="2"/>
  <c r="G2731" i="2"/>
  <c r="E2731" i="2"/>
  <c r="B2731" i="2"/>
  <c r="S2730" i="2"/>
  <c r="P2730" i="2"/>
  <c r="M2730" i="2"/>
  <c r="L2730" i="2"/>
  <c r="K2730" i="2"/>
  <c r="G2730" i="2"/>
  <c r="E2730" i="2"/>
  <c r="B2730" i="2"/>
  <c r="S2729" i="2"/>
  <c r="P2729" i="2"/>
  <c r="M2729" i="2"/>
  <c r="L2729" i="2"/>
  <c r="K2729" i="2"/>
  <c r="G2729" i="2"/>
  <c r="E2729" i="2"/>
  <c r="B2729" i="2"/>
  <c r="S2728" i="2"/>
  <c r="P2728" i="2"/>
  <c r="M2728" i="2"/>
  <c r="L2728" i="2"/>
  <c r="K2728" i="2"/>
  <c r="G2728" i="2"/>
  <c r="E2728" i="2"/>
  <c r="B2728" i="2"/>
  <c r="S2727" i="2"/>
  <c r="P2727" i="2"/>
  <c r="M2727" i="2"/>
  <c r="L2727" i="2"/>
  <c r="K2727" i="2"/>
  <c r="G2727" i="2"/>
  <c r="E2727" i="2"/>
  <c r="B2727" i="2"/>
  <c r="S2726" i="2"/>
  <c r="P2726" i="2"/>
  <c r="M2726" i="2"/>
  <c r="L2726" i="2"/>
  <c r="K2726" i="2"/>
  <c r="G2726" i="2"/>
  <c r="E2726" i="2"/>
  <c r="B2726" i="2"/>
  <c r="S2725" i="2"/>
  <c r="P2725" i="2"/>
  <c r="M2725" i="2"/>
  <c r="L2725" i="2"/>
  <c r="K2725" i="2"/>
  <c r="G2725" i="2"/>
  <c r="E2725" i="2"/>
  <c r="B2725" i="2"/>
  <c r="S2724" i="2"/>
  <c r="P2724" i="2"/>
  <c r="M2724" i="2"/>
  <c r="L2724" i="2"/>
  <c r="K2724" i="2"/>
  <c r="G2724" i="2"/>
  <c r="E2724" i="2"/>
  <c r="B2724" i="2"/>
  <c r="S2723" i="2"/>
  <c r="P2723" i="2"/>
  <c r="M2723" i="2"/>
  <c r="L2723" i="2"/>
  <c r="K2723" i="2"/>
  <c r="G2723" i="2"/>
  <c r="E2723" i="2"/>
  <c r="B2723" i="2"/>
  <c r="S2722" i="2"/>
  <c r="P2722" i="2"/>
  <c r="M2722" i="2"/>
  <c r="L2722" i="2"/>
  <c r="K2722" i="2"/>
  <c r="G2722" i="2"/>
  <c r="E2722" i="2"/>
  <c r="B2722" i="2"/>
  <c r="S2721" i="2"/>
  <c r="P2721" i="2"/>
  <c r="M2721" i="2"/>
  <c r="L2721" i="2"/>
  <c r="K2721" i="2"/>
  <c r="G2721" i="2"/>
  <c r="E2721" i="2"/>
  <c r="B2721" i="2"/>
  <c r="S2720" i="2"/>
  <c r="P2720" i="2"/>
  <c r="M2720" i="2"/>
  <c r="L2720" i="2"/>
  <c r="K2720" i="2"/>
  <c r="G2720" i="2"/>
  <c r="E2720" i="2"/>
  <c r="B2720" i="2"/>
  <c r="S2719" i="2"/>
  <c r="P2719" i="2"/>
  <c r="M2719" i="2"/>
  <c r="L2719" i="2"/>
  <c r="K2719" i="2"/>
  <c r="G2719" i="2"/>
  <c r="E2719" i="2"/>
  <c r="B2719" i="2"/>
  <c r="S2718" i="2"/>
  <c r="P2718" i="2"/>
  <c r="M2718" i="2"/>
  <c r="L2718" i="2"/>
  <c r="K2718" i="2"/>
  <c r="G2718" i="2"/>
  <c r="E2718" i="2"/>
  <c r="B2718" i="2"/>
  <c r="S2717" i="2"/>
  <c r="P2717" i="2"/>
  <c r="M2717" i="2"/>
  <c r="L2717" i="2"/>
  <c r="K2717" i="2"/>
  <c r="G2717" i="2"/>
  <c r="E2717" i="2"/>
  <c r="B2717" i="2"/>
  <c r="S2716" i="2"/>
  <c r="P2716" i="2"/>
  <c r="M2716" i="2"/>
  <c r="L2716" i="2"/>
  <c r="K2716" i="2"/>
  <c r="G2716" i="2"/>
  <c r="E2716" i="2"/>
  <c r="B2716" i="2"/>
  <c r="S2715" i="2"/>
  <c r="P2715" i="2"/>
  <c r="M2715" i="2"/>
  <c r="L2715" i="2"/>
  <c r="K2715" i="2"/>
  <c r="G2715" i="2"/>
  <c r="E2715" i="2"/>
  <c r="B2715" i="2"/>
  <c r="S2714" i="2"/>
  <c r="P2714" i="2"/>
  <c r="M2714" i="2"/>
  <c r="L2714" i="2"/>
  <c r="K2714" i="2"/>
  <c r="G2714" i="2"/>
  <c r="E2714" i="2"/>
  <c r="B2714" i="2"/>
  <c r="S2713" i="2"/>
  <c r="P2713" i="2"/>
  <c r="M2713" i="2"/>
  <c r="L2713" i="2"/>
  <c r="K2713" i="2"/>
  <c r="G2713" i="2"/>
  <c r="E2713" i="2"/>
  <c r="B2713" i="2"/>
  <c r="S2712" i="2"/>
  <c r="P2712" i="2"/>
  <c r="M2712" i="2"/>
  <c r="L2712" i="2"/>
  <c r="K2712" i="2"/>
  <c r="G2712" i="2"/>
  <c r="E2712" i="2"/>
  <c r="B2712" i="2"/>
  <c r="S2711" i="2"/>
  <c r="P2711" i="2"/>
  <c r="M2711" i="2"/>
  <c r="L2711" i="2"/>
  <c r="K2711" i="2"/>
  <c r="G2711" i="2"/>
  <c r="E2711" i="2"/>
  <c r="B2711" i="2"/>
  <c r="S2710" i="2"/>
  <c r="P2710" i="2"/>
  <c r="M2710" i="2"/>
  <c r="L2710" i="2"/>
  <c r="K2710" i="2"/>
  <c r="G2710" i="2"/>
  <c r="E2710" i="2"/>
  <c r="B2710" i="2"/>
  <c r="S2709" i="2"/>
  <c r="P2709" i="2"/>
  <c r="M2709" i="2"/>
  <c r="L2709" i="2"/>
  <c r="K2709" i="2"/>
  <c r="G2709" i="2"/>
  <c r="E2709" i="2"/>
  <c r="B2709" i="2"/>
  <c r="S2708" i="2"/>
  <c r="P2708" i="2"/>
  <c r="M2708" i="2"/>
  <c r="L2708" i="2"/>
  <c r="K2708" i="2"/>
  <c r="G2708" i="2"/>
  <c r="E2708" i="2"/>
  <c r="B2708" i="2"/>
  <c r="S2707" i="2"/>
  <c r="P2707" i="2"/>
  <c r="M2707" i="2"/>
  <c r="L2707" i="2"/>
  <c r="K2707" i="2"/>
  <c r="G2707" i="2"/>
  <c r="E2707" i="2"/>
  <c r="B2707" i="2"/>
  <c r="S2706" i="2"/>
  <c r="P2706" i="2"/>
  <c r="M2706" i="2"/>
  <c r="L2706" i="2"/>
  <c r="K2706" i="2"/>
  <c r="G2706" i="2"/>
  <c r="E2706" i="2"/>
  <c r="B2706" i="2"/>
  <c r="S2705" i="2"/>
  <c r="P2705" i="2"/>
  <c r="M2705" i="2"/>
  <c r="L2705" i="2"/>
  <c r="K2705" i="2"/>
  <c r="G2705" i="2"/>
  <c r="E2705" i="2"/>
  <c r="B2705" i="2"/>
  <c r="S2704" i="2"/>
  <c r="P2704" i="2"/>
  <c r="M2704" i="2"/>
  <c r="L2704" i="2"/>
  <c r="K2704" i="2"/>
  <c r="G2704" i="2"/>
  <c r="E2704" i="2"/>
  <c r="B2704" i="2"/>
  <c r="S2703" i="2"/>
  <c r="P2703" i="2"/>
  <c r="M2703" i="2"/>
  <c r="L2703" i="2"/>
  <c r="K2703" i="2"/>
  <c r="G2703" i="2"/>
  <c r="E2703" i="2"/>
  <c r="B2703" i="2"/>
  <c r="S2702" i="2"/>
  <c r="P2702" i="2"/>
  <c r="M2702" i="2"/>
  <c r="L2702" i="2"/>
  <c r="K2702" i="2"/>
  <c r="G2702" i="2"/>
  <c r="E2702" i="2"/>
  <c r="B2702" i="2"/>
  <c r="S2701" i="2"/>
  <c r="P2701" i="2"/>
  <c r="M2701" i="2"/>
  <c r="L2701" i="2"/>
  <c r="K2701" i="2"/>
  <c r="G2701" i="2"/>
  <c r="E2701" i="2"/>
  <c r="B2701" i="2"/>
  <c r="S2700" i="2"/>
  <c r="P2700" i="2"/>
  <c r="M2700" i="2"/>
  <c r="L2700" i="2"/>
  <c r="K2700" i="2"/>
  <c r="G2700" i="2"/>
  <c r="E2700" i="2"/>
  <c r="B2700" i="2"/>
  <c r="S2699" i="2"/>
  <c r="P2699" i="2"/>
  <c r="M2699" i="2"/>
  <c r="L2699" i="2"/>
  <c r="K2699" i="2"/>
  <c r="G2699" i="2"/>
  <c r="E2699" i="2"/>
  <c r="B2699" i="2"/>
  <c r="S2698" i="2"/>
  <c r="P2698" i="2"/>
  <c r="M2698" i="2"/>
  <c r="L2698" i="2"/>
  <c r="K2698" i="2"/>
  <c r="G2698" i="2"/>
  <c r="E2698" i="2"/>
  <c r="B2698" i="2"/>
  <c r="S2697" i="2"/>
  <c r="P2697" i="2"/>
  <c r="M2697" i="2"/>
  <c r="L2697" i="2"/>
  <c r="K2697" i="2"/>
  <c r="G2697" i="2"/>
  <c r="E2697" i="2"/>
  <c r="B2697" i="2"/>
  <c r="S2696" i="2"/>
  <c r="P2696" i="2"/>
  <c r="M2696" i="2"/>
  <c r="L2696" i="2"/>
  <c r="K2696" i="2"/>
  <c r="G2696" i="2"/>
  <c r="E2696" i="2"/>
  <c r="B2696" i="2"/>
  <c r="S2695" i="2"/>
  <c r="P2695" i="2"/>
  <c r="M2695" i="2"/>
  <c r="L2695" i="2"/>
  <c r="K2695" i="2"/>
  <c r="G2695" i="2"/>
  <c r="E2695" i="2"/>
  <c r="B2695" i="2"/>
  <c r="S2694" i="2"/>
  <c r="P2694" i="2"/>
  <c r="M2694" i="2"/>
  <c r="L2694" i="2"/>
  <c r="K2694" i="2"/>
  <c r="G2694" i="2"/>
  <c r="E2694" i="2"/>
  <c r="B2694" i="2"/>
  <c r="S2693" i="2"/>
  <c r="P2693" i="2"/>
  <c r="M2693" i="2"/>
  <c r="L2693" i="2"/>
  <c r="K2693" i="2"/>
  <c r="G2693" i="2"/>
  <c r="E2693" i="2"/>
  <c r="B2693" i="2"/>
  <c r="S2692" i="2"/>
  <c r="P2692" i="2"/>
  <c r="M2692" i="2"/>
  <c r="L2692" i="2"/>
  <c r="K2692" i="2"/>
  <c r="G2692" i="2"/>
  <c r="E2692" i="2"/>
  <c r="B2692" i="2"/>
  <c r="S2691" i="2"/>
  <c r="P2691" i="2"/>
  <c r="M2691" i="2"/>
  <c r="L2691" i="2"/>
  <c r="K2691" i="2"/>
  <c r="G2691" i="2"/>
  <c r="E2691" i="2"/>
  <c r="B2691" i="2"/>
  <c r="S2690" i="2"/>
  <c r="P2690" i="2"/>
  <c r="M2690" i="2"/>
  <c r="L2690" i="2"/>
  <c r="K2690" i="2"/>
  <c r="G2690" i="2"/>
  <c r="E2690" i="2"/>
  <c r="B2690" i="2"/>
  <c r="S2689" i="2"/>
  <c r="P2689" i="2"/>
  <c r="M2689" i="2"/>
  <c r="L2689" i="2"/>
  <c r="K2689" i="2"/>
  <c r="G2689" i="2"/>
  <c r="E2689" i="2"/>
  <c r="B2689" i="2"/>
  <c r="S2688" i="2"/>
  <c r="P2688" i="2"/>
  <c r="M2688" i="2"/>
  <c r="L2688" i="2"/>
  <c r="K2688" i="2"/>
  <c r="G2688" i="2"/>
  <c r="E2688" i="2"/>
  <c r="B2688" i="2"/>
  <c r="S2687" i="2"/>
  <c r="P2687" i="2"/>
  <c r="M2687" i="2"/>
  <c r="L2687" i="2"/>
  <c r="K2687" i="2"/>
  <c r="G2687" i="2"/>
  <c r="E2687" i="2"/>
  <c r="B2687" i="2"/>
  <c r="S2686" i="2"/>
  <c r="P2686" i="2"/>
  <c r="M2686" i="2"/>
  <c r="L2686" i="2"/>
  <c r="K2686" i="2"/>
  <c r="G2686" i="2"/>
  <c r="E2686" i="2"/>
  <c r="B2686" i="2"/>
  <c r="S2685" i="2"/>
  <c r="P2685" i="2"/>
  <c r="M2685" i="2"/>
  <c r="L2685" i="2"/>
  <c r="K2685" i="2"/>
  <c r="G2685" i="2"/>
  <c r="E2685" i="2"/>
  <c r="B2685" i="2"/>
  <c r="S2684" i="2"/>
  <c r="P2684" i="2"/>
  <c r="M2684" i="2"/>
  <c r="L2684" i="2"/>
  <c r="K2684" i="2"/>
  <c r="G2684" i="2"/>
  <c r="E2684" i="2"/>
  <c r="B2684" i="2"/>
  <c r="S2683" i="2"/>
  <c r="P2683" i="2"/>
  <c r="M2683" i="2"/>
  <c r="L2683" i="2"/>
  <c r="K2683" i="2"/>
  <c r="G2683" i="2"/>
  <c r="E2683" i="2"/>
  <c r="B2683" i="2"/>
  <c r="S2682" i="2"/>
  <c r="P2682" i="2"/>
  <c r="M2682" i="2"/>
  <c r="L2682" i="2"/>
  <c r="K2682" i="2"/>
  <c r="G2682" i="2"/>
  <c r="E2682" i="2"/>
  <c r="B2682" i="2"/>
  <c r="S2681" i="2"/>
  <c r="P2681" i="2"/>
  <c r="M2681" i="2"/>
  <c r="L2681" i="2"/>
  <c r="K2681" i="2"/>
  <c r="G2681" i="2"/>
  <c r="E2681" i="2"/>
  <c r="B2681" i="2"/>
  <c r="S2680" i="2"/>
  <c r="P2680" i="2"/>
  <c r="M2680" i="2"/>
  <c r="L2680" i="2"/>
  <c r="K2680" i="2"/>
  <c r="G2680" i="2"/>
  <c r="E2680" i="2"/>
  <c r="B2680" i="2"/>
  <c r="S2679" i="2"/>
  <c r="P2679" i="2"/>
  <c r="M2679" i="2"/>
  <c r="L2679" i="2"/>
  <c r="K2679" i="2"/>
  <c r="G2679" i="2"/>
  <c r="E2679" i="2"/>
  <c r="B2679" i="2"/>
  <c r="S2678" i="2"/>
  <c r="P2678" i="2"/>
  <c r="M2678" i="2"/>
  <c r="L2678" i="2"/>
  <c r="K2678" i="2"/>
  <c r="G2678" i="2"/>
  <c r="E2678" i="2"/>
  <c r="B2678" i="2"/>
  <c r="S2677" i="2"/>
  <c r="P2677" i="2"/>
  <c r="M2677" i="2"/>
  <c r="L2677" i="2"/>
  <c r="K2677" i="2"/>
  <c r="G2677" i="2"/>
  <c r="E2677" i="2"/>
  <c r="B2677" i="2"/>
  <c r="S2676" i="2"/>
  <c r="P2676" i="2"/>
  <c r="M2676" i="2"/>
  <c r="L2676" i="2"/>
  <c r="K2676" i="2"/>
  <c r="G2676" i="2"/>
  <c r="E2676" i="2"/>
  <c r="B2676" i="2"/>
  <c r="S2675" i="2"/>
  <c r="P2675" i="2"/>
  <c r="M2675" i="2"/>
  <c r="L2675" i="2"/>
  <c r="K2675" i="2"/>
  <c r="G2675" i="2"/>
  <c r="E2675" i="2"/>
  <c r="B2675" i="2"/>
  <c r="S2674" i="2"/>
  <c r="P2674" i="2"/>
  <c r="M2674" i="2"/>
  <c r="L2674" i="2"/>
  <c r="K2674" i="2"/>
  <c r="G2674" i="2"/>
  <c r="E2674" i="2"/>
  <c r="B2674" i="2"/>
  <c r="S2673" i="2"/>
  <c r="P2673" i="2"/>
  <c r="M2673" i="2"/>
  <c r="L2673" i="2"/>
  <c r="K2673" i="2"/>
  <c r="G2673" i="2"/>
  <c r="E2673" i="2"/>
  <c r="B2673" i="2"/>
  <c r="S2672" i="2"/>
  <c r="P2672" i="2"/>
  <c r="M2672" i="2"/>
  <c r="L2672" i="2"/>
  <c r="K2672" i="2"/>
  <c r="G2672" i="2"/>
  <c r="E2672" i="2"/>
  <c r="B2672" i="2"/>
  <c r="S2671" i="2"/>
  <c r="P2671" i="2"/>
  <c r="M2671" i="2"/>
  <c r="L2671" i="2"/>
  <c r="K2671" i="2"/>
  <c r="G2671" i="2"/>
  <c r="E2671" i="2"/>
  <c r="B2671" i="2"/>
  <c r="S2670" i="2"/>
  <c r="P2670" i="2"/>
  <c r="M2670" i="2"/>
  <c r="L2670" i="2"/>
  <c r="K2670" i="2"/>
  <c r="G2670" i="2"/>
  <c r="E2670" i="2"/>
  <c r="B2670" i="2"/>
  <c r="S2669" i="2"/>
  <c r="P2669" i="2"/>
  <c r="M2669" i="2"/>
  <c r="L2669" i="2"/>
  <c r="K2669" i="2"/>
  <c r="G2669" i="2"/>
  <c r="E2669" i="2"/>
  <c r="B2669" i="2"/>
  <c r="S2668" i="2"/>
  <c r="P2668" i="2"/>
  <c r="M2668" i="2"/>
  <c r="L2668" i="2"/>
  <c r="K2668" i="2"/>
  <c r="G2668" i="2"/>
  <c r="E2668" i="2"/>
  <c r="B2668" i="2"/>
  <c r="S2667" i="2"/>
  <c r="P2667" i="2"/>
  <c r="M2667" i="2"/>
  <c r="L2667" i="2"/>
  <c r="K2667" i="2"/>
  <c r="G2667" i="2"/>
  <c r="E2667" i="2"/>
  <c r="B2667" i="2"/>
  <c r="S2666" i="2"/>
  <c r="P2666" i="2"/>
  <c r="M2666" i="2"/>
  <c r="L2666" i="2"/>
  <c r="K2666" i="2"/>
  <c r="G2666" i="2"/>
  <c r="E2666" i="2"/>
  <c r="B2666" i="2"/>
  <c r="S2665" i="2"/>
  <c r="P2665" i="2"/>
  <c r="M2665" i="2"/>
  <c r="L2665" i="2"/>
  <c r="K2665" i="2"/>
  <c r="G2665" i="2"/>
  <c r="E2665" i="2"/>
  <c r="B2665" i="2"/>
  <c r="S2664" i="2"/>
  <c r="P2664" i="2"/>
  <c r="M2664" i="2"/>
  <c r="L2664" i="2"/>
  <c r="K2664" i="2"/>
  <c r="G2664" i="2"/>
  <c r="E2664" i="2"/>
  <c r="B2664" i="2"/>
  <c r="S2663" i="2"/>
  <c r="P2663" i="2"/>
  <c r="M2663" i="2"/>
  <c r="L2663" i="2"/>
  <c r="K2663" i="2"/>
  <c r="G2663" i="2"/>
  <c r="E2663" i="2"/>
  <c r="B2663" i="2"/>
  <c r="S2662" i="2"/>
  <c r="P2662" i="2"/>
  <c r="M2662" i="2"/>
  <c r="L2662" i="2"/>
  <c r="K2662" i="2"/>
  <c r="G2662" i="2"/>
  <c r="E2662" i="2"/>
  <c r="B2662" i="2"/>
  <c r="S2661" i="2"/>
  <c r="P2661" i="2"/>
  <c r="M2661" i="2"/>
  <c r="L2661" i="2"/>
  <c r="K2661" i="2"/>
  <c r="G2661" i="2"/>
  <c r="E2661" i="2"/>
  <c r="B2661" i="2"/>
  <c r="S2660" i="2"/>
  <c r="P2660" i="2"/>
  <c r="M2660" i="2"/>
  <c r="L2660" i="2"/>
  <c r="K2660" i="2"/>
  <c r="G2660" i="2"/>
  <c r="E2660" i="2"/>
  <c r="B2660" i="2"/>
  <c r="S2659" i="2"/>
  <c r="P2659" i="2"/>
  <c r="M2659" i="2"/>
  <c r="L2659" i="2"/>
  <c r="K2659" i="2"/>
  <c r="G2659" i="2"/>
  <c r="E2659" i="2"/>
  <c r="B2659" i="2"/>
  <c r="S2658" i="2"/>
  <c r="P2658" i="2"/>
  <c r="M2658" i="2"/>
  <c r="L2658" i="2"/>
  <c r="K2658" i="2"/>
  <c r="G2658" i="2"/>
  <c r="E2658" i="2"/>
  <c r="B2658" i="2"/>
  <c r="S2657" i="2"/>
  <c r="P2657" i="2"/>
  <c r="M2657" i="2"/>
  <c r="L2657" i="2"/>
  <c r="K2657" i="2"/>
  <c r="G2657" i="2"/>
  <c r="E2657" i="2"/>
  <c r="B2657" i="2"/>
  <c r="S2656" i="2"/>
  <c r="P2656" i="2"/>
  <c r="M2656" i="2"/>
  <c r="L2656" i="2"/>
  <c r="K2656" i="2"/>
  <c r="G2656" i="2"/>
  <c r="E2656" i="2"/>
  <c r="B2656" i="2"/>
  <c r="S2655" i="2"/>
  <c r="P2655" i="2"/>
  <c r="M2655" i="2"/>
  <c r="L2655" i="2"/>
  <c r="K2655" i="2"/>
  <c r="G2655" i="2"/>
  <c r="E2655" i="2"/>
  <c r="B2655" i="2"/>
  <c r="S2654" i="2"/>
  <c r="P2654" i="2"/>
  <c r="M2654" i="2"/>
  <c r="L2654" i="2"/>
  <c r="K2654" i="2"/>
  <c r="G2654" i="2"/>
  <c r="E2654" i="2"/>
  <c r="B2654" i="2"/>
  <c r="S2653" i="2"/>
  <c r="P2653" i="2"/>
  <c r="M2653" i="2"/>
  <c r="L2653" i="2"/>
  <c r="K2653" i="2"/>
  <c r="G2653" i="2"/>
  <c r="E2653" i="2"/>
  <c r="B2653" i="2"/>
  <c r="S2652" i="2"/>
  <c r="P2652" i="2"/>
  <c r="M2652" i="2"/>
  <c r="L2652" i="2"/>
  <c r="K2652" i="2"/>
  <c r="G2652" i="2"/>
  <c r="E2652" i="2"/>
  <c r="B2652" i="2"/>
  <c r="S2651" i="2"/>
  <c r="P2651" i="2"/>
  <c r="M2651" i="2"/>
  <c r="L2651" i="2"/>
  <c r="K2651" i="2"/>
  <c r="G2651" i="2"/>
  <c r="E2651" i="2"/>
  <c r="B2651" i="2"/>
  <c r="S2650" i="2"/>
  <c r="P2650" i="2"/>
  <c r="M2650" i="2"/>
  <c r="L2650" i="2"/>
  <c r="K2650" i="2"/>
  <c r="G2650" i="2"/>
  <c r="E2650" i="2"/>
  <c r="B2650" i="2"/>
  <c r="S2649" i="2"/>
  <c r="P2649" i="2"/>
  <c r="M2649" i="2"/>
  <c r="L2649" i="2"/>
  <c r="K2649" i="2"/>
  <c r="G2649" i="2"/>
  <c r="E2649" i="2"/>
  <c r="B2649" i="2"/>
  <c r="S2648" i="2"/>
  <c r="P2648" i="2"/>
  <c r="M2648" i="2"/>
  <c r="L2648" i="2"/>
  <c r="K2648" i="2"/>
  <c r="G2648" i="2"/>
  <c r="E2648" i="2"/>
  <c r="B2648" i="2"/>
  <c r="S2647" i="2"/>
  <c r="P2647" i="2"/>
  <c r="M2647" i="2"/>
  <c r="L2647" i="2"/>
  <c r="K2647" i="2"/>
  <c r="G2647" i="2"/>
  <c r="E2647" i="2"/>
  <c r="B2647" i="2"/>
  <c r="S2646" i="2"/>
  <c r="P2646" i="2"/>
  <c r="M2646" i="2"/>
  <c r="L2646" i="2"/>
  <c r="K2646" i="2"/>
  <c r="G2646" i="2"/>
  <c r="E2646" i="2"/>
  <c r="B2646" i="2"/>
  <c r="S2645" i="2"/>
  <c r="P2645" i="2"/>
  <c r="M2645" i="2"/>
  <c r="L2645" i="2"/>
  <c r="K2645" i="2"/>
  <c r="G2645" i="2"/>
  <c r="E2645" i="2"/>
  <c r="B2645" i="2"/>
  <c r="S2644" i="2"/>
  <c r="P2644" i="2"/>
  <c r="M2644" i="2"/>
  <c r="L2644" i="2"/>
  <c r="K2644" i="2"/>
  <c r="G2644" i="2"/>
  <c r="E2644" i="2"/>
  <c r="B2644" i="2"/>
  <c r="S2643" i="2"/>
  <c r="P2643" i="2"/>
  <c r="M2643" i="2"/>
  <c r="L2643" i="2"/>
  <c r="K2643" i="2"/>
  <c r="G2643" i="2"/>
  <c r="E2643" i="2"/>
  <c r="B2643" i="2"/>
  <c r="S2642" i="2"/>
  <c r="P2642" i="2"/>
  <c r="M2642" i="2"/>
  <c r="L2642" i="2"/>
  <c r="K2642" i="2"/>
  <c r="G2642" i="2"/>
  <c r="E2642" i="2"/>
  <c r="B2642" i="2"/>
  <c r="S2641" i="2"/>
  <c r="P2641" i="2"/>
  <c r="M2641" i="2"/>
  <c r="L2641" i="2"/>
  <c r="K2641" i="2"/>
  <c r="G2641" i="2"/>
  <c r="E2641" i="2"/>
  <c r="B2641" i="2"/>
  <c r="S2640" i="2"/>
  <c r="P2640" i="2"/>
  <c r="M2640" i="2"/>
  <c r="L2640" i="2"/>
  <c r="K2640" i="2"/>
  <c r="G2640" i="2"/>
  <c r="E2640" i="2"/>
  <c r="B2640" i="2"/>
  <c r="S2639" i="2"/>
  <c r="P2639" i="2"/>
  <c r="M2639" i="2"/>
  <c r="L2639" i="2"/>
  <c r="K2639" i="2"/>
  <c r="G2639" i="2"/>
  <c r="E2639" i="2"/>
  <c r="B2639" i="2"/>
  <c r="S2638" i="2"/>
  <c r="P2638" i="2"/>
  <c r="M2638" i="2"/>
  <c r="L2638" i="2"/>
  <c r="K2638" i="2"/>
  <c r="H2638" i="2"/>
  <c r="G2638" i="2"/>
  <c r="E2638" i="2"/>
  <c r="B2638" i="2"/>
  <c r="S2637" i="2"/>
  <c r="P2637" i="2"/>
  <c r="M2637" i="2"/>
  <c r="L2637" i="2"/>
  <c r="K2637" i="2"/>
  <c r="G2637" i="2"/>
  <c r="E2637" i="2"/>
  <c r="B2637" i="2"/>
  <c r="S2636" i="2"/>
  <c r="P2636" i="2"/>
  <c r="M2636" i="2"/>
  <c r="L2636" i="2"/>
  <c r="K2636" i="2"/>
  <c r="G2636" i="2"/>
  <c r="E2636" i="2"/>
  <c r="B2636" i="2"/>
  <c r="S2635" i="2"/>
  <c r="P2635" i="2"/>
  <c r="M2635" i="2"/>
  <c r="L2635" i="2"/>
  <c r="K2635" i="2"/>
  <c r="G2635" i="2"/>
  <c r="E2635" i="2"/>
  <c r="B2635" i="2"/>
  <c r="S2634" i="2"/>
  <c r="P2634" i="2"/>
  <c r="M2634" i="2"/>
  <c r="L2634" i="2"/>
  <c r="K2634" i="2"/>
  <c r="G2634" i="2"/>
  <c r="E2634" i="2"/>
  <c r="B2634" i="2"/>
  <c r="S2633" i="2"/>
  <c r="P2633" i="2"/>
  <c r="M2633" i="2"/>
  <c r="L2633" i="2"/>
  <c r="K2633" i="2"/>
  <c r="G2633" i="2"/>
  <c r="E2633" i="2"/>
  <c r="B2633" i="2"/>
  <c r="S2632" i="2"/>
  <c r="P2632" i="2"/>
  <c r="M2632" i="2"/>
  <c r="L2632" i="2"/>
  <c r="K2632" i="2"/>
  <c r="G2632" i="2"/>
  <c r="E2632" i="2"/>
  <c r="B2632" i="2"/>
  <c r="S2631" i="2"/>
  <c r="P2631" i="2"/>
  <c r="M2631" i="2"/>
  <c r="L2631" i="2"/>
  <c r="K2631" i="2"/>
  <c r="G2631" i="2"/>
  <c r="E2631" i="2"/>
  <c r="B2631" i="2"/>
  <c r="S2630" i="2"/>
  <c r="P2630" i="2"/>
  <c r="M2630" i="2"/>
  <c r="L2630" i="2"/>
  <c r="K2630" i="2"/>
  <c r="G2630" i="2"/>
  <c r="E2630" i="2"/>
  <c r="B2630" i="2"/>
  <c r="S2629" i="2"/>
  <c r="P2629" i="2"/>
  <c r="M2629" i="2"/>
  <c r="L2629" i="2"/>
  <c r="K2629" i="2"/>
  <c r="G2629" i="2"/>
  <c r="E2629" i="2"/>
  <c r="B2629" i="2"/>
  <c r="S2628" i="2"/>
  <c r="P2628" i="2"/>
  <c r="M2628" i="2"/>
  <c r="L2628" i="2"/>
  <c r="K2628" i="2"/>
  <c r="G2628" i="2"/>
  <c r="E2628" i="2"/>
  <c r="B2628" i="2"/>
  <c r="S2627" i="2"/>
  <c r="P2627" i="2"/>
  <c r="M2627" i="2"/>
  <c r="L2627" i="2"/>
  <c r="K2627" i="2"/>
  <c r="G2627" i="2"/>
  <c r="E2627" i="2"/>
  <c r="B2627" i="2"/>
  <c r="S2626" i="2"/>
  <c r="P2626" i="2"/>
  <c r="M2626" i="2"/>
  <c r="L2626" i="2"/>
  <c r="K2626" i="2"/>
  <c r="G2626" i="2"/>
  <c r="E2626" i="2"/>
  <c r="B2626" i="2"/>
  <c r="S2625" i="2"/>
  <c r="P2625" i="2"/>
  <c r="M2625" i="2"/>
  <c r="L2625" i="2"/>
  <c r="K2625" i="2"/>
  <c r="G2625" i="2"/>
  <c r="E2625" i="2"/>
  <c r="B2625" i="2"/>
  <c r="S2624" i="2"/>
  <c r="P2624" i="2"/>
  <c r="M2624" i="2"/>
  <c r="L2624" i="2"/>
  <c r="K2624" i="2"/>
  <c r="H2624" i="2"/>
  <c r="G2624" i="2"/>
  <c r="E2624" i="2"/>
  <c r="B2624" i="2"/>
  <c r="S2623" i="2"/>
  <c r="P2623" i="2"/>
  <c r="M2623" i="2"/>
  <c r="L2623" i="2"/>
  <c r="K2623" i="2"/>
  <c r="H2623" i="2"/>
  <c r="G2623" i="2"/>
  <c r="E2623" i="2"/>
  <c r="B2623" i="2"/>
  <c r="S2622" i="2"/>
  <c r="P2622" i="2"/>
  <c r="M2622" i="2"/>
  <c r="L2622" i="2"/>
  <c r="K2622" i="2"/>
  <c r="H2622" i="2"/>
  <c r="G2622" i="2"/>
  <c r="E2622" i="2"/>
  <c r="B2622" i="2"/>
  <c r="S2621" i="2"/>
  <c r="P2621" i="2"/>
  <c r="M2621" i="2"/>
  <c r="L2621" i="2"/>
  <c r="K2621" i="2"/>
  <c r="G2621" i="2"/>
  <c r="E2621" i="2"/>
  <c r="B2621" i="2"/>
  <c r="S2620" i="2"/>
  <c r="P2620" i="2"/>
  <c r="M2620" i="2"/>
  <c r="L2620" i="2"/>
  <c r="K2620" i="2"/>
  <c r="G2620" i="2"/>
  <c r="E2620" i="2"/>
  <c r="B2620" i="2"/>
  <c r="S2619" i="2"/>
  <c r="P2619" i="2"/>
  <c r="M2619" i="2"/>
  <c r="L2619" i="2"/>
  <c r="K2619" i="2"/>
  <c r="G2619" i="2"/>
  <c r="E2619" i="2"/>
  <c r="B2619" i="2"/>
  <c r="S2618" i="2"/>
  <c r="P2618" i="2"/>
  <c r="M2618" i="2"/>
  <c r="L2618" i="2"/>
  <c r="K2618" i="2"/>
  <c r="G2618" i="2"/>
  <c r="E2618" i="2"/>
  <c r="B2618" i="2"/>
  <c r="S2617" i="2"/>
  <c r="P2617" i="2"/>
  <c r="M2617" i="2"/>
  <c r="L2617" i="2"/>
  <c r="K2617" i="2"/>
  <c r="G2617" i="2"/>
  <c r="E2617" i="2"/>
  <c r="B2617" i="2"/>
  <c r="S2616" i="2"/>
  <c r="P2616" i="2"/>
  <c r="M2616" i="2"/>
  <c r="L2616" i="2"/>
  <c r="K2616" i="2"/>
  <c r="G2616" i="2"/>
  <c r="E2616" i="2"/>
  <c r="B2616" i="2"/>
  <c r="S2615" i="2"/>
  <c r="P2615" i="2"/>
  <c r="M2615" i="2"/>
  <c r="L2615" i="2"/>
  <c r="K2615" i="2"/>
  <c r="G2615" i="2"/>
  <c r="E2615" i="2"/>
  <c r="B2615" i="2"/>
  <c r="S2614" i="2"/>
  <c r="P2614" i="2"/>
  <c r="M2614" i="2"/>
  <c r="L2614" i="2"/>
  <c r="K2614" i="2"/>
  <c r="G2614" i="2"/>
  <c r="E2614" i="2"/>
  <c r="B2614" i="2"/>
  <c r="S2613" i="2"/>
  <c r="P2613" i="2"/>
  <c r="M2613" i="2"/>
  <c r="L2613" i="2"/>
  <c r="K2613" i="2"/>
  <c r="G2613" i="2"/>
  <c r="E2613" i="2"/>
  <c r="B2613" i="2"/>
  <c r="S2612" i="2"/>
  <c r="P2612" i="2"/>
  <c r="M2612" i="2"/>
  <c r="L2612" i="2"/>
  <c r="K2612" i="2"/>
  <c r="G2612" i="2"/>
  <c r="E2612" i="2"/>
  <c r="B2612" i="2"/>
  <c r="S2611" i="2"/>
  <c r="P2611" i="2"/>
  <c r="M2611" i="2"/>
  <c r="L2611" i="2"/>
  <c r="K2611" i="2"/>
  <c r="G2611" i="2"/>
  <c r="E2611" i="2"/>
  <c r="B2611" i="2"/>
  <c r="S2610" i="2"/>
  <c r="P2610" i="2"/>
  <c r="M2610" i="2"/>
  <c r="L2610" i="2"/>
  <c r="K2610" i="2"/>
  <c r="G2610" i="2"/>
  <c r="E2610" i="2"/>
  <c r="B2610" i="2"/>
  <c r="S2609" i="2"/>
  <c r="P2609" i="2"/>
  <c r="M2609" i="2"/>
  <c r="L2609" i="2"/>
  <c r="K2609" i="2"/>
  <c r="G2609" i="2"/>
  <c r="E2609" i="2"/>
  <c r="B2609" i="2"/>
  <c r="S2608" i="2"/>
  <c r="P2608" i="2"/>
  <c r="M2608" i="2"/>
  <c r="L2608" i="2"/>
  <c r="K2608" i="2"/>
  <c r="G2608" i="2"/>
  <c r="E2608" i="2"/>
  <c r="B2608" i="2"/>
  <c r="S2607" i="2"/>
  <c r="P2607" i="2"/>
  <c r="M2607" i="2"/>
  <c r="L2607" i="2"/>
  <c r="K2607" i="2"/>
  <c r="G2607" i="2"/>
  <c r="E2607" i="2"/>
  <c r="B2607" i="2"/>
  <c r="S2606" i="2"/>
  <c r="P2606" i="2"/>
  <c r="M2606" i="2"/>
  <c r="L2606" i="2"/>
  <c r="K2606" i="2"/>
  <c r="G2606" i="2"/>
  <c r="E2606" i="2"/>
  <c r="B2606" i="2"/>
  <c r="S2605" i="2"/>
  <c r="P2605" i="2"/>
  <c r="M2605" i="2"/>
  <c r="L2605" i="2"/>
  <c r="K2605" i="2"/>
  <c r="G2605" i="2"/>
  <c r="E2605" i="2"/>
  <c r="B2605" i="2"/>
  <c r="S2604" i="2"/>
  <c r="P2604" i="2"/>
  <c r="M2604" i="2"/>
  <c r="L2604" i="2"/>
  <c r="K2604" i="2"/>
  <c r="G2604" i="2"/>
  <c r="E2604" i="2"/>
  <c r="B2604" i="2"/>
  <c r="S2603" i="2"/>
  <c r="P2603" i="2"/>
  <c r="M2603" i="2"/>
  <c r="L2603" i="2"/>
  <c r="K2603" i="2"/>
  <c r="G2603" i="2"/>
  <c r="E2603" i="2"/>
  <c r="B2603" i="2"/>
  <c r="S2602" i="2"/>
  <c r="P2602" i="2"/>
  <c r="M2602" i="2"/>
  <c r="L2602" i="2"/>
  <c r="K2602" i="2"/>
  <c r="G2602" i="2"/>
  <c r="E2602" i="2"/>
  <c r="B2602" i="2"/>
  <c r="S2601" i="2"/>
  <c r="P2601" i="2"/>
  <c r="M2601" i="2"/>
  <c r="L2601" i="2"/>
  <c r="K2601" i="2"/>
  <c r="G2601" i="2"/>
  <c r="E2601" i="2"/>
  <c r="B2601" i="2"/>
  <c r="S2600" i="2"/>
  <c r="P2600" i="2"/>
  <c r="M2600" i="2"/>
  <c r="L2600" i="2"/>
  <c r="K2600" i="2"/>
  <c r="G2600" i="2"/>
  <c r="E2600" i="2"/>
  <c r="B2600" i="2"/>
  <c r="S2599" i="2"/>
  <c r="P2599" i="2"/>
  <c r="M2599" i="2"/>
  <c r="L2599" i="2"/>
  <c r="K2599" i="2"/>
  <c r="G2599" i="2"/>
  <c r="E2599" i="2"/>
  <c r="B2599" i="2"/>
  <c r="S2598" i="2"/>
  <c r="P2598" i="2"/>
  <c r="M2598" i="2"/>
  <c r="L2598" i="2"/>
  <c r="K2598" i="2"/>
  <c r="G2598" i="2"/>
  <c r="E2598" i="2"/>
  <c r="B2598" i="2"/>
  <c r="S2597" i="2"/>
  <c r="P2597" i="2"/>
  <c r="M2597" i="2"/>
  <c r="L2597" i="2"/>
  <c r="K2597" i="2"/>
  <c r="G2597" i="2"/>
  <c r="E2597" i="2"/>
  <c r="B2597" i="2"/>
  <c r="S2596" i="2"/>
  <c r="P2596" i="2"/>
  <c r="M2596" i="2"/>
  <c r="L2596" i="2"/>
  <c r="K2596" i="2"/>
  <c r="G2596" i="2"/>
  <c r="E2596" i="2"/>
  <c r="B2596" i="2"/>
  <c r="S2595" i="2"/>
  <c r="P2595" i="2"/>
  <c r="M2595" i="2"/>
  <c r="L2595" i="2"/>
  <c r="K2595" i="2"/>
  <c r="G2595" i="2"/>
  <c r="E2595" i="2"/>
  <c r="B2595" i="2"/>
  <c r="S2594" i="2"/>
  <c r="P2594" i="2"/>
  <c r="M2594" i="2"/>
  <c r="L2594" i="2"/>
  <c r="K2594" i="2"/>
  <c r="G2594" i="2"/>
  <c r="E2594" i="2"/>
  <c r="B2594" i="2"/>
  <c r="S2593" i="2"/>
  <c r="P2593" i="2"/>
  <c r="M2593" i="2"/>
  <c r="L2593" i="2"/>
  <c r="K2593" i="2"/>
  <c r="G2593" i="2"/>
  <c r="E2593" i="2"/>
  <c r="B2593" i="2"/>
  <c r="S2592" i="2"/>
  <c r="P2592" i="2"/>
  <c r="M2592" i="2"/>
  <c r="L2592" i="2"/>
  <c r="K2592" i="2"/>
  <c r="G2592" i="2"/>
  <c r="E2592" i="2"/>
  <c r="B2592" i="2"/>
  <c r="S2591" i="2"/>
  <c r="P2591" i="2"/>
  <c r="M2591" i="2"/>
  <c r="L2591" i="2"/>
  <c r="K2591" i="2"/>
  <c r="G2591" i="2"/>
  <c r="E2591" i="2"/>
  <c r="B2591" i="2"/>
  <c r="S2590" i="2"/>
  <c r="P2590" i="2"/>
  <c r="M2590" i="2"/>
  <c r="L2590" i="2"/>
  <c r="K2590" i="2"/>
  <c r="G2590" i="2"/>
  <c r="E2590" i="2"/>
  <c r="B2590" i="2"/>
  <c r="S2589" i="2"/>
  <c r="P2589" i="2"/>
  <c r="M2589" i="2"/>
  <c r="L2589" i="2"/>
  <c r="K2589" i="2"/>
  <c r="G2589" i="2"/>
  <c r="E2589" i="2"/>
  <c r="B2589" i="2"/>
  <c r="S2588" i="2"/>
  <c r="P2588" i="2"/>
  <c r="M2588" i="2"/>
  <c r="L2588" i="2"/>
  <c r="K2588" i="2"/>
  <c r="G2588" i="2"/>
  <c r="E2588" i="2"/>
  <c r="B2588" i="2"/>
  <c r="S2587" i="2"/>
  <c r="P2587" i="2"/>
  <c r="M2587" i="2"/>
  <c r="L2587" i="2"/>
  <c r="K2587" i="2"/>
  <c r="G2587" i="2"/>
  <c r="E2587" i="2"/>
  <c r="B2587" i="2"/>
  <c r="S2586" i="2"/>
  <c r="P2586" i="2"/>
  <c r="M2586" i="2"/>
  <c r="L2586" i="2"/>
  <c r="K2586" i="2"/>
  <c r="G2586" i="2"/>
  <c r="E2586" i="2"/>
  <c r="B2586" i="2"/>
  <c r="S2585" i="2"/>
  <c r="P2585" i="2"/>
  <c r="M2585" i="2"/>
  <c r="L2585" i="2"/>
  <c r="K2585" i="2"/>
  <c r="G2585" i="2"/>
  <c r="E2585" i="2"/>
  <c r="B2585" i="2"/>
  <c r="S2584" i="2"/>
  <c r="P2584" i="2"/>
  <c r="M2584" i="2"/>
  <c r="L2584" i="2"/>
  <c r="K2584" i="2"/>
  <c r="G2584" i="2"/>
  <c r="E2584" i="2"/>
  <c r="B2584" i="2"/>
  <c r="S2583" i="2"/>
  <c r="P2583" i="2"/>
  <c r="M2583" i="2"/>
  <c r="L2583" i="2"/>
  <c r="K2583" i="2"/>
  <c r="G2583" i="2"/>
  <c r="E2583" i="2"/>
  <c r="B2583" i="2"/>
  <c r="S2582" i="2"/>
  <c r="P2582" i="2"/>
  <c r="M2582" i="2"/>
  <c r="L2582" i="2"/>
  <c r="K2582" i="2"/>
  <c r="G2582" i="2"/>
  <c r="E2582" i="2"/>
  <c r="B2582" i="2"/>
  <c r="S2581" i="2"/>
  <c r="P2581" i="2"/>
  <c r="M2581" i="2"/>
  <c r="L2581" i="2"/>
  <c r="K2581" i="2"/>
  <c r="G2581" i="2"/>
  <c r="E2581" i="2"/>
  <c r="B2581" i="2"/>
  <c r="S2580" i="2"/>
  <c r="P2580" i="2"/>
  <c r="M2580" i="2"/>
  <c r="L2580" i="2"/>
  <c r="K2580" i="2"/>
  <c r="G2580" i="2"/>
  <c r="E2580" i="2"/>
  <c r="B2580" i="2"/>
  <c r="S2579" i="2"/>
  <c r="P2579" i="2"/>
  <c r="M2579" i="2"/>
  <c r="L2579" i="2"/>
  <c r="K2579" i="2"/>
  <c r="G2579" i="2"/>
  <c r="E2579" i="2"/>
  <c r="B2579" i="2"/>
  <c r="S2578" i="2"/>
  <c r="P2578" i="2"/>
  <c r="M2578" i="2"/>
  <c r="L2578" i="2"/>
  <c r="K2578" i="2"/>
  <c r="G2578" i="2"/>
  <c r="E2578" i="2"/>
  <c r="B2578" i="2"/>
  <c r="S2577" i="2"/>
  <c r="P2577" i="2"/>
  <c r="M2577" i="2"/>
  <c r="L2577" i="2"/>
  <c r="K2577" i="2"/>
  <c r="G2577" i="2"/>
  <c r="E2577" i="2"/>
  <c r="B2577" i="2"/>
  <c r="S2576" i="2"/>
  <c r="P2576" i="2"/>
  <c r="M2576" i="2"/>
  <c r="L2576" i="2"/>
  <c r="K2576" i="2"/>
  <c r="G2576" i="2"/>
  <c r="E2576" i="2"/>
  <c r="B2576" i="2"/>
  <c r="S2575" i="2"/>
  <c r="P2575" i="2"/>
  <c r="M2575" i="2"/>
  <c r="L2575" i="2"/>
  <c r="K2575" i="2"/>
  <c r="G2575" i="2"/>
  <c r="E2575" i="2"/>
  <c r="B2575" i="2"/>
  <c r="S2574" i="2"/>
  <c r="P2574" i="2"/>
  <c r="M2574" i="2"/>
  <c r="L2574" i="2"/>
  <c r="K2574" i="2"/>
  <c r="G2574" i="2"/>
  <c r="E2574" i="2"/>
  <c r="B2574" i="2"/>
  <c r="S2573" i="2"/>
  <c r="P2573" i="2"/>
  <c r="M2573" i="2"/>
  <c r="L2573" i="2"/>
  <c r="K2573" i="2"/>
  <c r="G2573" i="2"/>
  <c r="E2573" i="2"/>
  <c r="B2573" i="2"/>
  <c r="S2572" i="2"/>
  <c r="P2572" i="2"/>
  <c r="M2572" i="2"/>
  <c r="L2572" i="2"/>
  <c r="K2572" i="2"/>
  <c r="G2572" i="2"/>
  <c r="E2572" i="2"/>
  <c r="B2572" i="2"/>
  <c r="S2571" i="2"/>
  <c r="P2571" i="2"/>
  <c r="M2571" i="2"/>
  <c r="L2571" i="2"/>
  <c r="K2571" i="2"/>
  <c r="G2571" i="2"/>
  <c r="E2571" i="2"/>
  <c r="B2571" i="2"/>
  <c r="S2570" i="2"/>
  <c r="P2570" i="2"/>
  <c r="M2570" i="2"/>
  <c r="L2570" i="2"/>
  <c r="K2570" i="2"/>
  <c r="G2570" i="2"/>
  <c r="E2570" i="2"/>
  <c r="B2570" i="2"/>
  <c r="S2569" i="2"/>
  <c r="P2569" i="2"/>
  <c r="M2569" i="2"/>
  <c r="L2569" i="2"/>
  <c r="K2569" i="2"/>
  <c r="G2569" i="2"/>
  <c r="E2569" i="2"/>
  <c r="B2569" i="2"/>
  <c r="S2568" i="2"/>
  <c r="P2568" i="2"/>
  <c r="M2568" i="2"/>
  <c r="L2568" i="2"/>
  <c r="K2568" i="2"/>
  <c r="G2568" i="2"/>
  <c r="E2568" i="2"/>
  <c r="B2568" i="2"/>
  <c r="S2567" i="2"/>
  <c r="P2567" i="2"/>
  <c r="M2567" i="2"/>
  <c r="L2567" i="2"/>
  <c r="K2567" i="2"/>
  <c r="G2567" i="2"/>
  <c r="E2567" i="2"/>
  <c r="B2567" i="2"/>
  <c r="S2566" i="2"/>
  <c r="P2566" i="2"/>
  <c r="M2566" i="2"/>
  <c r="L2566" i="2"/>
  <c r="K2566" i="2"/>
  <c r="G2566" i="2"/>
  <c r="E2566" i="2"/>
  <c r="B2566" i="2"/>
  <c r="S2565" i="2"/>
  <c r="P2565" i="2"/>
  <c r="M2565" i="2"/>
  <c r="L2565" i="2"/>
  <c r="K2565" i="2"/>
  <c r="G2565" i="2"/>
  <c r="E2565" i="2"/>
  <c r="B2565" i="2"/>
  <c r="S2564" i="2"/>
  <c r="P2564" i="2"/>
  <c r="M2564" i="2"/>
  <c r="L2564" i="2"/>
  <c r="K2564" i="2"/>
  <c r="G2564" i="2"/>
  <c r="E2564" i="2"/>
  <c r="B2564" i="2"/>
  <c r="S2563" i="2"/>
  <c r="P2563" i="2"/>
  <c r="M2563" i="2"/>
  <c r="L2563" i="2"/>
  <c r="K2563" i="2"/>
  <c r="G2563" i="2"/>
  <c r="E2563" i="2"/>
  <c r="B2563" i="2"/>
  <c r="S2562" i="2"/>
  <c r="P2562" i="2"/>
  <c r="M2562" i="2"/>
  <c r="L2562" i="2"/>
  <c r="K2562" i="2"/>
  <c r="G2562" i="2"/>
  <c r="E2562" i="2"/>
  <c r="B2562" i="2"/>
  <c r="S2561" i="2"/>
  <c r="P2561" i="2"/>
  <c r="M2561" i="2"/>
  <c r="L2561" i="2"/>
  <c r="K2561" i="2"/>
  <c r="G2561" i="2"/>
  <c r="E2561" i="2"/>
  <c r="B2561" i="2"/>
  <c r="S2560" i="2"/>
  <c r="P2560" i="2"/>
  <c r="M2560" i="2"/>
  <c r="L2560" i="2"/>
  <c r="K2560" i="2"/>
  <c r="G2560" i="2"/>
  <c r="E2560" i="2"/>
  <c r="B2560" i="2"/>
  <c r="S2559" i="2"/>
  <c r="P2559" i="2"/>
  <c r="M2559" i="2"/>
  <c r="L2559" i="2"/>
  <c r="K2559" i="2"/>
  <c r="G2559" i="2"/>
  <c r="E2559" i="2"/>
  <c r="B2559" i="2"/>
  <c r="S2558" i="2"/>
  <c r="P2558" i="2"/>
  <c r="M2558" i="2"/>
  <c r="L2558" i="2"/>
  <c r="K2558" i="2"/>
  <c r="G2558" i="2"/>
  <c r="E2558" i="2"/>
  <c r="B2558" i="2"/>
  <c r="S2557" i="2"/>
  <c r="P2557" i="2"/>
  <c r="M2557" i="2"/>
  <c r="L2557" i="2"/>
  <c r="K2557" i="2"/>
  <c r="G2557" i="2"/>
  <c r="E2557" i="2"/>
  <c r="B2557" i="2"/>
  <c r="S2556" i="2"/>
  <c r="P2556" i="2"/>
  <c r="M2556" i="2"/>
  <c r="L2556" i="2"/>
  <c r="K2556" i="2"/>
  <c r="G2556" i="2"/>
  <c r="E2556" i="2"/>
  <c r="B2556" i="2"/>
  <c r="S2555" i="2"/>
  <c r="P2555" i="2"/>
  <c r="M2555" i="2"/>
  <c r="L2555" i="2"/>
  <c r="K2555" i="2"/>
  <c r="G2555" i="2"/>
  <c r="E2555" i="2"/>
  <c r="B2555" i="2"/>
  <c r="S2554" i="2"/>
  <c r="P2554" i="2"/>
  <c r="M2554" i="2"/>
  <c r="L2554" i="2"/>
  <c r="K2554" i="2"/>
  <c r="G2554" i="2"/>
  <c r="E2554" i="2"/>
  <c r="B2554" i="2"/>
  <c r="S2553" i="2"/>
  <c r="P2553" i="2"/>
  <c r="M2553" i="2"/>
  <c r="L2553" i="2"/>
  <c r="K2553" i="2"/>
  <c r="G2553" i="2"/>
  <c r="E2553" i="2"/>
  <c r="B2553" i="2"/>
  <c r="S2552" i="2"/>
  <c r="P2552" i="2"/>
  <c r="M2552" i="2"/>
  <c r="L2552" i="2"/>
  <c r="K2552" i="2"/>
  <c r="G2552" i="2"/>
  <c r="E2552" i="2"/>
  <c r="B2552" i="2"/>
  <c r="S2551" i="2"/>
  <c r="P2551" i="2"/>
  <c r="M2551" i="2"/>
  <c r="L2551" i="2"/>
  <c r="K2551" i="2"/>
  <c r="G2551" i="2"/>
  <c r="E2551" i="2"/>
  <c r="B2551" i="2"/>
  <c r="S2550" i="2"/>
  <c r="P2550" i="2"/>
  <c r="M2550" i="2"/>
  <c r="L2550" i="2"/>
  <c r="K2550" i="2"/>
  <c r="G2550" i="2"/>
  <c r="E2550" i="2"/>
  <c r="B2550" i="2"/>
  <c r="S2549" i="2"/>
  <c r="P2549" i="2"/>
  <c r="M2549" i="2"/>
  <c r="L2549" i="2"/>
  <c r="K2549" i="2"/>
  <c r="G2549" i="2"/>
  <c r="E2549" i="2"/>
  <c r="B2549" i="2"/>
  <c r="S2548" i="2"/>
  <c r="P2548" i="2"/>
  <c r="M2548" i="2"/>
  <c r="L2548" i="2"/>
  <c r="K2548" i="2"/>
  <c r="G2548" i="2"/>
  <c r="E2548" i="2"/>
  <c r="B2548" i="2"/>
  <c r="S2547" i="2"/>
  <c r="P2547" i="2"/>
  <c r="M2547" i="2"/>
  <c r="L2547" i="2"/>
  <c r="K2547" i="2"/>
  <c r="G2547" i="2"/>
  <c r="E2547" i="2"/>
  <c r="B2547" i="2"/>
  <c r="S2546" i="2"/>
  <c r="P2546" i="2"/>
  <c r="M2546" i="2"/>
  <c r="L2546" i="2"/>
  <c r="K2546" i="2"/>
  <c r="G2546" i="2"/>
  <c r="E2546" i="2"/>
  <c r="B2546" i="2"/>
  <c r="S2545" i="2"/>
  <c r="P2545" i="2"/>
  <c r="M2545" i="2"/>
  <c r="L2545" i="2"/>
  <c r="K2545" i="2"/>
  <c r="G2545" i="2"/>
  <c r="E2545" i="2"/>
  <c r="B2545" i="2"/>
  <c r="S2544" i="2"/>
  <c r="P2544" i="2"/>
  <c r="M2544" i="2"/>
  <c r="L2544" i="2"/>
  <c r="K2544" i="2"/>
  <c r="G2544" i="2"/>
  <c r="E2544" i="2"/>
  <c r="B2544" i="2"/>
  <c r="S2543" i="2"/>
  <c r="P2543" i="2"/>
  <c r="M2543" i="2"/>
  <c r="L2543" i="2"/>
  <c r="K2543" i="2"/>
  <c r="G2543" i="2"/>
  <c r="E2543" i="2"/>
  <c r="B2543" i="2"/>
  <c r="S2542" i="2"/>
  <c r="P2542" i="2"/>
  <c r="M2542" i="2"/>
  <c r="L2542" i="2"/>
  <c r="K2542" i="2"/>
  <c r="G2542" i="2"/>
  <c r="E2542" i="2"/>
  <c r="B2542" i="2"/>
  <c r="S2541" i="2"/>
  <c r="P2541" i="2"/>
  <c r="M2541" i="2"/>
  <c r="L2541" i="2"/>
  <c r="K2541" i="2"/>
  <c r="G2541" i="2"/>
  <c r="E2541" i="2"/>
  <c r="B2541" i="2"/>
  <c r="S2540" i="2"/>
  <c r="P2540" i="2"/>
  <c r="M2540" i="2"/>
  <c r="L2540" i="2"/>
  <c r="K2540" i="2"/>
  <c r="G2540" i="2"/>
  <c r="E2540" i="2"/>
  <c r="B2540" i="2"/>
  <c r="S2539" i="2"/>
  <c r="P2539" i="2"/>
  <c r="M2539" i="2"/>
  <c r="L2539" i="2"/>
  <c r="K2539" i="2"/>
  <c r="G2539" i="2"/>
  <c r="E2539" i="2"/>
  <c r="B2539" i="2"/>
  <c r="S2538" i="2"/>
  <c r="P2538" i="2"/>
  <c r="M2538" i="2"/>
  <c r="L2538" i="2"/>
  <c r="K2538" i="2"/>
  <c r="G2538" i="2"/>
  <c r="E2538" i="2"/>
  <c r="B2538" i="2"/>
  <c r="S2537" i="2"/>
  <c r="P2537" i="2"/>
  <c r="M2537" i="2"/>
  <c r="L2537" i="2"/>
  <c r="K2537" i="2"/>
  <c r="G2537" i="2"/>
  <c r="E2537" i="2"/>
  <c r="B2537" i="2"/>
  <c r="S2536" i="2"/>
  <c r="P2536" i="2"/>
  <c r="M2536" i="2"/>
  <c r="L2536" i="2"/>
  <c r="K2536" i="2"/>
  <c r="G2536" i="2"/>
  <c r="E2536" i="2"/>
  <c r="B2536" i="2"/>
  <c r="S2535" i="2"/>
  <c r="P2535" i="2"/>
  <c r="M2535" i="2"/>
  <c r="L2535" i="2"/>
  <c r="K2535" i="2"/>
  <c r="G2535" i="2"/>
  <c r="E2535" i="2"/>
  <c r="B2535" i="2"/>
  <c r="S2534" i="2"/>
  <c r="P2534" i="2"/>
  <c r="M2534" i="2"/>
  <c r="L2534" i="2"/>
  <c r="K2534" i="2"/>
  <c r="G2534" i="2"/>
  <c r="E2534" i="2"/>
  <c r="B2534" i="2"/>
  <c r="S2533" i="2"/>
  <c r="P2533" i="2"/>
  <c r="M2533" i="2"/>
  <c r="L2533" i="2"/>
  <c r="K2533" i="2"/>
  <c r="G2533" i="2"/>
  <c r="E2533" i="2"/>
  <c r="B2533" i="2"/>
  <c r="S2532" i="2"/>
  <c r="P2532" i="2"/>
  <c r="M2532" i="2"/>
  <c r="L2532" i="2"/>
  <c r="K2532" i="2"/>
  <c r="G2532" i="2"/>
  <c r="E2532" i="2"/>
  <c r="B2532" i="2"/>
  <c r="S2531" i="2"/>
  <c r="P2531" i="2"/>
  <c r="M2531" i="2"/>
  <c r="L2531" i="2"/>
  <c r="K2531" i="2"/>
  <c r="G2531" i="2"/>
  <c r="E2531" i="2"/>
  <c r="B2531" i="2"/>
  <c r="S2530" i="2"/>
  <c r="P2530" i="2"/>
  <c r="M2530" i="2"/>
  <c r="L2530" i="2"/>
  <c r="K2530" i="2"/>
  <c r="E2530" i="2"/>
  <c r="B2530" i="2"/>
  <c r="S2529" i="2"/>
  <c r="P2529" i="2"/>
  <c r="M2529" i="2"/>
  <c r="L2529" i="2"/>
  <c r="K2529" i="2"/>
  <c r="G2529" i="2"/>
  <c r="E2529" i="2"/>
  <c r="B2529" i="2"/>
  <c r="S2528" i="2"/>
  <c r="P2528" i="2"/>
  <c r="M2528" i="2"/>
  <c r="L2528" i="2"/>
  <c r="K2528" i="2"/>
  <c r="G2528" i="2"/>
  <c r="E2528" i="2"/>
  <c r="B2528" i="2"/>
  <c r="S2527" i="2"/>
  <c r="P2527" i="2"/>
  <c r="M2527" i="2"/>
  <c r="L2527" i="2"/>
  <c r="K2527" i="2"/>
  <c r="G2527" i="2"/>
  <c r="E2527" i="2"/>
  <c r="B2527" i="2"/>
  <c r="S2526" i="2"/>
  <c r="P2526" i="2"/>
  <c r="M2526" i="2"/>
  <c r="L2526" i="2"/>
  <c r="K2526" i="2"/>
  <c r="G2526" i="2"/>
  <c r="E2526" i="2"/>
  <c r="B2526" i="2"/>
  <c r="S2525" i="2"/>
  <c r="P2525" i="2"/>
  <c r="M2525" i="2"/>
  <c r="L2525" i="2"/>
  <c r="K2525" i="2"/>
  <c r="G2525" i="2"/>
  <c r="E2525" i="2"/>
  <c r="B2525" i="2"/>
  <c r="S2524" i="2"/>
  <c r="P2524" i="2"/>
  <c r="M2524" i="2"/>
  <c r="L2524" i="2"/>
  <c r="K2524" i="2"/>
  <c r="G2524" i="2"/>
  <c r="E2524" i="2"/>
  <c r="B2524" i="2"/>
  <c r="S2523" i="2"/>
  <c r="P2523" i="2"/>
  <c r="M2523" i="2"/>
  <c r="L2523" i="2"/>
  <c r="K2523" i="2"/>
  <c r="G2523" i="2"/>
  <c r="E2523" i="2"/>
  <c r="B2523" i="2"/>
  <c r="S2522" i="2"/>
  <c r="P2522" i="2"/>
  <c r="M2522" i="2"/>
  <c r="L2522" i="2"/>
  <c r="K2522" i="2"/>
  <c r="G2522" i="2"/>
  <c r="E2522" i="2"/>
  <c r="B2522" i="2"/>
  <c r="S2521" i="2"/>
  <c r="P2521" i="2"/>
  <c r="M2521" i="2"/>
  <c r="L2521" i="2"/>
  <c r="K2521" i="2"/>
  <c r="G2521" i="2"/>
  <c r="E2521" i="2"/>
  <c r="B2521" i="2"/>
  <c r="S2520" i="2"/>
  <c r="P2520" i="2"/>
  <c r="M2520" i="2"/>
  <c r="L2520" i="2"/>
  <c r="K2520" i="2"/>
  <c r="G2520" i="2"/>
  <c r="E2520" i="2"/>
  <c r="B2520" i="2"/>
  <c r="S2519" i="2"/>
  <c r="P2519" i="2"/>
  <c r="M2519" i="2"/>
  <c r="L2519" i="2"/>
  <c r="K2519" i="2"/>
  <c r="H2519" i="2"/>
  <c r="G2519" i="2"/>
  <c r="E2519" i="2"/>
  <c r="B2519" i="2"/>
  <c r="S2518" i="2"/>
  <c r="P2518" i="2"/>
  <c r="M2518" i="2"/>
  <c r="L2518" i="2"/>
  <c r="K2518" i="2"/>
  <c r="H2518" i="2"/>
  <c r="G2518" i="2"/>
  <c r="E2518" i="2"/>
  <c r="B2518" i="2"/>
  <c r="S2517" i="2"/>
  <c r="P2517" i="2"/>
  <c r="M2517" i="2"/>
  <c r="L2517" i="2"/>
  <c r="K2517" i="2"/>
  <c r="H2517" i="2"/>
  <c r="G2517" i="2"/>
  <c r="E2517" i="2"/>
  <c r="B2517" i="2"/>
  <c r="S2516" i="2"/>
  <c r="P2516" i="2"/>
  <c r="M2516" i="2"/>
  <c r="L2516" i="2"/>
  <c r="K2516" i="2"/>
  <c r="G2516" i="2"/>
  <c r="E2516" i="2"/>
  <c r="B2516" i="2"/>
  <c r="S2515" i="2"/>
  <c r="P2515" i="2"/>
  <c r="M2515" i="2"/>
  <c r="L2515" i="2"/>
  <c r="K2515" i="2"/>
  <c r="G2515" i="2"/>
  <c r="E2515" i="2"/>
  <c r="B2515" i="2"/>
  <c r="S2514" i="2"/>
  <c r="P2514" i="2"/>
  <c r="M2514" i="2"/>
  <c r="L2514" i="2"/>
  <c r="K2514" i="2"/>
  <c r="G2514" i="2"/>
  <c r="E2514" i="2"/>
  <c r="B2514" i="2"/>
  <c r="S2513" i="2"/>
  <c r="P2513" i="2"/>
  <c r="M2513" i="2"/>
  <c r="L2513" i="2"/>
  <c r="K2513" i="2"/>
  <c r="G2513" i="2"/>
  <c r="E2513" i="2"/>
  <c r="B2513" i="2"/>
  <c r="S2512" i="2"/>
  <c r="P2512" i="2"/>
  <c r="M2512" i="2"/>
  <c r="L2512" i="2"/>
  <c r="K2512" i="2"/>
  <c r="G2512" i="2"/>
  <c r="E2512" i="2"/>
  <c r="B2512" i="2"/>
  <c r="S2511" i="2"/>
  <c r="P2511" i="2"/>
  <c r="M2511" i="2"/>
  <c r="L2511" i="2"/>
  <c r="K2511" i="2"/>
  <c r="G2511" i="2"/>
  <c r="E2511" i="2"/>
  <c r="B2511" i="2"/>
  <c r="S2510" i="2"/>
  <c r="P2510" i="2"/>
  <c r="M2510" i="2"/>
  <c r="L2510" i="2"/>
  <c r="K2510" i="2"/>
  <c r="G2510" i="2"/>
  <c r="E2510" i="2"/>
  <c r="B2510" i="2"/>
  <c r="S2509" i="2"/>
  <c r="P2509" i="2"/>
  <c r="M2509" i="2"/>
  <c r="L2509" i="2"/>
  <c r="K2509" i="2"/>
  <c r="G2509" i="2"/>
  <c r="E2509" i="2"/>
  <c r="B2509" i="2"/>
  <c r="S2508" i="2"/>
  <c r="P2508" i="2"/>
  <c r="M2508" i="2"/>
  <c r="L2508" i="2"/>
  <c r="K2508" i="2"/>
  <c r="G2508" i="2"/>
  <c r="E2508" i="2"/>
  <c r="B2508" i="2"/>
  <c r="S2507" i="2"/>
  <c r="P2507" i="2"/>
  <c r="M2507" i="2"/>
  <c r="L2507" i="2"/>
  <c r="K2507" i="2"/>
  <c r="G2507" i="2"/>
  <c r="E2507" i="2"/>
  <c r="B2507" i="2"/>
  <c r="S2506" i="2"/>
  <c r="P2506" i="2"/>
  <c r="M2506" i="2"/>
  <c r="L2506" i="2"/>
  <c r="K2506" i="2"/>
  <c r="G2506" i="2"/>
  <c r="E2506" i="2"/>
  <c r="B2506" i="2"/>
  <c r="S2505" i="2"/>
  <c r="P2505" i="2"/>
  <c r="M2505" i="2"/>
  <c r="L2505" i="2"/>
  <c r="K2505" i="2"/>
  <c r="G2505" i="2"/>
  <c r="E2505" i="2"/>
  <c r="B2505" i="2"/>
  <c r="S2504" i="2"/>
  <c r="P2504" i="2"/>
  <c r="M2504" i="2"/>
  <c r="L2504" i="2"/>
  <c r="K2504" i="2"/>
  <c r="G2504" i="2"/>
  <c r="E2504" i="2"/>
  <c r="B2504" i="2"/>
  <c r="S2503" i="2"/>
  <c r="P2503" i="2"/>
  <c r="M2503" i="2"/>
  <c r="L2503" i="2"/>
  <c r="K2503" i="2"/>
  <c r="G2503" i="2"/>
  <c r="E2503" i="2"/>
  <c r="B2503" i="2"/>
  <c r="S2502" i="2"/>
  <c r="P2502" i="2"/>
  <c r="M2502" i="2"/>
  <c r="L2502" i="2"/>
  <c r="K2502" i="2"/>
  <c r="G2502" i="2"/>
  <c r="E2502" i="2"/>
  <c r="B2502" i="2"/>
  <c r="S2501" i="2"/>
  <c r="P2501" i="2"/>
  <c r="M2501" i="2"/>
  <c r="L2501" i="2"/>
  <c r="K2501" i="2"/>
  <c r="G2501" i="2"/>
  <c r="E2501" i="2"/>
  <c r="B2501" i="2"/>
  <c r="S2500" i="2"/>
  <c r="P2500" i="2"/>
  <c r="M2500" i="2"/>
  <c r="L2500" i="2"/>
  <c r="K2500" i="2"/>
  <c r="G2500" i="2"/>
  <c r="E2500" i="2"/>
  <c r="B2500" i="2"/>
  <c r="S2499" i="2"/>
  <c r="P2499" i="2"/>
  <c r="M2499" i="2"/>
  <c r="L2499" i="2"/>
  <c r="K2499" i="2"/>
  <c r="G2499" i="2"/>
  <c r="E2499" i="2"/>
  <c r="B2499" i="2"/>
  <c r="S2498" i="2"/>
  <c r="P2498" i="2"/>
  <c r="M2498" i="2"/>
  <c r="L2498" i="2"/>
  <c r="K2498" i="2"/>
  <c r="G2498" i="2"/>
  <c r="E2498" i="2"/>
  <c r="B2498" i="2"/>
  <c r="S2497" i="2"/>
  <c r="P2497" i="2"/>
  <c r="M2497" i="2"/>
  <c r="L2497" i="2"/>
  <c r="K2497" i="2"/>
  <c r="G2497" i="2"/>
  <c r="E2497" i="2"/>
  <c r="B2497" i="2"/>
  <c r="S2496" i="2"/>
  <c r="P2496" i="2"/>
  <c r="M2496" i="2"/>
  <c r="L2496" i="2"/>
  <c r="K2496" i="2"/>
  <c r="G2496" i="2"/>
  <c r="E2496" i="2"/>
  <c r="B2496" i="2"/>
  <c r="S2495" i="2"/>
  <c r="P2495" i="2"/>
  <c r="M2495" i="2"/>
  <c r="L2495" i="2"/>
  <c r="K2495" i="2"/>
  <c r="G2495" i="2"/>
  <c r="E2495" i="2"/>
  <c r="B2495" i="2"/>
  <c r="S2494" i="2"/>
  <c r="P2494" i="2"/>
  <c r="M2494" i="2"/>
  <c r="L2494" i="2"/>
  <c r="K2494" i="2"/>
  <c r="G2494" i="2"/>
  <c r="E2494" i="2"/>
  <c r="B2494" i="2"/>
  <c r="S2493" i="2"/>
  <c r="P2493" i="2"/>
  <c r="M2493" i="2"/>
  <c r="L2493" i="2"/>
  <c r="K2493" i="2"/>
  <c r="G2493" i="2"/>
  <c r="E2493" i="2"/>
  <c r="B2493" i="2"/>
  <c r="S2492" i="2"/>
  <c r="P2492" i="2"/>
  <c r="M2492" i="2"/>
  <c r="L2492" i="2"/>
  <c r="K2492" i="2"/>
  <c r="G2492" i="2"/>
  <c r="E2492" i="2"/>
  <c r="B2492" i="2"/>
  <c r="S2491" i="2"/>
  <c r="P2491" i="2"/>
  <c r="M2491" i="2"/>
  <c r="L2491" i="2"/>
  <c r="K2491" i="2"/>
  <c r="G2491" i="2"/>
  <c r="E2491" i="2"/>
  <c r="B2491" i="2"/>
  <c r="S2490" i="2"/>
  <c r="P2490" i="2"/>
  <c r="M2490" i="2"/>
  <c r="L2490" i="2"/>
  <c r="K2490" i="2"/>
  <c r="G2490" i="2"/>
  <c r="E2490" i="2"/>
  <c r="B2490" i="2"/>
  <c r="S2489" i="2"/>
  <c r="P2489" i="2"/>
  <c r="M2489" i="2"/>
  <c r="L2489" i="2"/>
  <c r="K2489" i="2"/>
  <c r="G2489" i="2"/>
  <c r="E2489" i="2"/>
  <c r="B2489" i="2"/>
  <c r="S2488" i="2"/>
  <c r="P2488" i="2"/>
  <c r="M2488" i="2"/>
  <c r="L2488" i="2"/>
  <c r="K2488" i="2"/>
  <c r="G2488" i="2"/>
  <c r="E2488" i="2"/>
  <c r="B2488" i="2"/>
  <c r="S2487" i="2"/>
  <c r="P2487" i="2"/>
  <c r="M2487" i="2"/>
  <c r="L2487" i="2"/>
  <c r="K2487" i="2"/>
  <c r="G2487" i="2"/>
  <c r="E2487" i="2"/>
  <c r="B2487" i="2"/>
  <c r="S2486" i="2"/>
  <c r="P2486" i="2"/>
  <c r="M2486" i="2"/>
  <c r="L2486" i="2"/>
  <c r="K2486" i="2"/>
  <c r="G2486" i="2"/>
  <c r="E2486" i="2"/>
  <c r="B2486" i="2"/>
  <c r="S2485" i="2"/>
  <c r="P2485" i="2"/>
  <c r="M2485" i="2"/>
  <c r="L2485" i="2"/>
  <c r="K2485" i="2"/>
  <c r="G2485" i="2"/>
  <c r="E2485" i="2"/>
  <c r="B2485" i="2"/>
  <c r="S2484" i="2"/>
  <c r="P2484" i="2"/>
  <c r="M2484" i="2"/>
  <c r="L2484" i="2"/>
  <c r="K2484" i="2"/>
  <c r="G2484" i="2"/>
  <c r="E2484" i="2"/>
  <c r="B2484" i="2"/>
  <c r="S2483" i="2"/>
  <c r="P2483" i="2"/>
  <c r="M2483" i="2"/>
  <c r="L2483" i="2"/>
  <c r="K2483" i="2"/>
  <c r="G2483" i="2"/>
  <c r="E2483" i="2"/>
  <c r="B2483" i="2"/>
  <c r="S2482" i="2"/>
  <c r="P2482" i="2"/>
  <c r="M2482" i="2"/>
  <c r="L2482" i="2"/>
  <c r="K2482" i="2"/>
  <c r="G2482" i="2"/>
  <c r="E2482" i="2"/>
  <c r="B2482" i="2"/>
  <c r="S2481" i="2"/>
  <c r="P2481" i="2"/>
  <c r="M2481" i="2"/>
  <c r="L2481" i="2"/>
  <c r="K2481" i="2"/>
  <c r="G2481" i="2"/>
  <c r="E2481" i="2"/>
  <c r="B2481" i="2"/>
  <c r="S2480" i="2"/>
  <c r="P2480" i="2"/>
  <c r="M2480" i="2"/>
  <c r="L2480" i="2"/>
  <c r="K2480" i="2"/>
  <c r="G2480" i="2"/>
  <c r="E2480" i="2"/>
  <c r="B2480" i="2"/>
  <c r="S2479" i="2"/>
  <c r="P2479" i="2"/>
  <c r="M2479" i="2"/>
  <c r="L2479" i="2"/>
  <c r="K2479" i="2"/>
  <c r="G2479" i="2"/>
  <c r="E2479" i="2"/>
  <c r="B2479" i="2"/>
  <c r="S2478" i="2"/>
  <c r="P2478" i="2"/>
  <c r="M2478" i="2"/>
  <c r="L2478" i="2"/>
  <c r="K2478" i="2"/>
  <c r="G2478" i="2"/>
  <c r="E2478" i="2"/>
  <c r="B2478" i="2"/>
  <c r="S2477" i="2"/>
  <c r="P2477" i="2"/>
  <c r="M2477" i="2"/>
  <c r="L2477" i="2"/>
  <c r="K2477" i="2"/>
  <c r="G2477" i="2"/>
  <c r="E2477" i="2"/>
  <c r="B2477" i="2"/>
  <c r="S2476" i="2"/>
  <c r="P2476" i="2"/>
  <c r="M2476" i="2"/>
  <c r="L2476" i="2"/>
  <c r="K2476" i="2"/>
  <c r="G2476" i="2"/>
  <c r="E2476" i="2"/>
  <c r="B2476" i="2"/>
  <c r="S2475" i="2"/>
  <c r="P2475" i="2"/>
  <c r="M2475" i="2"/>
  <c r="L2475" i="2"/>
  <c r="K2475" i="2"/>
  <c r="G2475" i="2"/>
  <c r="E2475" i="2"/>
  <c r="B2475" i="2"/>
  <c r="S2474" i="2"/>
  <c r="P2474" i="2"/>
  <c r="M2474" i="2"/>
  <c r="L2474" i="2"/>
  <c r="K2474" i="2"/>
  <c r="G2474" i="2"/>
  <c r="E2474" i="2"/>
  <c r="B2474" i="2"/>
  <c r="S2473" i="2"/>
  <c r="P2473" i="2"/>
  <c r="M2473" i="2"/>
  <c r="L2473" i="2"/>
  <c r="K2473" i="2"/>
  <c r="G2473" i="2"/>
  <c r="E2473" i="2"/>
  <c r="B2473" i="2"/>
  <c r="S2472" i="2"/>
  <c r="P2472" i="2"/>
  <c r="M2472" i="2"/>
  <c r="L2472" i="2"/>
  <c r="K2472" i="2"/>
  <c r="G2472" i="2"/>
  <c r="E2472" i="2"/>
  <c r="B2472" i="2"/>
  <c r="S2471" i="2"/>
  <c r="P2471" i="2"/>
  <c r="M2471" i="2"/>
  <c r="L2471" i="2"/>
  <c r="K2471" i="2"/>
  <c r="G2471" i="2"/>
  <c r="E2471" i="2"/>
  <c r="B2471" i="2"/>
  <c r="S2470" i="2"/>
  <c r="P2470" i="2"/>
  <c r="M2470" i="2"/>
  <c r="L2470" i="2"/>
  <c r="K2470" i="2"/>
  <c r="G2470" i="2"/>
  <c r="E2470" i="2"/>
  <c r="B2470" i="2"/>
  <c r="S2469" i="2"/>
  <c r="P2469" i="2"/>
  <c r="M2469" i="2"/>
  <c r="L2469" i="2"/>
  <c r="K2469" i="2"/>
  <c r="G2469" i="2"/>
  <c r="E2469" i="2"/>
  <c r="B2469" i="2"/>
  <c r="S2468" i="2"/>
  <c r="P2468" i="2"/>
  <c r="M2468" i="2"/>
  <c r="L2468" i="2"/>
  <c r="K2468" i="2"/>
  <c r="G2468" i="2"/>
  <c r="E2468" i="2"/>
  <c r="B2468" i="2"/>
  <c r="S2467" i="2"/>
  <c r="P2467" i="2"/>
  <c r="M2467" i="2"/>
  <c r="L2467" i="2"/>
  <c r="K2467" i="2"/>
  <c r="G2467" i="2"/>
  <c r="E2467" i="2"/>
  <c r="B2467" i="2"/>
  <c r="S2466" i="2"/>
  <c r="P2466" i="2"/>
  <c r="M2466" i="2"/>
  <c r="L2466" i="2"/>
  <c r="K2466" i="2"/>
  <c r="G2466" i="2"/>
  <c r="E2466" i="2"/>
  <c r="B2466" i="2"/>
  <c r="S2465" i="2"/>
  <c r="P2465" i="2"/>
  <c r="M2465" i="2"/>
  <c r="L2465" i="2"/>
  <c r="K2465" i="2"/>
  <c r="G2465" i="2"/>
  <c r="E2465" i="2"/>
  <c r="B2465" i="2"/>
  <c r="S2464" i="2"/>
  <c r="P2464" i="2"/>
  <c r="M2464" i="2"/>
  <c r="L2464" i="2"/>
  <c r="K2464" i="2"/>
  <c r="G2464" i="2"/>
  <c r="E2464" i="2"/>
  <c r="B2464" i="2"/>
  <c r="S2463" i="2"/>
  <c r="P2463" i="2"/>
  <c r="M2463" i="2"/>
  <c r="L2463" i="2"/>
  <c r="K2463" i="2"/>
  <c r="G2463" i="2"/>
  <c r="E2463" i="2"/>
  <c r="B2463" i="2"/>
  <c r="S2462" i="2"/>
  <c r="P2462" i="2"/>
  <c r="M2462" i="2"/>
  <c r="L2462" i="2"/>
  <c r="K2462" i="2"/>
  <c r="G2462" i="2"/>
  <c r="E2462" i="2"/>
  <c r="B2462" i="2"/>
  <c r="S2461" i="2"/>
  <c r="P2461" i="2"/>
  <c r="M2461" i="2"/>
  <c r="L2461" i="2"/>
  <c r="K2461" i="2"/>
  <c r="G2461" i="2"/>
  <c r="E2461" i="2"/>
  <c r="B2461" i="2"/>
  <c r="S2460" i="2"/>
  <c r="P2460" i="2"/>
  <c r="M2460" i="2"/>
  <c r="L2460" i="2"/>
  <c r="K2460" i="2"/>
  <c r="G2460" i="2"/>
  <c r="E2460" i="2"/>
  <c r="B2460" i="2"/>
  <c r="S2459" i="2"/>
  <c r="P2459" i="2"/>
  <c r="M2459" i="2"/>
  <c r="L2459" i="2"/>
  <c r="K2459" i="2"/>
  <c r="G2459" i="2"/>
  <c r="E2459" i="2"/>
  <c r="B2459" i="2"/>
  <c r="S2458" i="2"/>
  <c r="P2458" i="2"/>
  <c r="M2458" i="2"/>
  <c r="L2458" i="2"/>
  <c r="K2458" i="2"/>
  <c r="G2458" i="2"/>
  <c r="E2458" i="2"/>
  <c r="B2458" i="2"/>
  <c r="S2457" i="2"/>
  <c r="P2457" i="2"/>
  <c r="M2457" i="2"/>
  <c r="L2457" i="2"/>
  <c r="K2457" i="2"/>
  <c r="G2457" i="2"/>
  <c r="E2457" i="2"/>
  <c r="B2457" i="2"/>
  <c r="S2456" i="2"/>
  <c r="P2456" i="2"/>
  <c r="M2456" i="2"/>
  <c r="L2456" i="2"/>
  <c r="K2456" i="2"/>
  <c r="G2456" i="2"/>
  <c r="E2456" i="2"/>
  <c r="B2456" i="2"/>
  <c r="S2455" i="2"/>
  <c r="P2455" i="2"/>
  <c r="M2455" i="2"/>
  <c r="L2455" i="2"/>
  <c r="K2455" i="2"/>
  <c r="G2455" i="2"/>
  <c r="E2455" i="2"/>
  <c r="B2455" i="2"/>
  <c r="S2454" i="2"/>
  <c r="P2454" i="2"/>
  <c r="M2454" i="2"/>
  <c r="L2454" i="2"/>
  <c r="K2454" i="2"/>
  <c r="G2454" i="2"/>
  <c r="E2454" i="2"/>
  <c r="B2454" i="2"/>
  <c r="S2453" i="2"/>
  <c r="P2453" i="2"/>
  <c r="M2453" i="2"/>
  <c r="L2453" i="2"/>
  <c r="K2453" i="2"/>
  <c r="G2453" i="2"/>
  <c r="E2453" i="2"/>
  <c r="B2453" i="2"/>
  <c r="S2452" i="2"/>
  <c r="P2452" i="2"/>
  <c r="M2452" i="2"/>
  <c r="L2452" i="2"/>
  <c r="K2452" i="2"/>
  <c r="G2452" i="2"/>
  <c r="E2452" i="2"/>
  <c r="B2452" i="2"/>
  <c r="S2451" i="2"/>
  <c r="P2451" i="2"/>
  <c r="M2451" i="2"/>
  <c r="L2451" i="2"/>
  <c r="K2451" i="2"/>
  <c r="G2451" i="2"/>
  <c r="E2451" i="2"/>
  <c r="B2451" i="2"/>
  <c r="S2450" i="2"/>
  <c r="P2450" i="2"/>
  <c r="M2450" i="2"/>
  <c r="L2450" i="2"/>
  <c r="K2450" i="2"/>
  <c r="G2450" i="2"/>
  <c r="E2450" i="2"/>
  <c r="B2450" i="2"/>
  <c r="S2449" i="2"/>
  <c r="P2449" i="2"/>
  <c r="M2449" i="2"/>
  <c r="L2449" i="2"/>
  <c r="K2449" i="2"/>
  <c r="G2449" i="2"/>
  <c r="E2449" i="2"/>
  <c r="B2449" i="2"/>
  <c r="S2448" i="2"/>
  <c r="P2448" i="2"/>
  <c r="M2448" i="2"/>
  <c r="L2448" i="2"/>
  <c r="K2448" i="2"/>
  <c r="G2448" i="2"/>
  <c r="E2448" i="2"/>
  <c r="B2448" i="2"/>
  <c r="S2447" i="2"/>
  <c r="P2447" i="2"/>
  <c r="M2447" i="2"/>
  <c r="L2447" i="2"/>
  <c r="K2447" i="2"/>
  <c r="G2447" i="2"/>
  <c r="E2447" i="2"/>
  <c r="B2447" i="2"/>
  <c r="S2446" i="2"/>
  <c r="P2446" i="2"/>
  <c r="M2446" i="2"/>
  <c r="L2446" i="2"/>
  <c r="K2446" i="2"/>
  <c r="G2446" i="2"/>
  <c r="E2446" i="2"/>
  <c r="B2446" i="2"/>
  <c r="S2445" i="2"/>
  <c r="P2445" i="2"/>
  <c r="M2445" i="2"/>
  <c r="L2445" i="2"/>
  <c r="K2445" i="2"/>
  <c r="G2445" i="2"/>
  <c r="E2445" i="2"/>
  <c r="B2445" i="2"/>
  <c r="S2444" i="2"/>
  <c r="P2444" i="2"/>
  <c r="M2444" i="2"/>
  <c r="L2444" i="2"/>
  <c r="K2444" i="2"/>
  <c r="G2444" i="2"/>
  <c r="E2444" i="2"/>
  <c r="B2444" i="2"/>
  <c r="S2443" i="2"/>
  <c r="P2443" i="2"/>
  <c r="M2443" i="2"/>
  <c r="L2443" i="2"/>
  <c r="K2443" i="2"/>
  <c r="G2443" i="2"/>
  <c r="E2443" i="2"/>
  <c r="B2443" i="2"/>
  <c r="S2442" i="2"/>
  <c r="P2442" i="2"/>
  <c r="M2442" i="2"/>
  <c r="L2442" i="2"/>
  <c r="K2442" i="2"/>
  <c r="G2442" i="2"/>
  <c r="E2442" i="2"/>
  <c r="B2442" i="2"/>
  <c r="S2441" i="2"/>
  <c r="P2441" i="2"/>
  <c r="M2441" i="2"/>
  <c r="L2441" i="2"/>
  <c r="K2441" i="2"/>
  <c r="G2441" i="2"/>
  <c r="E2441" i="2"/>
  <c r="B2441" i="2"/>
  <c r="S2440" i="2"/>
  <c r="P2440" i="2"/>
  <c r="M2440" i="2"/>
  <c r="L2440" i="2"/>
  <c r="K2440" i="2"/>
  <c r="G2440" i="2"/>
  <c r="E2440" i="2"/>
  <c r="B2440" i="2"/>
  <c r="S2439" i="2"/>
  <c r="P2439" i="2"/>
  <c r="M2439" i="2"/>
  <c r="L2439" i="2"/>
  <c r="K2439" i="2"/>
  <c r="G2439" i="2"/>
  <c r="E2439" i="2"/>
  <c r="B2439" i="2"/>
  <c r="S2438" i="2"/>
  <c r="P2438" i="2"/>
  <c r="M2438" i="2"/>
  <c r="L2438" i="2"/>
  <c r="K2438" i="2"/>
  <c r="G2438" i="2"/>
  <c r="E2438" i="2"/>
  <c r="B2438" i="2"/>
  <c r="S2437" i="2"/>
  <c r="P2437" i="2"/>
  <c r="M2437" i="2"/>
  <c r="L2437" i="2"/>
  <c r="K2437" i="2"/>
  <c r="G2437" i="2"/>
  <c r="E2437" i="2"/>
  <c r="B2437" i="2"/>
  <c r="S2436" i="2"/>
  <c r="P2436" i="2"/>
  <c r="M2436" i="2"/>
  <c r="L2436" i="2"/>
  <c r="K2436" i="2"/>
  <c r="G2436" i="2"/>
  <c r="E2436" i="2"/>
  <c r="B2436" i="2"/>
  <c r="S2435" i="2"/>
  <c r="P2435" i="2"/>
  <c r="M2435" i="2"/>
  <c r="L2435" i="2"/>
  <c r="K2435" i="2"/>
  <c r="G2435" i="2"/>
  <c r="E2435" i="2"/>
  <c r="B2435" i="2"/>
  <c r="S2434" i="2"/>
  <c r="P2434" i="2"/>
  <c r="M2434" i="2"/>
  <c r="L2434" i="2"/>
  <c r="K2434" i="2"/>
  <c r="G2434" i="2"/>
  <c r="E2434" i="2"/>
  <c r="B2434" i="2"/>
  <c r="S2433" i="2"/>
  <c r="P2433" i="2"/>
  <c r="M2433" i="2"/>
  <c r="L2433" i="2"/>
  <c r="K2433" i="2"/>
  <c r="G2433" i="2"/>
  <c r="E2433" i="2"/>
  <c r="B2433" i="2"/>
  <c r="S2432" i="2"/>
  <c r="P2432" i="2"/>
  <c r="M2432" i="2"/>
  <c r="L2432" i="2"/>
  <c r="K2432" i="2"/>
  <c r="G2432" i="2"/>
  <c r="E2432" i="2"/>
  <c r="B2432" i="2"/>
  <c r="S2431" i="2"/>
  <c r="P2431" i="2"/>
  <c r="M2431" i="2"/>
  <c r="L2431" i="2"/>
  <c r="K2431" i="2"/>
  <c r="G2431" i="2"/>
  <c r="E2431" i="2"/>
  <c r="B2431" i="2"/>
  <c r="S2430" i="2"/>
  <c r="P2430" i="2"/>
  <c r="M2430" i="2"/>
  <c r="L2430" i="2"/>
  <c r="K2430" i="2"/>
  <c r="G2430" i="2"/>
  <c r="E2430" i="2"/>
  <c r="B2430" i="2"/>
  <c r="S2429" i="2"/>
  <c r="P2429" i="2"/>
  <c r="M2429" i="2"/>
  <c r="L2429" i="2"/>
  <c r="K2429" i="2"/>
  <c r="G2429" i="2"/>
  <c r="E2429" i="2"/>
  <c r="B2429" i="2"/>
  <c r="S2428" i="2"/>
  <c r="P2428" i="2"/>
  <c r="M2428" i="2"/>
  <c r="L2428" i="2"/>
  <c r="K2428" i="2"/>
  <c r="G2428" i="2"/>
  <c r="E2428" i="2"/>
  <c r="B2428" i="2"/>
  <c r="S2427" i="2"/>
  <c r="P2427" i="2"/>
  <c r="M2427" i="2"/>
  <c r="L2427" i="2"/>
  <c r="K2427" i="2"/>
  <c r="G2427" i="2"/>
  <c r="E2427" i="2"/>
  <c r="B2427" i="2"/>
  <c r="S2426" i="2"/>
  <c r="P2426" i="2"/>
  <c r="M2426" i="2"/>
  <c r="L2426" i="2"/>
  <c r="K2426" i="2"/>
  <c r="G2426" i="2"/>
  <c r="E2426" i="2"/>
  <c r="B2426" i="2"/>
  <c r="S2425" i="2"/>
  <c r="P2425" i="2"/>
  <c r="M2425" i="2"/>
  <c r="L2425" i="2"/>
  <c r="K2425" i="2"/>
  <c r="G2425" i="2"/>
  <c r="E2425" i="2"/>
  <c r="B2425" i="2"/>
  <c r="S2424" i="2"/>
  <c r="P2424" i="2"/>
  <c r="M2424" i="2"/>
  <c r="L2424" i="2"/>
  <c r="K2424" i="2"/>
  <c r="G2424" i="2"/>
  <c r="E2424" i="2"/>
  <c r="B2424" i="2"/>
  <c r="S2423" i="2"/>
  <c r="P2423" i="2"/>
  <c r="M2423" i="2"/>
  <c r="L2423" i="2"/>
  <c r="K2423" i="2"/>
  <c r="G2423" i="2"/>
  <c r="E2423" i="2"/>
  <c r="B2423" i="2"/>
  <c r="S2422" i="2"/>
  <c r="P2422" i="2"/>
  <c r="M2422" i="2"/>
  <c r="L2422" i="2"/>
  <c r="K2422" i="2"/>
  <c r="G2422" i="2"/>
  <c r="E2422" i="2"/>
  <c r="B2422" i="2"/>
  <c r="S2421" i="2"/>
  <c r="P2421" i="2"/>
  <c r="M2421" i="2"/>
  <c r="L2421" i="2"/>
  <c r="K2421" i="2"/>
  <c r="G2421" i="2"/>
  <c r="E2421" i="2"/>
  <c r="B2421" i="2"/>
  <c r="S2420" i="2"/>
  <c r="P2420" i="2"/>
  <c r="M2420" i="2"/>
  <c r="L2420" i="2"/>
  <c r="K2420" i="2"/>
  <c r="G2420" i="2"/>
  <c r="E2420" i="2"/>
  <c r="B2420" i="2"/>
  <c r="S2419" i="2"/>
  <c r="P2419" i="2"/>
  <c r="M2419" i="2"/>
  <c r="L2419" i="2"/>
  <c r="K2419" i="2"/>
  <c r="G2419" i="2"/>
  <c r="E2419" i="2"/>
  <c r="B2419" i="2"/>
  <c r="S2418" i="2"/>
  <c r="P2418" i="2"/>
  <c r="M2418" i="2"/>
  <c r="L2418" i="2"/>
  <c r="K2418" i="2"/>
  <c r="G2418" i="2"/>
  <c r="E2418" i="2"/>
  <c r="B2418" i="2"/>
  <c r="S2417" i="2"/>
  <c r="P2417" i="2"/>
  <c r="M2417" i="2"/>
  <c r="L2417" i="2"/>
  <c r="K2417" i="2"/>
  <c r="G2417" i="2"/>
  <c r="E2417" i="2"/>
  <c r="B2417" i="2"/>
  <c r="S2416" i="2"/>
  <c r="P2416" i="2"/>
  <c r="M2416" i="2"/>
  <c r="L2416" i="2"/>
  <c r="K2416" i="2"/>
  <c r="G2416" i="2"/>
  <c r="E2416" i="2"/>
  <c r="B2416" i="2"/>
  <c r="S2415" i="2"/>
  <c r="P2415" i="2"/>
  <c r="M2415" i="2"/>
  <c r="L2415" i="2"/>
  <c r="K2415" i="2"/>
  <c r="G2415" i="2"/>
  <c r="E2415" i="2"/>
  <c r="B2415" i="2"/>
  <c r="S2414" i="2"/>
  <c r="P2414" i="2"/>
  <c r="M2414" i="2"/>
  <c r="L2414" i="2"/>
  <c r="K2414" i="2"/>
  <c r="G2414" i="2"/>
  <c r="E2414" i="2"/>
  <c r="B2414" i="2"/>
  <c r="S2413" i="2"/>
  <c r="P2413" i="2"/>
  <c r="M2413" i="2"/>
  <c r="L2413" i="2"/>
  <c r="K2413" i="2"/>
  <c r="G2413" i="2"/>
  <c r="E2413" i="2"/>
  <c r="B2413" i="2"/>
  <c r="S2412" i="2"/>
  <c r="P2412" i="2"/>
  <c r="M2412" i="2"/>
  <c r="L2412" i="2"/>
  <c r="K2412" i="2"/>
  <c r="H2412" i="2"/>
  <c r="G2412" i="2"/>
  <c r="E2412" i="2"/>
  <c r="B2412" i="2"/>
  <c r="S2411" i="2"/>
  <c r="P2411" i="2"/>
  <c r="M2411" i="2"/>
  <c r="L2411" i="2"/>
  <c r="K2411" i="2"/>
  <c r="G2411" i="2"/>
  <c r="E2411" i="2"/>
  <c r="B2411" i="2"/>
  <c r="S2410" i="2"/>
  <c r="P2410" i="2"/>
  <c r="M2410" i="2"/>
  <c r="L2410" i="2"/>
  <c r="K2410" i="2"/>
  <c r="G2410" i="2"/>
  <c r="E2410" i="2"/>
  <c r="B2410" i="2"/>
  <c r="S2409" i="2"/>
  <c r="P2409" i="2"/>
  <c r="M2409" i="2"/>
  <c r="L2409" i="2"/>
  <c r="K2409" i="2"/>
  <c r="G2409" i="2"/>
  <c r="E2409" i="2"/>
  <c r="B2409" i="2"/>
  <c r="S2408" i="2"/>
  <c r="P2408" i="2"/>
  <c r="M2408" i="2"/>
  <c r="L2408" i="2"/>
  <c r="K2408" i="2"/>
  <c r="G2408" i="2"/>
  <c r="E2408" i="2"/>
  <c r="B2408" i="2"/>
  <c r="S2407" i="2"/>
  <c r="P2407" i="2"/>
  <c r="M2407" i="2"/>
  <c r="L2407" i="2"/>
  <c r="K2407" i="2"/>
  <c r="G2407" i="2"/>
  <c r="E2407" i="2"/>
  <c r="B2407" i="2"/>
  <c r="S2406" i="2"/>
  <c r="P2406" i="2"/>
  <c r="M2406" i="2"/>
  <c r="L2406" i="2"/>
  <c r="K2406" i="2"/>
  <c r="G2406" i="2"/>
  <c r="E2406" i="2"/>
  <c r="B2406" i="2"/>
  <c r="S2405" i="2"/>
  <c r="P2405" i="2"/>
  <c r="M2405" i="2"/>
  <c r="L2405" i="2"/>
  <c r="K2405" i="2"/>
  <c r="G2405" i="2"/>
  <c r="E2405" i="2"/>
  <c r="B2405" i="2"/>
  <c r="S2404" i="2"/>
  <c r="P2404" i="2"/>
  <c r="M2404" i="2"/>
  <c r="L2404" i="2"/>
  <c r="K2404" i="2"/>
  <c r="G2404" i="2"/>
  <c r="E2404" i="2"/>
  <c r="B2404" i="2"/>
  <c r="S2403" i="2"/>
  <c r="P2403" i="2"/>
  <c r="M2403" i="2"/>
  <c r="L2403" i="2"/>
  <c r="K2403" i="2"/>
  <c r="G2403" i="2"/>
  <c r="E2403" i="2"/>
  <c r="B2403" i="2"/>
  <c r="S2402" i="2"/>
  <c r="P2402" i="2"/>
  <c r="M2402" i="2"/>
  <c r="L2402" i="2"/>
  <c r="K2402" i="2"/>
  <c r="G2402" i="2"/>
  <c r="E2402" i="2"/>
  <c r="B2402" i="2"/>
  <c r="S2401" i="2"/>
  <c r="P2401" i="2"/>
  <c r="M2401" i="2"/>
  <c r="L2401" i="2"/>
  <c r="K2401" i="2"/>
  <c r="H2401" i="2"/>
  <c r="G2401" i="2"/>
  <c r="E2401" i="2"/>
  <c r="B2401" i="2"/>
  <c r="S2400" i="2"/>
  <c r="P2400" i="2"/>
  <c r="M2400" i="2"/>
  <c r="L2400" i="2"/>
  <c r="K2400" i="2"/>
  <c r="G2400" i="2"/>
  <c r="E2400" i="2"/>
  <c r="B2400" i="2"/>
  <c r="S2399" i="2"/>
  <c r="P2399" i="2"/>
  <c r="M2399" i="2"/>
  <c r="L2399" i="2"/>
  <c r="K2399" i="2"/>
  <c r="H2399" i="2"/>
  <c r="G2399" i="2"/>
  <c r="E2399" i="2"/>
  <c r="B2399" i="2"/>
  <c r="S2398" i="2"/>
  <c r="P2398" i="2"/>
  <c r="M2398" i="2"/>
  <c r="L2398" i="2"/>
  <c r="K2398" i="2"/>
  <c r="H2398" i="2"/>
  <c r="G2398" i="2"/>
  <c r="E2398" i="2"/>
  <c r="B2398" i="2"/>
  <c r="S2397" i="2"/>
  <c r="P2397" i="2"/>
  <c r="M2397" i="2"/>
  <c r="L2397" i="2"/>
  <c r="K2397" i="2"/>
  <c r="H2397" i="2"/>
  <c r="G2397" i="2"/>
  <c r="E2397" i="2"/>
  <c r="B2397" i="2"/>
  <c r="S2396" i="2"/>
  <c r="P2396" i="2"/>
  <c r="M2396" i="2"/>
  <c r="L2396" i="2"/>
  <c r="K2396" i="2"/>
  <c r="H2396" i="2"/>
  <c r="G2396" i="2"/>
  <c r="E2396" i="2"/>
  <c r="B2396" i="2"/>
  <c r="S2395" i="2"/>
  <c r="P2395" i="2"/>
  <c r="M2395" i="2"/>
  <c r="L2395" i="2"/>
  <c r="K2395" i="2"/>
  <c r="G2395" i="2"/>
  <c r="E2395" i="2"/>
  <c r="B2395" i="2"/>
  <c r="S2394" i="2"/>
  <c r="P2394" i="2"/>
  <c r="M2394" i="2"/>
  <c r="L2394" i="2"/>
  <c r="K2394" i="2"/>
  <c r="G2394" i="2"/>
  <c r="E2394" i="2"/>
  <c r="B2394" i="2"/>
  <c r="S2393" i="2"/>
  <c r="P2393" i="2"/>
  <c r="M2393" i="2"/>
  <c r="L2393" i="2"/>
  <c r="K2393" i="2"/>
  <c r="G2393" i="2"/>
  <c r="E2393" i="2"/>
  <c r="B2393" i="2"/>
  <c r="S2392" i="2"/>
  <c r="P2392" i="2"/>
  <c r="M2392" i="2"/>
  <c r="L2392" i="2"/>
  <c r="K2392" i="2"/>
  <c r="G2392" i="2"/>
  <c r="E2392" i="2"/>
  <c r="B2392" i="2"/>
  <c r="S2391" i="2"/>
  <c r="P2391" i="2"/>
  <c r="M2391" i="2"/>
  <c r="L2391" i="2"/>
  <c r="K2391" i="2"/>
  <c r="G2391" i="2"/>
  <c r="E2391" i="2"/>
  <c r="B2391" i="2"/>
  <c r="S2390" i="2"/>
  <c r="P2390" i="2"/>
  <c r="M2390" i="2"/>
  <c r="L2390" i="2"/>
  <c r="K2390" i="2"/>
  <c r="G2390" i="2"/>
  <c r="E2390" i="2"/>
  <c r="B2390" i="2"/>
  <c r="S2389" i="2"/>
  <c r="P2389" i="2"/>
  <c r="M2389" i="2"/>
  <c r="L2389" i="2"/>
  <c r="K2389" i="2"/>
  <c r="G2389" i="2"/>
  <c r="E2389" i="2"/>
  <c r="B2389" i="2"/>
  <c r="S2388" i="2"/>
  <c r="P2388" i="2"/>
  <c r="M2388" i="2"/>
  <c r="L2388" i="2"/>
  <c r="K2388" i="2"/>
  <c r="G2388" i="2"/>
  <c r="E2388" i="2"/>
  <c r="B2388" i="2"/>
  <c r="S2387" i="2"/>
  <c r="P2387" i="2"/>
  <c r="M2387" i="2"/>
  <c r="L2387" i="2"/>
  <c r="K2387" i="2"/>
  <c r="G2387" i="2"/>
  <c r="E2387" i="2"/>
  <c r="B2387" i="2"/>
  <c r="S2386" i="2"/>
  <c r="P2386" i="2"/>
  <c r="M2386" i="2"/>
  <c r="L2386" i="2"/>
  <c r="K2386" i="2"/>
  <c r="G2386" i="2"/>
  <c r="E2386" i="2"/>
  <c r="B2386" i="2"/>
  <c r="S2385" i="2"/>
  <c r="P2385" i="2"/>
  <c r="M2385" i="2"/>
  <c r="L2385" i="2"/>
  <c r="K2385" i="2"/>
  <c r="G2385" i="2"/>
  <c r="E2385" i="2"/>
  <c r="B2385" i="2"/>
  <c r="S2384" i="2"/>
  <c r="P2384" i="2"/>
  <c r="M2384" i="2"/>
  <c r="L2384" i="2"/>
  <c r="K2384" i="2"/>
  <c r="G2384" i="2"/>
  <c r="E2384" i="2"/>
  <c r="B2384" i="2"/>
  <c r="S2383" i="2"/>
  <c r="P2383" i="2"/>
  <c r="M2383" i="2"/>
  <c r="L2383" i="2"/>
  <c r="K2383" i="2"/>
  <c r="G2383" i="2"/>
  <c r="E2383" i="2"/>
  <c r="B2383" i="2"/>
  <c r="S2382" i="2"/>
  <c r="P2382" i="2"/>
  <c r="M2382" i="2"/>
  <c r="L2382" i="2"/>
  <c r="K2382" i="2"/>
  <c r="G2382" i="2"/>
  <c r="E2382" i="2"/>
  <c r="B2382" i="2"/>
  <c r="S2381" i="2"/>
  <c r="P2381" i="2"/>
  <c r="M2381" i="2"/>
  <c r="L2381" i="2"/>
  <c r="K2381" i="2"/>
  <c r="G2381" i="2"/>
  <c r="E2381" i="2"/>
  <c r="B2381" i="2"/>
  <c r="S2380" i="2"/>
  <c r="P2380" i="2"/>
  <c r="M2380" i="2"/>
  <c r="L2380" i="2"/>
  <c r="K2380" i="2"/>
  <c r="G2380" i="2"/>
  <c r="E2380" i="2"/>
  <c r="B2380" i="2"/>
  <c r="S2379" i="2"/>
  <c r="P2379" i="2"/>
  <c r="M2379" i="2"/>
  <c r="L2379" i="2"/>
  <c r="K2379" i="2"/>
  <c r="G2379" i="2"/>
  <c r="E2379" i="2"/>
  <c r="B2379" i="2"/>
  <c r="S2378" i="2"/>
  <c r="P2378" i="2"/>
  <c r="M2378" i="2"/>
  <c r="L2378" i="2"/>
  <c r="K2378" i="2"/>
  <c r="G2378" i="2"/>
  <c r="E2378" i="2"/>
  <c r="B2378" i="2"/>
  <c r="S2377" i="2"/>
  <c r="P2377" i="2"/>
  <c r="M2377" i="2"/>
  <c r="L2377" i="2"/>
  <c r="K2377" i="2"/>
  <c r="G2377" i="2"/>
  <c r="E2377" i="2"/>
  <c r="B2377" i="2"/>
  <c r="S2376" i="2"/>
  <c r="P2376" i="2"/>
  <c r="M2376" i="2"/>
  <c r="L2376" i="2"/>
  <c r="K2376" i="2"/>
  <c r="G2376" i="2"/>
  <c r="E2376" i="2"/>
  <c r="B2376" i="2"/>
  <c r="S2375" i="2"/>
  <c r="P2375" i="2"/>
  <c r="M2375" i="2"/>
  <c r="L2375" i="2"/>
  <c r="K2375" i="2"/>
  <c r="G2375" i="2"/>
  <c r="E2375" i="2"/>
  <c r="B2375" i="2"/>
  <c r="S2374" i="2"/>
  <c r="P2374" i="2"/>
  <c r="M2374" i="2"/>
  <c r="L2374" i="2"/>
  <c r="K2374" i="2"/>
  <c r="G2374" i="2"/>
  <c r="E2374" i="2"/>
  <c r="B2374" i="2"/>
  <c r="S2373" i="2"/>
  <c r="P2373" i="2"/>
  <c r="M2373" i="2"/>
  <c r="L2373" i="2"/>
  <c r="K2373" i="2"/>
  <c r="G2373" i="2"/>
  <c r="E2373" i="2"/>
  <c r="B2373" i="2"/>
  <c r="S2372" i="2"/>
  <c r="P2372" i="2"/>
  <c r="M2372" i="2"/>
  <c r="L2372" i="2"/>
  <c r="K2372" i="2"/>
  <c r="G2372" i="2"/>
  <c r="E2372" i="2"/>
  <c r="B2372" i="2"/>
  <c r="S2371" i="2"/>
  <c r="P2371" i="2"/>
  <c r="M2371" i="2"/>
  <c r="L2371" i="2"/>
  <c r="K2371" i="2"/>
  <c r="G2371" i="2"/>
  <c r="E2371" i="2"/>
  <c r="B2371" i="2"/>
  <c r="S2370" i="2"/>
  <c r="P2370" i="2"/>
  <c r="M2370" i="2"/>
  <c r="L2370" i="2"/>
  <c r="K2370" i="2"/>
  <c r="G2370" i="2"/>
  <c r="E2370" i="2"/>
  <c r="B2370" i="2"/>
  <c r="S2369" i="2"/>
  <c r="P2369" i="2"/>
  <c r="M2369" i="2"/>
  <c r="L2369" i="2"/>
  <c r="K2369" i="2"/>
  <c r="G2369" i="2"/>
  <c r="E2369" i="2"/>
  <c r="B2369" i="2"/>
  <c r="S2368" i="2"/>
  <c r="P2368" i="2"/>
  <c r="M2368" i="2"/>
  <c r="L2368" i="2"/>
  <c r="K2368" i="2"/>
  <c r="G2368" i="2"/>
  <c r="E2368" i="2"/>
  <c r="B2368" i="2"/>
  <c r="S2367" i="2"/>
  <c r="P2367" i="2"/>
  <c r="M2367" i="2"/>
  <c r="L2367" i="2"/>
  <c r="K2367" i="2"/>
  <c r="G2367" i="2"/>
  <c r="E2367" i="2"/>
  <c r="B2367" i="2"/>
  <c r="S2366" i="2"/>
  <c r="P2366" i="2"/>
  <c r="M2366" i="2"/>
  <c r="L2366" i="2"/>
  <c r="K2366" i="2"/>
  <c r="G2366" i="2"/>
  <c r="E2366" i="2"/>
  <c r="B2366" i="2"/>
  <c r="S2365" i="2"/>
  <c r="P2365" i="2"/>
  <c r="M2365" i="2"/>
  <c r="L2365" i="2"/>
  <c r="K2365" i="2"/>
  <c r="G2365" i="2"/>
  <c r="E2365" i="2"/>
  <c r="B2365" i="2"/>
  <c r="S2364" i="2"/>
  <c r="P2364" i="2"/>
  <c r="M2364" i="2"/>
  <c r="L2364" i="2"/>
  <c r="K2364" i="2"/>
  <c r="G2364" i="2"/>
  <c r="E2364" i="2"/>
  <c r="B2364" i="2"/>
  <c r="S2363" i="2"/>
  <c r="P2363" i="2"/>
  <c r="M2363" i="2"/>
  <c r="L2363" i="2"/>
  <c r="K2363" i="2"/>
  <c r="G2363" i="2"/>
  <c r="E2363" i="2"/>
  <c r="B2363" i="2"/>
  <c r="S2362" i="2"/>
  <c r="P2362" i="2"/>
  <c r="M2362" i="2"/>
  <c r="L2362" i="2"/>
  <c r="K2362" i="2"/>
  <c r="G2362" i="2"/>
  <c r="E2362" i="2"/>
  <c r="B2362" i="2"/>
  <c r="S2361" i="2"/>
  <c r="P2361" i="2"/>
  <c r="M2361" i="2"/>
  <c r="L2361" i="2"/>
  <c r="K2361" i="2"/>
  <c r="G2361" i="2"/>
  <c r="E2361" i="2"/>
  <c r="B2361" i="2"/>
  <c r="S2360" i="2"/>
  <c r="P2360" i="2"/>
  <c r="M2360" i="2"/>
  <c r="L2360" i="2"/>
  <c r="K2360" i="2"/>
  <c r="G2360" i="2"/>
  <c r="E2360" i="2"/>
  <c r="B2360" i="2"/>
  <c r="S2359" i="2"/>
  <c r="P2359" i="2"/>
  <c r="M2359" i="2"/>
  <c r="L2359" i="2"/>
  <c r="K2359" i="2"/>
  <c r="H2359" i="2"/>
  <c r="G2359" i="2"/>
  <c r="E2359" i="2"/>
  <c r="B2359" i="2"/>
  <c r="S2358" i="2"/>
  <c r="P2358" i="2"/>
  <c r="M2358" i="2"/>
  <c r="L2358" i="2"/>
  <c r="K2358" i="2"/>
  <c r="H2358" i="2"/>
  <c r="G2358" i="2"/>
  <c r="E2358" i="2"/>
  <c r="B2358" i="2"/>
  <c r="S2357" i="2"/>
  <c r="P2357" i="2"/>
  <c r="M2357" i="2"/>
  <c r="L2357" i="2"/>
  <c r="K2357" i="2"/>
  <c r="H2357" i="2"/>
  <c r="G2357" i="2"/>
  <c r="E2357" i="2"/>
  <c r="B2357" i="2"/>
  <c r="S2356" i="2"/>
  <c r="P2356" i="2"/>
  <c r="M2356" i="2"/>
  <c r="L2356" i="2"/>
  <c r="K2356" i="2"/>
  <c r="H2356" i="2"/>
  <c r="G2356" i="2"/>
  <c r="E2356" i="2"/>
  <c r="B2356" i="2"/>
  <c r="S2355" i="2"/>
  <c r="P2355" i="2"/>
  <c r="M2355" i="2"/>
  <c r="L2355" i="2"/>
  <c r="K2355" i="2"/>
  <c r="H2355" i="2"/>
  <c r="G2355" i="2"/>
  <c r="E2355" i="2"/>
  <c r="B2355" i="2"/>
  <c r="S2354" i="2"/>
  <c r="P2354" i="2"/>
  <c r="M2354" i="2"/>
  <c r="L2354" i="2"/>
  <c r="K2354" i="2"/>
  <c r="H2354" i="2"/>
  <c r="G2354" i="2"/>
  <c r="E2354" i="2"/>
  <c r="B2354" i="2"/>
  <c r="S2353" i="2"/>
  <c r="P2353" i="2"/>
  <c r="M2353" i="2"/>
  <c r="L2353" i="2"/>
  <c r="K2353" i="2"/>
  <c r="H2353" i="2"/>
  <c r="G2353" i="2"/>
  <c r="E2353" i="2"/>
  <c r="B2353" i="2"/>
  <c r="S2352" i="2"/>
  <c r="P2352" i="2"/>
  <c r="M2352" i="2"/>
  <c r="L2352" i="2"/>
  <c r="K2352" i="2"/>
  <c r="H2352" i="2"/>
  <c r="G2352" i="2"/>
  <c r="E2352" i="2"/>
  <c r="B2352" i="2"/>
  <c r="S2351" i="2"/>
  <c r="P2351" i="2"/>
  <c r="M2351" i="2"/>
  <c r="L2351" i="2"/>
  <c r="K2351" i="2"/>
  <c r="H2351" i="2"/>
  <c r="G2351" i="2"/>
  <c r="E2351" i="2"/>
  <c r="B2351" i="2"/>
  <c r="S2350" i="2"/>
  <c r="P2350" i="2"/>
  <c r="M2350" i="2"/>
  <c r="L2350" i="2"/>
  <c r="K2350" i="2"/>
  <c r="H2350" i="2"/>
  <c r="G2350" i="2"/>
  <c r="E2350" i="2"/>
  <c r="B2350" i="2"/>
  <c r="S2349" i="2"/>
  <c r="P2349" i="2"/>
  <c r="M2349" i="2"/>
  <c r="L2349" i="2"/>
  <c r="K2349" i="2"/>
  <c r="H2349" i="2"/>
  <c r="G2349" i="2"/>
  <c r="E2349" i="2"/>
  <c r="B2349" i="2"/>
  <c r="S2348" i="2"/>
  <c r="P2348" i="2"/>
  <c r="M2348" i="2"/>
  <c r="L2348" i="2"/>
  <c r="K2348" i="2"/>
  <c r="H2348" i="2"/>
  <c r="G2348" i="2"/>
  <c r="E2348" i="2"/>
  <c r="B2348" i="2"/>
  <c r="S2347" i="2"/>
  <c r="P2347" i="2"/>
  <c r="M2347" i="2"/>
  <c r="L2347" i="2"/>
  <c r="K2347" i="2"/>
  <c r="H2347" i="2"/>
  <c r="G2347" i="2"/>
  <c r="E2347" i="2"/>
  <c r="B2347" i="2"/>
  <c r="S2346" i="2"/>
  <c r="P2346" i="2"/>
  <c r="M2346" i="2"/>
  <c r="L2346" i="2"/>
  <c r="K2346" i="2"/>
  <c r="H2346" i="2"/>
  <c r="G2346" i="2"/>
  <c r="E2346" i="2"/>
  <c r="B2346" i="2"/>
  <c r="S2345" i="2"/>
  <c r="P2345" i="2"/>
  <c r="M2345" i="2"/>
  <c r="L2345" i="2"/>
  <c r="K2345" i="2"/>
  <c r="G2345" i="2"/>
  <c r="E2345" i="2"/>
  <c r="B2345" i="2"/>
  <c r="S2344" i="2"/>
  <c r="P2344" i="2"/>
  <c r="M2344" i="2"/>
  <c r="L2344" i="2"/>
  <c r="K2344" i="2"/>
  <c r="G2344" i="2"/>
  <c r="E2344" i="2"/>
  <c r="B2344" i="2"/>
  <c r="S2343" i="2"/>
  <c r="P2343" i="2"/>
  <c r="M2343" i="2"/>
  <c r="L2343" i="2"/>
  <c r="K2343" i="2"/>
  <c r="G2343" i="2"/>
  <c r="E2343" i="2"/>
  <c r="B2343" i="2"/>
  <c r="S2342" i="2"/>
  <c r="P2342" i="2"/>
  <c r="M2342" i="2"/>
  <c r="L2342" i="2"/>
  <c r="K2342" i="2"/>
  <c r="G2342" i="2"/>
  <c r="E2342" i="2"/>
  <c r="B2342" i="2"/>
  <c r="S2341" i="2"/>
  <c r="P2341" i="2"/>
  <c r="M2341" i="2"/>
  <c r="L2341" i="2"/>
  <c r="K2341" i="2"/>
  <c r="G2341" i="2"/>
  <c r="E2341" i="2"/>
  <c r="B2341" i="2"/>
  <c r="S2340" i="2"/>
  <c r="P2340" i="2"/>
  <c r="M2340" i="2"/>
  <c r="L2340" i="2"/>
  <c r="K2340" i="2"/>
  <c r="G2340" i="2"/>
  <c r="E2340" i="2"/>
  <c r="B2340" i="2"/>
  <c r="S2339" i="2"/>
  <c r="P2339" i="2"/>
  <c r="M2339" i="2"/>
  <c r="L2339" i="2"/>
  <c r="K2339" i="2"/>
  <c r="G2339" i="2"/>
  <c r="E2339" i="2"/>
  <c r="B2339" i="2"/>
  <c r="S2338" i="2"/>
  <c r="P2338" i="2"/>
  <c r="M2338" i="2"/>
  <c r="L2338" i="2"/>
  <c r="K2338" i="2"/>
  <c r="G2338" i="2"/>
  <c r="E2338" i="2"/>
  <c r="B2338" i="2"/>
  <c r="S2337" i="2"/>
  <c r="P2337" i="2"/>
  <c r="M2337" i="2"/>
  <c r="L2337" i="2"/>
  <c r="K2337" i="2"/>
  <c r="G2337" i="2"/>
  <c r="E2337" i="2"/>
  <c r="B2337" i="2"/>
  <c r="S2336" i="2"/>
  <c r="P2336" i="2"/>
  <c r="M2336" i="2"/>
  <c r="L2336" i="2"/>
  <c r="K2336" i="2"/>
  <c r="G2336" i="2"/>
  <c r="E2336" i="2"/>
  <c r="B2336" i="2"/>
  <c r="S2335" i="2"/>
  <c r="P2335" i="2"/>
  <c r="M2335" i="2"/>
  <c r="L2335" i="2"/>
  <c r="K2335" i="2"/>
  <c r="G2335" i="2"/>
  <c r="E2335" i="2"/>
  <c r="B2335" i="2"/>
  <c r="S2334" i="2"/>
  <c r="P2334" i="2"/>
  <c r="M2334" i="2"/>
  <c r="L2334" i="2"/>
  <c r="K2334" i="2"/>
  <c r="G2334" i="2"/>
  <c r="E2334" i="2"/>
  <c r="B2334" i="2"/>
  <c r="S2333" i="2"/>
  <c r="P2333" i="2"/>
  <c r="M2333" i="2"/>
  <c r="L2333" i="2"/>
  <c r="K2333" i="2"/>
  <c r="G2333" i="2"/>
  <c r="E2333" i="2"/>
  <c r="B2333" i="2"/>
  <c r="S2332" i="2"/>
  <c r="P2332" i="2"/>
  <c r="M2332" i="2"/>
  <c r="L2332" i="2"/>
  <c r="K2332" i="2"/>
  <c r="G2332" i="2"/>
  <c r="E2332" i="2"/>
  <c r="B2332" i="2"/>
  <c r="S2331" i="2"/>
  <c r="P2331" i="2"/>
  <c r="M2331" i="2"/>
  <c r="L2331" i="2"/>
  <c r="K2331" i="2"/>
  <c r="G2331" i="2"/>
  <c r="E2331" i="2"/>
  <c r="B2331" i="2"/>
  <c r="S2330" i="2"/>
  <c r="P2330" i="2"/>
  <c r="M2330" i="2"/>
  <c r="L2330" i="2"/>
  <c r="K2330" i="2"/>
  <c r="G2330" i="2"/>
  <c r="E2330" i="2"/>
  <c r="B2330" i="2"/>
  <c r="S2329" i="2"/>
  <c r="P2329" i="2"/>
  <c r="M2329" i="2"/>
  <c r="L2329" i="2"/>
  <c r="K2329" i="2"/>
  <c r="G2329" i="2"/>
  <c r="E2329" i="2"/>
  <c r="B2329" i="2"/>
  <c r="S2328" i="2"/>
  <c r="P2328" i="2"/>
  <c r="M2328" i="2"/>
  <c r="L2328" i="2"/>
  <c r="K2328" i="2"/>
  <c r="G2328" i="2"/>
  <c r="E2328" i="2"/>
  <c r="B2328" i="2"/>
  <c r="S2327" i="2"/>
  <c r="P2327" i="2"/>
  <c r="M2327" i="2"/>
  <c r="L2327" i="2"/>
  <c r="K2327" i="2"/>
  <c r="G2327" i="2"/>
  <c r="E2327" i="2"/>
  <c r="B2327" i="2"/>
  <c r="S2326" i="2"/>
  <c r="P2326" i="2"/>
  <c r="M2326" i="2"/>
  <c r="L2326" i="2"/>
  <c r="K2326" i="2"/>
  <c r="G2326" i="2"/>
  <c r="E2326" i="2"/>
  <c r="B2326" i="2"/>
  <c r="S2325" i="2"/>
  <c r="P2325" i="2"/>
  <c r="M2325" i="2"/>
  <c r="L2325" i="2"/>
  <c r="K2325" i="2"/>
  <c r="G2325" i="2"/>
  <c r="E2325" i="2"/>
  <c r="B2325" i="2"/>
  <c r="S2324" i="2"/>
  <c r="P2324" i="2"/>
  <c r="M2324" i="2"/>
  <c r="L2324" i="2"/>
  <c r="K2324" i="2"/>
  <c r="G2324" i="2"/>
  <c r="E2324" i="2"/>
  <c r="B2324" i="2"/>
  <c r="S2323" i="2"/>
  <c r="P2323" i="2"/>
  <c r="M2323" i="2"/>
  <c r="L2323" i="2"/>
  <c r="K2323" i="2"/>
  <c r="G2323" i="2"/>
  <c r="E2323" i="2"/>
  <c r="B2323" i="2"/>
  <c r="S2322" i="2"/>
  <c r="P2322" i="2"/>
  <c r="M2322" i="2"/>
  <c r="L2322" i="2"/>
  <c r="K2322" i="2"/>
  <c r="G2322" i="2"/>
  <c r="E2322" i="2"/>
  <c r="B2322" i="2"/>
  <c r="S2321" i="2"/>
  <c r="P2321" i="2"/>
  <c r="M2321" i="2"/>
  <c r="L2321" i="2"/>
  <c r="K2321" i="2"/>
  <c r="G2321" i="2"/>
  <c r="E2321" i="2"/>
  <c r="B2321" i="2"/>
  <c r="S2320" i="2"/>
  <c r="P2320" i="2"/>
  <c r="M2320" i="2"/>
  <c r="L2320" i="2"/>
  <c r="K2320" i="2"/>
  <c r="G2320" i="2"/>
  <c r="E2320" i="2"/>
  <c r="B2320" i="2"/>
  <c r="S2319" i="2"/>
  <c r="P2319" i="2"/>
  <c r="M2319" i="2"/>
  <c r="L2319" i="2"/>
  <c r="K2319" i="2"/>
  <c r="G2319" i="2"/>
  <c r="E2319" i="2"/>
  <c r="B2319" i="2"/>
  <c r="S2318" i="2"/>
  <c r="P2318" i="2"/>
  <c r="M2318" i="2"/>
  <c r="L2318" i="2"/>
  <c r="K2318" i="2"/>
  <c r="G2318" i="2"/>
  <c r="E2318" i="2"/>
  <c r="B2318" i="2"/>
  <c r="S2317" i="2"/>
  <c r="P2317" i="2"/>
  <c r="M2317" i="2"/>
  <c r="L2317" i="2"/>
  <c r="K2317" i="2"/>
  <c r="G2317" i="2"/>
  <c r="E2317" i="2"/>
  <c r="B2317" i="2"/>
  <c r="S2316" i="2"/>
  <c r="P2316" i="2"/>
  <c r="M2316" i="2"/>
  <c r="L2316" i="2"/>
  <c r="K2316" i="2"/>
  <c r="G2316" i="2"/>
  <c r="E2316" i="2"/>
  <c r="B2316" i="2"/>
  <c r="S2315" i="2"/>
  <c r="P2315" i="2"/>
  <c r="M2315" i="2"/>
  <c r="L2315" i="2"/>
  <c r="K2315" i="2"/>
  <c r="G2315" i="2"/>
  <c r="E2315" i="2"/>
  <c r="B2315" i="2"/>
  <c r="S2314" i="2"/>
  <c r="P2314" i="2"/>
  <c r="M2314" i="2"/>
  <c r="L2314" i="2"/>
  <c r="K2314" i="2"/>
  <c r="G2314" i="2"/>
  <c r="E2314" i="2"/>
  <c r="B2314" i="2"/>
  <c r="S2313" i="2"/>
  <c r="P2313" i="2"/>
  <c r="M2313" i="2"/>
  <c r="L2313" i="2"/>
  <c r="K2313" i="2"/>
  <c r="G2313" i="2"/>
  <c r="E2313" i="2"/>
  <c r="B2313" i="2"/>
  <c r="S2312" i="2"/>
  <c r="P2312" i="2"/>
  <c r="M2312" i="2"/>
  <c r="L2312" i="2"/>
  <c r="K2312" i="2"/>
  <c r="H2312" i="2"/>
  <c r="G2312" i="2"/>
  <c r="E2312" i="2"/>
  <c r="B2312" i="2"/>
  <c r="S2311" i="2"/>
  <c r="P2311" i="2"/>
  <c r="M2311" i="2"/>
  <c r="L2311" i="2"/>
  <c r="K2311" i="2"/>
  <c r="G2311" i="2"/>
  <c r="E2311" i="2"/>
  <c r="B2311" i="2"/>
  <c r="S2310" i="2"/>
  <c r="P2310" i="2"/>
  <c r="M2310" i="2"/>
  <c r="L2310" i="2"/>
  <c r="K2310" i="2"/>
  <c r="H2310" i="2"/>
  <c r="G2310" i="2"/>
  <c r="E2310" i="2"/>
  <c r="B2310" i="2"/>
  <c r="S2309" i="2"/>
  <c r="P2309" i="2"/>
  <c r="M2309" i="2"/>
  <c r="L2309" i="2"/>
  <c r="K2309" i="2"/>
  <c r="G2309" i="2"/>
  <c r="E2309" i="2"/>
  <c r="B2309" i="2"/>
  <c r="S2308" i="2"/>
  <c r="P2308" i="2"/>
  <c r="M2308" i="2"/>
  <c r="L2308" i="2"/>
  <c r="K2308" i="2"/>
  <c r="G2308" i="2"/>
  <c r="E2308" i="2"/>
  <c r="B2308" i="2"/>
  <c r="S2307" i="2"/>
  <c r="P2307" i="2"/>
  <c r="M2307" i="2"/>
  <c r="L2307" i="2"/>
  <c r="K2307" i="2"/>
  <c r="G2307" i="2"/>
  <c r="E2307" i="2"/>
  <c r="B2307" i="2"/>
  <c r="S2306" i="2"/>
  <c r="P2306" i="2"/>
  <c r="M2306" i="2"/>
  <c r="L2306" i="2"/>
  <c r="K2306" i="2"/>
  <c r="G2306" i="2"/>
  <c r="E2306" i="2"/>
  <c r="B2306" i="2"/>
  <c r="S2305" i="2"/>
  <c r="P2305" i="2"/>
  <c r="M2305" i="2"/>
  <c r="L2305" i="2"/>
  <c r="K2305" i="2"/>
  <c r="G2305" i="2"/>
  <c r="E2305" i="2"/>
  <c r="B2305" i="2"/>
  <c r="S2304" i="2"/>
  <c r="P2304" i="2"/>
  <c r="M2304" i="2"/>
  <c r="L2304" i="2"/>
  <c r="K2304" i="2"/>
  <c r="G2304" i="2"/>
  <c r="E2304" i="2"/>
  <c r="B2304" i="2"/>
  <c r="S2303" i="2"/>
  <c r="P2303" i="2"/>
  <c r="M2303" i="2"/>
  <c r="L2303" i="2"/>
  <c r="K2303" i="2"/>
  <c r="G2303" i="2"/>
  <c r="E2303" i="2"/>
  <c r="B2303" i="2"/>
  <c r="S2302" i="2"/>
  <c r="P2302" i="2"/>
  <c r="M2302" i="2"/>
  <c r="L2302" i="2"/>
  <c r="K2302" i="2"/>
  <c r="G2302" i="2"/>
  <c r="E2302" i="2"/>
  <c r="B2302" i="2"/>
  <c r="S2301" i="2"/>
  <c r="P2301" i="2"/>
  <c r="M2301" i="2"/>
  <c r="L2301" i="2"/>
  <c r="K2301" i="2"/>
  <c r="G2301" i="2"/>
  <c r="E2301" i="2"/>
  <c r="B2301" i="2"/>
  <c r="S2300" i="2"/>
  <c r="P2300" i="2"/>
  <c r="M2300" i="2"/>
  <c r="L2300" i="2"/>
  <c r="K2300" i="2"/>
  <c r="G2300" i="2"/>
  <c r="E2300" i="2"/>
  <c r="B2300" i="2"/>
  <c r="S2299" i="2"/>
  <c r="P2299" i="2"/>
  <c r="M2299" i="2"/>
  <c r="L2299" i="2"/>
  <c r="K2299" i="2"/>
  <c r="G2299" i="2"/>
  <c r="E2299" i="2"/>
  <c r="B2299" i="2"/>
  <c r="S2298" i="2"/>
  <c r="P2298" i="2"/>
  <c r="M2298" i="2"/>
  <c r="L2298" i="2"/>
  <c r="K2298" i="2"/>
  <c r="G2298" i="2"/>
  <c r="E2298" i="2"/>
  <c r="B2298" i="2"/>
  <c r="S2297" i="2"/>
  <c r="P2297" i="2"/>
  <c r="M2297" i="2"/>
  <c r="L2297" i="2"/>
  <c r="K2297" i="2"/>
  <c r="G2297" i="2"/>
  <c r="E2297" i="2"/>
  <c r="B2297" i="2"/>
  <c r="S2296" i="2"/>
  <c r="P2296" i="2"/>
  <c r="M2296" i="2"/>
  <c r="L2296" i="2"/>
  <c r="K2296" i="2"/>
  <c r="G2296" i="2"/>
  <c r="E2296" i="2"/>
  <c r="B2296" i="2"/>
  <c r="S2295" i="2"/>
  <c r="P2295" i="2"/>
  <c r="M2295" i="2"/>
  <c r="L2295" i="2"/>
  <c r="K2295" i="2"/>
  <c r="G2295" i="2"/>
  <c r="E2295" i="2"/>
  <c r="B2295" i="2"/>
  <c r="S2294" i="2"/>
  <c r="P2294" i="2"/>
  <c r="M2294" i="2"/>
  <c r="L2294" i="2"/>
  <c r="K2294" i="2"/>
  <c r="G2294" i="2"/>
  <c r="E2294" i="2"/>
  <c r="B2294" i="2"/>
  <c r="S2293" i="2"/>
  <c r="P2293" i="2"/>
  <c r="M2293" i="2"/>
  <c r="L2293" i="2"/>
  <c r="K2293" i="2"/>
  <c r="G2293" i="2"/>
  <c r="E2293" i="2"/>
  <c r="B2293" i="2"/>
  <c r="S2292" i="2"/>
  <c r="P2292" i="2"/>
  <c r="M2292" i="2"/>
  <c r="L2292" i="2"/>
  <c r="K2292" i="2"/>
  <c r="G2292" i="2"/>
  <c r="E2292" i="2"/>
  <c r="B2292" i="2"/>
  <c r="S2291" i="2"/>
  <c r="P2291" i="2"/>
  <c r="M2291" i="2"/>
  <c r="L2291" i="2"/>
  <c r="K2291" i="2"/>
  <c r="G2291" i="2"/>
  <c r="E2291" i="2"/>
  <c r="B2291" i="2"/>
  <c r="S2290" i="2"/>
  <c r="P2290" i="2"/>
  <c r="M2290" i="2"/>
  <c r="L2290" i="2"/>
  <c r="K2290" i="2"/>
  <c r="G2290" i="2"/>
  <c r="E2290" i="2"/>
  <c r="B2290" i="2"/>
  <c r="S2289" i="2"/>
  <c r="P2289" i="2"/>
  <c r="M2289" i="2"/>
  <c r="L2289" i="2"/>
  <c r="K2289" i="2"/>
  <c r="G2289" i="2"/>
  <c r="E2289" i="2"/>
  <c r="B2289" i="2"/>
  <c r="S2288" i="2"/>
  <c r="P2288" i="2"/>
  <c r="M2288" i="2"/>
  <c r="L2288" i="2"/>
  <c r="K2288" i="2"/>
  <c r="G2288" i="2"/>
  <c r="E2288" i="2"/>
  <c r="B2288" i="2"/>
  <c r="S2287" i="2"/>
  <c r="P2287" i="2"/>
  <c r="M2287" i="2"/>
  <c r="L2287" i="2"/>
  <c r="K2287" i="2"/>
  <c r="G2287" i="2"/>
  <c r="E2287" i="2"/>
  <c r="B2287" i="2"/>
  <c r="S2286" i="2"/>
  <c r="P2286" i="2"/>
  <c r="M2286" i="2"/>
  <c r="L2286" i="2"/>
  <c r="K2286" i="2"/>
  <c r="G2286" i="2"/>
  <c r="E2286" i="2"/>
  <c r="B2286" i="2"/>
  <c r="S2285" i="2"/>
  <c r="P2285" i="2"/>
  <c r="M2285" i="2"/>
  <c r="L2285" i="2"/>
  <c r="K2285" i="2"/>
  <c r="G2285" i="2"/>
  <c r="E2285" i="2"/>
  <c r="B2285" i="2"/>
  <c r="S2284" i="2"/>
  <c r="P2284" i="2"/>
  <c r="M2284" i="2"/>
  <c r="L2284" i="2"/>
  <c r="K2284" i="2"/>
  <c r="G2284" i="2"/>
  <c r="E2284" i="2"/>
  <c r="B2284" i="2"/>
  <c r="S2283" i="2"/>
  <c r="P2283" i="2"/>
  <c r="M2283" i="2"/>
  <c r="L2283" i="2"/>
  <c r="K2283" i="2"/>
  <c r="G2283" i="2"/>
  <c r="E2283" i="2"/>
  <c r="B2283" i="2"/>
  <c r="S2282" i="2"/>
  <c r="P2282" i="2"/>
  <c r="M2282" i="2"/>
  <c r="L2282" i="2"/>
  <c r="K2282" i="2"/>
  <c r="G2282" i="2"/>
  <c r="E2282" i="2"/>
  <c r="B2282" i="2"/>
  <c r="S2281" i="2"/>
  <c r="P2281" i="2"/>
  <c r="M2281" i="2"/>
  <c r="L2281" i="2"/>
  <c r="K2281" i="2"/>
  <c r="G2281" i="2"/>
  <c r="E2281" i="2"/>
  <c r="B2281" i="2"/>
  <c r="S2280" i="2"/>
  <c r="P2280" i="2"/>
  <c r="M2280" i="2"/>
  <c r="L2280" i="2"/>
  <c r="K2280" i="2"/>
  <c r="G2280" i="2"/>
  <c r="E2280" i="2"/>
  <c r="B2280" i="2"/>
  <c r="S2279" i="2"/>
  <c r="P2279" i="2"/>
  <c r="M2279" i="2"/>
  <c r="L2279" i="2"/>
  <c r="K2279" i="2"/>
  <c r="G2279" i="2"/>
  <c r="E2279" i="2"/>
  <c r="B2279" i="2"/>
  <c r="S2278" i="2"/>
  <c r="P2278" i="2"/>
  <c r="M2278" i="2"/>
  <c r="L2278" i="2"/>
  <c r="K2278" i="2"/>
  <c r="G2278" i="2"/>
  <c r="E2278" i="2"/>
  <c r="B2278" i="2"/>
  <c r="S2277" i="2"/>
  <c r="P2277" i="2"/>
  <c r="M2277" i="2"/>
  <c r="L2277" i="2"/>
  <c r="K2277" i="2"/>
  <c r="G2277" i="2"/>
  <c r="E2277" i="2"/>
  <c r="B2277" i="2"/>
  <c r="S2276" i="2"/>
  <c r="P2276" i="2"/>
  <c r="M2276" i="2"/>
  <c r="L2276" i="2"/>
  <c r="K2276" i="2"/>
  <c r="G2276" i="2"/>
  <c r="E2276" i="2"/>
  <c r="B2276" i="2"/>
  <c r="S2275" i="2"/>
  <c r="P2275" i="2"/>
  <c r="M2275" i="2"/>
  <c r="L2275" i="2"/>
  <c r="K2275" i="2"/>
  <c r="G2275" i="2"/>
  <c r="E2275" i="2"/>
  <c r="B2275" i="2"/>
  <c r="S2274" i="2"/>
  <c r="P2274" i="2"/>
  <c r="M2274" i="2"/>
  <c r="L2274" i="2"/>
  <c r="K2274" i="2"/>
  <c r="G2274" i="2"/>
  <c r="E2274" i="2"/>
  <c r="B2274" i="2"/>
  <c r="S2273" i="2"/>
  <c r="P2273" i="2"/>
  <c r="M2273" i="2"/>
  <c r="L2273" i="2"/>
  <c r="K2273" i="2"/>
  <c r="G2273" i="2"/>
  <c r="E2273" i="2"/>
  <c r="B2273" i="2"/>
  <c r="S2272" i="2"/>
  <c r="P2272" i="2"/>
  <c r="M2272" i="2"/>
  <c r="L2272" i="2"/>
  <c r="K2272" i="2"/>
  <c r="G2272" i="2"/>
  <c r="E2272" i="2"/>
  <c r="B2272" i="2"/>
  <c r="S2271" i="2"/>
  <c r="P2271" i="2"/>
  <c r="M2271" i="2"/>
  <c r="L2271" i="2"/>
  <c r="K2271" i="2"/>
  <c r="G2271" i="2"/>
  <c r="E2271" i="2"/>
  <c r="B2271" i="2"/>
  <c r="S2270" i="2"/>
  <c r="P2270" i="2"/>
  <c r="M2270" i="2"/>
  <c r="L2270" i="2"/>
  <c r="K2270" i="2"/>
  <c r="G2270" i="2"/>
  <c r="E2270" i="2"/>
  <c r="B2270" i="2"/>
  <c r="S2269" i="2"/>
  <c r="P2269" i="2"/>
  <c r="M2269" i="2"/>
  <c r="L2269" i="2"/>
  <c r="K2269" i="2"/>
  <c r="G2269" i="2"/>
  <c r="E2269" i="2"/>
  <c r="B2269" i="2"/>
  <c r="S2268" i="2"/>
  <c r="P2268" i="2"/>
  <c r="M2268" i="2"/>
  <c r="L2268" i="2"/>
  <c r="K2268" i="2"/>
  <c r="G2268" i="2"/>
  <c r="E2268" i="2"/>
  <c r="B2268" i="2"/>
  <c r="S2267" i="2"/>
  <c r="P2267" i="2"/>
  <c r="M2267" i="2"/>
  <c r="L2267" i="2"/>
  <c r="K2267" i="2"/>
  <c r="G2267" i="2"/>
  <c r="E2267" i="2"/>
  <c r="B2267" i="2"/>
  <c r="S2266" i="2"/>
  <c r="P2266" i="2"/>
  <c r="M2266" i="2"/>
  <c r="L2266" i="2"/>
  <c r="K2266" i="2"/>
  <c r="G2266" i="2"/>
  <c r="E2266" i="2"/>
  <c r="B2266" i="2"/>
  <c r="S2265" i="2"/>
  <c r="P2265" i="2"/>
  <c r="M2265" i="2"/>
  <c r="L2265" i="2"/>
  <c r="K2265" i="2"/>
  <c r="G2265" i="2"/>
  <c r="E2265" i="2"/>
  <c r="B2265" i="2"/>
  <c r="S2264" i="2"/>
  <c r="P2264" i="2"/>
  <c r="M2264" i="2"/>
  <c r="L2264" i="2"/>
  <c r="K2264" i="2"/>
  <c r="G2264" i="2"/>
  <c r="E2264" i="2"/>
  <c r="B2264" i="2"/>
  <c r="S2263" i="2"/>
  <c r="P2263" i="2"/>
  <c r="M2263" i="2"/>
  <c r="L2263" i="2"/>
  <c r="K2263" i="2"/>
  <c r="G2263" i="2"/>
  <c r="E2263" i="2"/>
  <c r="B2263" i="2"/>
  <c r="S2262" i="2"/>
  <c r="P2262" i="2"/>
  <c r="M2262" i="2"/>
  <c r="L2262" i="2"/>
  <c r="K2262" i="2"/>
  <c r="G2262" i="2"/>
  <c r="E2262" i="2"/>
  <c r="B2262" i="2"/>
  <c r="S2261" i="2"/>
  <c r="P2261" i="2"/>
  <c r="M2261" i="2"/>
  <c r="L2261" i="2"/>
  <c r="K2261" i="2"/>
  <c r="G2261" i="2"/>
  <c r="E2261" i="2"/>
  <c r="B2261" i="2"/>
  <c r="S2260" i="2"/>
  <c r="P2260" i="2"/>
  <c r="M2260" i="2"/>
  <c r="L2260" i="2"/>
  <c r="K2260" i="2"/>
  <c r="G2260" i="2"/>
  <c r="E2260" i="2"/>
  <c r="B2260" i="2"/>
  <c r="S2259" i="2"/>
  <c r="P2259" i="2"/>
  <c r="M2259" i="2"/>
  <c r="L2259" i="2"/>
  <c r="K2259" i="2"/>
  <c r="G2259" i="2"/>
  <c r="E2259" i="2"/>
  <c r="B2259" i="2"/>
  <c r="S2258" i="2"/>
  <c r="P2258" i="2"/>
  <c r="M2258" i="2"/>
  <c r="L2258" i="2"/>
  <c r="K2258" i="2"/>
  <c r="G2258" i="2"/>
  <c r="E2258" i="2"/>
  <c r="B2258" i="2"/>
  <c r="S2257" i="2"/>
  <c r="P2257" i="2"/>
  <c r="M2257" i="2"/>
  <c r="L2257" i="2"/>
  <c r="K2257" i="2"/>
  <c r="G2257" i="2"/>
  <c r="E2257" i="2"/>
  <c r="B2257" i="2"/>
  <c r="S2256" i="2"/>
  <c r="P2256" i="2"/>
  <c r="M2256" i="2"/>
  <c r="L2256" i="2"/>
  <c r="K2256" i="2"/>
  <c r="G2256" i="2"/>
  <c r="E2256" i="2"/>
  <c r="B2256" i="2"/>
  <c r="S2255" i="2"/>
  <c r="P2255" i="2"/>
  <c r="M2255" i="2"/>
  <c r="L2255" i="2"/>
  <c r="K2255" i="2"/>
  <c r="G2255" i="2"/>
  <c r="E2255" i="2"/>
  <c r="B2255" i="2"/>
  <c r="S2254" i="2"/>
  <c r="P2254" i="2"/>
  <c r="M2254" i="2"/>
  <c r="L2254" i="2"/>
  <c r="K2254" i="2"/>
  <c r="G2254" i="2"/>
  <c r="E2254" i="2"/>
  <c r="B2254" i="2"/>
  <c r="S2253" i="2"/>
  <c r="P2253" i="2"/>
  <c r="M2253" i="2"/>
  <c r="L2253" i="2"/>
  <c r="K2253" i="2"/>
  <c r="G2253" i="2"/>
  <c r="E2253" i="2"/>
  <c r="B2253" i="2"/>
  <c r="S2252" i="2"/>
  <c r="P2252" i="2"/>
  <c r="M2252" i="2"/>
  <c r="L2252" i="2"/>
  <c r="K2252" i="2"/>
  <c r="G2252" i="2"/>
  <c r="E2252" i="2"/>
  <c r="B2252" i="2"/>
  <c r="S2251" i="2"/>
  <c r="P2251" i="2"/>
  <c r="M2251" i="2"/>
  <c r="L2251" i="2"/>
  <c r="K2251" i="2"/>
  <c r="G2251" i="2"/>
  <c r="E2251" i="2"/>
  <c r="B2251" i="2"/>
  <c r="S2250" i="2"/>
  <c r="P2250" i="2"/>
  <c r="M2250" i="2"/>
  <c r="L2250" i="2"/>
  <c r="K2250" i="2"/>
  <c r="G2250" i="2"/>
  <c r="E2250" i="2"/>
  <c r="B2250" i="2"/>
  <c r="S2249" i="2"/>
  <c r="P2249" i="2"/>
  <c r="M2249" i="2"/>
  <c r="L2249" i="2"/>
  <c r="K2249" i="2"/>
  <c r="G2249" i="2"/>
  <c r="E2249" i="2"/>
  <c r="B2249" i="2"/>
  <c r="S2248" i="2"/>
  <c r="P2248" i="2"/>
  <c r="M2248" i="2"/>
  <c r="L2248" i="2"/>
  <c r="K2248" i="2"/>
  <c r="G2248" i="2"/>
  <c r="E2248" i="2"/>
  <c r="B2248" i="2"/>
  <c r="S2247" i="2"/>
  <c r="P2247" i="2"/>
  <c r="M2247" i="2"/>
  <c r="L2247" i="2"/>
  <c r="K2247" i="2"/>
  <c r="G2247" i="2"/>
  <c r="E2247" i="2"/>
  <c r="B2247" i="2"/>
  <c r="S2246" i="2"/>
  <c r="P2246" i="2"/>
  <c r="M2246" i="2"/>
  <c r="L2246" i="2"/>
  <c r="K2246" i="2"/>
  <c r="G2246" i="2"/>
  <c r="E2246" i="2"/>
  <c r="B2246" i="2"/>
  <c r="S2245" i="2"/>
  <c r="P2245" i="2"/>
  <c r="M2245" i="2"/>
  <c r="L2245" i="2"/>
  <c r="K2245" i="2"/>
  <c r="G2245" i="2"/>
  <c r="E2245" i="2"/>
  <c r="B2245" i="2"/>
  <c r="S2244" i="2"/>
  <c r="P2244" i="2"/>
  <c r="M2244" i="2"/>
  <c r="L2244" i="2"/>
  <c r="K2244" i="2"/>
  <c r="G2244" i="2"/>
  <c r="E2244" i="2"/>
  <c r="B2244" i="2"/>
  <c r="S2243" i="2"/>
  <c r="P2243" i="2"/>
  <c r="M2243" i="2"/>
  <c r="L2243" i="2"/>
  <c r="K2243" i="2"/>
  <c r="G2243" i="2"/>
  <c r="E2243" i="2"/>
  <c r="B2243" i="2"/>
  <c r="S2242" i="2"/>
  <c r="P2242" i="2"/>
  <c r="M2242" i="2"/>
  <c r="L2242" i="2"/>
  <c r="K2242" i="2"/>
  <c r="G2242" i="2"/>
  <c r="E2242" i="2"/>
  <c r="B2242" i="2"/>
  <c r="S2241" i="2"/>
  <c r="P2241" i="2"/>
  <c r="M2241" i="2"/>
  <c r="L2241" i="2"/>
  <c r="K2241" i="2"/>
  <c r="G2241" i="2"/>
  <c r="E2241" i="2"/>
  <c r="B2241" i="2"/>
  <c r="S2240" i="2"/>
  <c r="P2240" i="2"/>
  <c r="M2240" i="2"/>
  <c r="L2240" i="2"/>
  <c r="K2240" i="2"/>
  <c r="G2240" i="2"/>
  <c r="E2240" i="2"/>
  <c r="B2240" i="2"/>
  <c r="S2239" i="2"/>
  <c r="P2239" i="2"/>
  <c r="M2239" i="2"/>
  <c r="L2239" i="2"/>
  <c r="K2239" i="2"/>
  <c r="G2239" i="2"/>
  <c r="E2239" i="2"/>
  <c r="B2239" i="2"/>
  <c r="S2238" i="2"/>
  <c r="P2238" i="2"/>
  <c r="M2238" i="2"/>
  <c r="L2238" i="2"/>
  <c r="K2238" i="2"/>
  <c r="G2238" i="2"/>
  <c r="E2238" i="2"/>
  <c r="B2238" i="2"/>
  <c r="S2237" i="2"/>
  <c r="P2237" i="2"/>
  <c r="M2237" i="2"/>
  <c r="L2237" i="2"/>
  <c r="K2237" i="2"/>
  <c r="G2237" i="2"/>
  <c r="E2237" i="2"/>
  <c r="B2237" i="2"/>
  <c r="S2236" i="2"/>
  <c r="P2236" i="2"/>
  <c r="M2236" i="2"/>
  <c r="L2236" i="2"/>
  <c r="K2236" i="2"/>
  <c r="G2236" i="2"/>
  <c r="E2236" i="2"/>
  <c r="B2236" i="2"/>
  <c r="S2235" i="2"/>
  <c r="P2235" i="2"/>
  <c r="M2235" i="2"/>
  <c r="L2235" i="2"/>
  <c r="K2235" i="2"/>
  <c r="G2235" i="2"/>
  <c r="E2235" i="2"/>
  <c r="B2235" i="2"/>
  <c r="S2234" i="2"/>
  <c r="P2234" i="2"/>
  <c r="M2234" i="2"/>
  <c r="L2234" i="2"/>
  <c r="K2234" i="2"/>
  <c r="G2234" i="2"/>
  <c r="E2234" i="2"/>
  <c r="B2234" i="2"/>
  <c r="S2233" i="2"/>
  <c r="P2233" i="2"/>
  <c r="M2233" i="2"/>
  <c r="L2233" i="2"/>
  <c r="K2233" i="2"/>
  <c r="G2233" i="2"/>
  <c r="E2233" i="2"/>
  <c r="B2233" i="2"/>
  <c r="S2232" i="2"/>
  <c r="P2232" i="2"/>
  <c r="M2232" i="2"/>
  <c r="L2232" i="2"/>
  <c r="K2232" i="2"/>
  <c r="G2232" i="2"/>
  <c r="E2232" i="2"/>
  <c r="B2232" i="2"/>
  <c r="S2231" i="2"/>
  <c r="P2231" i="2"/>
  <c r="M2231" i="2"/>
  <c r="L2231" i="2"/>
  <c r="K2231" i="2"/>
  <c r="G2231" i="2"/>
  <c r="E2231" i="2"/>
  <c r="B2231" i="2"/>
  <c r="S2230" i="2"/>
  <c r="P2230" i="2"/>
  <c r="M2230" i="2"/>
  <c r="L2230" i="2"/>
  <c r="K2230" i="2"/>
  <c r="G2230" i="2"/>
  <c r="E2230" i="2"/>
  <c r="B2230" i="2"/>
  <c r="S2229" i="2"/>
  <c r="P2229" i="2"/>
  <c r="M2229" i="2"/>
  <c r="L2229" i="2"/>
  <c r="K2229" i="2"/>
  <c r="G2229" i="2"/>
  <c r="E2229" i="2"/>
  <c r="B2229" i="2"/>
  <c r="S2228" i="2"/>
  <c r="P2228" i="2"/>
  <c r="M2228" i="2"/>
  <c r="L2228" i="2"/>
  <c r="K2228" i="2"/>
  <c r="G2228" i="2"/>
  <c r="E2228" i="2"/>
  <c r="B2228" i="2"/>
  <c r="S2227" i="2"/>
  <c r="P2227" i="2"/>
  <c r="M2227" i="2"/>
  <c r="L2227" i="2"/>
  <c r="K2227" i="2"/>
  <c r="G2227" i="2"/>
  <c r="E2227" i="2"/>
  <c r="B2227" i="2"/>
  <c r="S2226" i="2"/>
  <c r="P2226" i="2"/>
  <c r="M2226" i="2"/>
  <c r="L2226" i="2"/>
  <c r="K2226" i="2"/>
  <c r="G2226" i="2"/>
  <c r="E2226" i="2"/>
  <c r="B2226" i="2"/>
  <c r="S2225" i="2"/>
  <c r="P2225" i="2"/>
  <c r="M2225" i="2"/>
  <c r="L2225" i="2"/>
  <c r="K2225" i="2"/>
  <c r="G2225" i="2"/>
  <c r="E2225" i="2"/>
  <c r="B2225" i="2"/>
  <c r="S2224" i="2"/>
  <c r="P2224" i="2"/>
  <c r="M2224" i="2"/>
  <c r="L2224" i="2"/>
  <c r="K2224" i="2"/>
  <c r="G2224" i="2"/>
  <c r="E2224" i="2"/>
  <c r="B2224" i="2"/>
  <c r="S2223" i="2"/>
  <c r="P2223" i="2"/>
  <c r="M2223" i="2"/>
  <c r="L2223" i="2"/>
  <c r="K2223" i="2"/>
  <c r="G2223" i="2"/>
  <c r="E2223" i="2"/>
  <c r="B2223" i="2"/>
  <c r="S2222" i="2"/>
  <c r="P2222" i="2"/>
  <c r="M2222" i="2"/>
  <c r="L2222" i="2"/>
  <c r="K2222" i="2"/>
  <c r="G2222" i="2"/>
  <c r="E2222" i="2"/>
  <c r="B2222" i="2"/>
  <c r="S2221" i="2"/>
  <c r="P2221" i="2"/>
  <c r="M2221" i="2"/>
  <c r="L2221" i="2"/>
  <c r="K2221" i="2"/>
  <c r="G2221" i="2"/>
  <c r="E2221" i="2"/>
  <c r="B2221" i="2"/>
  <c r="S2220" i="2"/>
  <c r="P2220" i="2"/>
  <c r="M2220" i="2"/>
  <c r="L2220" i="2"/>
  <c r="K2220" i="2"/>
  <c r="G2220" i="2"/>
  <c r="E2220" i="2"/>
  <c r="B2220" i="2"/>
  <c r="S2219" i="2"/>
  <c r="P2219" i="2"/>
  <c r="M2219" i="2"/>
  <c r="L2219" i="2"/>
  <c r="K2219" i="2"/>
  <c r="G2219" i="2"/>
  <c r="E2219" i="2"/>
  <c r="B2219" i="2"/>
  <c r="S2218" i="2"/>
  <c r="P2218" i="2"/>
  <c r="M2218" i="2"/>
  <c r="L2218" i="2"/>
  <c r="K2218" i="2"/>
  <c r="G2218" i="2"/>
  <c r="E2218" i="2"/>
  <c r="B2218" i="2"/>
  <c r="S2217" i="2"/>
  <c r="P2217" i="2"/>
  <c r="M2217" i="2"/>
  <c r="L2217" i="2"/>
  <c r="K2217" i="2"/>
  <c r="G2217" i="2"/>
  <c r="E2217" i="2"/>
  <c r="B2217" i="2"/>
  <c r="S2216" i="2"/>
  <c r="P2216" i="2"/>
  <c r="M2216" i="2"/>
  <c r="L2216" i="2"/>
  <c r="K2216" i="2"/>
  <c r="G2216" i="2"/>
  <c r="E2216" i="2"/>
  <c r="B2216" i="2"/>
  <c r="S2215" i="2"/>
  <c r="P2215" i="2"/>
  <c r="M2215" i="2"/>
  <c r="L2215" i="2"/>
  <c r="K2215" i="2"/>
  <c r="G2215" i="2"/>
  <c r="E2215" i="2"/>
  <c r="B2215" i="2"/>
  <c r="S2214" i="2"/>
  <c r="P2214" i="2"/>
  <c r="M2214" i="2"/>
  <c r="L2214" i="2"/>
  <c r="K2214" i="2"/>
  <c r="G2214" i="2"/>
  <c r="E2214" i="2"/>
  <c r="B2214" i="2"/>
  <c r="S2213" i="2"/>
  <c r="P2213" i="2"/>
  <c r="M2213" i="2"/>
  <c r="L2213" i="2"/>
  <c r="K2213" i="2"/>
  <c r="G2213" i="2"/>
  <c r="E2213" i="2"/>
  <c r="B2213" i="2"/>
  <c r="S2212" i="2"/>
  <c r="P2212" i="2"/>
  <c r="M2212" i="2"/>
  <c r="L2212" i="2"/>
  <c r="K2212" i="2"/>
  <c r="G2212" i="2"/>
  <c r="E2212" i="2"/>
  <c r="B2212" i="2"/>
  <c r="S2211" i="2"/>
  <c r="P2211" i="2"/>
  <c r="M2211" i="2"/>
  <c r="L2211" i="2"/>
  <c r="K2211" i="2"/>
  <c r="G2211" i="2"/>
  <c r="E2211" i="2"/>
  <c r="B2211" i="2"/>
  <c r="S2210" i="2"/>
  <c r="P2210" i="2"/>
  <c r="M2210" i="2"/>
  <c r="L2210" i="2"/>
  <c r="K2210" i="2"/>
  <c r="G2210" i="2"/>
  <c r="E2210" i="2"/>
  <c r="B2210" i="2"/>
  <c r="S2209" i="2"/>
  <c r="P2209" i="2"/>
  <c r="M2209" i="2"/>
  <c r="L2209" i="2"/>
  <c r="K2209" i="2"/>
  <c r="G2209" i="2"/>
  <c r="E2209" i="2"/>
  <c r="B2209" i="2"/>
  <c r="S2208" i="2"/>
  <c r="P2208" i="2"/>
  <c r="M2208" i="2"/>
  <c r="L2208" i="2"/>
  <c r="K2208" i="2"/>
  <c r="G2208" i="2"/>
  <c r="E2208" i="2"/>
  <c r="B2208" i="2"/>
  <c r="S2207" i="2"/>
  <c r="P2207" i="2"/>
  <c r="M2207" i="2"/>
  <c r="L2207" i="2"/>
  <c r="K2207" i="2"/>
  <c r="G2207" i="2"/>
  <c r="E2207" i="2"/>
  <c r="B2207" i="2"/>
  <c r="S2206" i="2"/>
  <c r="P2206" i="2"/>
  <c r="M2206" i="2"/>
  <c r="L2206" i="2"/>
  <c r="K2206" i="2"/>
  <c r="G2206" i="2"/>
  <c r="E2206" i="2"/>
  <c r="B2206" i="2"/>
  <c r="S2205" i="2"/>
  <c r="P2205" i="2"/>
  <c r="M2205" i="2"/>
  <c r="L2205" i="2"/>
  <c r="K2205" i="2"/>
  <c r="G2205" i="2"/>
  <c r="E2205" i="2"/>
  <c r="B2205" i="2"/>
  <c r="S2204" i="2"/>
  <c r="P2204" i="2"/>
  <c r="M2204" i="2"/>
  <c r="L2204" i="2"/>
  <c r="K2204" i="2"/>
  <c r="G2204" i="2"/>
  <c r="E2204" i="2"/>
  <c r="B2204" i="2"/>
  <c r="S2203" i="2"/>
  <c r="P2203" i="2"/>
  <c r="M2203" i="2"/>
  <c r="L2203" i="2"/>
  <c r="K2203" i="2"/>
  <c r="G2203" i="2"/>
  <c r="E2203" i="2"/>
  <c r="B2203" i="2"/>
  <c r="S2202" i="2"/>
  <c r="P2202" i="2"/>
  <c r="M2202" i="2"/>
  <c r="L2202" i="2"/>
  <c r="K2202" i="2"/>
  <c r="G2202" i="2"/>
  <c r="E2202" i="2"/>
  <c r="B2202" i="2"/>
  <c r="S2201" i="2"/>
  <c r="P2201" i="2"/>
  <c r="M2201" i="2"/>
  <c r="L2201" i="2"/>
  <c r="K2201" i="2"/>
  <c r="G2201" i="2"/>
  <c r="E2201" i="2"/>
  <c r="B2201" i="2"/>
  <c r="S2200" i="2"/>
  <c r="P2200" i="2"/>
  <c r="M2200" i="2"/>
  <c r="L2200" i="2"/>
  <c r="K2200" i="2"/>
  <c r="G2200" i="2"/>
  <c r="E2200" i="2"/>
  <c r="B2200" i="2"/>
  <c r="S2199" i="2"/>
  <c r="P2199" i="2"/>
  <c r="M2199" i="2"/>
  <c r="L2199" i="2"/>
  <c r="K2199" i="2"/>
  <c r="G2199" i="2"/>
  <c r="E2199" i="2"/>
  <c r="B2199" i="2"/>
  <c r="S2198" i="2"/>
  <c r="P2198" i="2"/>
  <c r="M2198" i="2"/>
  <c r="L2198" i="2"/>
  <c r="K2198" i="2"/>
  <c r="G2198" i="2"/>
  <c r="E2198" i="2"/>
  <c r="B2198" i="2"/>
  <c r="S2197" i="2"/>
  <c r="P2197" i="2"/>
  <c r="M2197" i="2"/>
  <c r="L2197" i="2"/>
  <c r="K2197" i="2"/>
  <c r="G2197" i="2"/>
  <c r="E2197" i="2"/>
  <c r="B2197" i="2"/>
  <c r="S2196" i="2"/>
  <c r="P2196" i="2"/>
  <c r="M2196" i="2"/>
  <c r="L2196" i="2"/>
  <c r="K2196" i="2"/>
  <c r="G2196" i="2"/>
  <c r="E2196" i="2"/>
  <c r="B2196" i="2"/>
  <c r="S2195" i="2"/>
  <c r="P2195" i="2"/>
  <c r="M2195" i="2"/>
  <c r="L2195" i="2"/>
  <c r="K2195" i="2"/>
  <c r="G2195" i="2"/>
  <c r="E2195" i="2"/>
  <c r="B2195" i="2"/>
  <c r="S2194" i="2"/>
  <c r="P2194" i="2"/>
  <c r="M2194" i="2"/>
  <c r="L2194" i="2"/>
  <c r="K2194" i="2"/>
  <c r="G2194" i="2"/>
  <c r="E2194" i="2"/>
  <c r="B2194" i="2"/>
  <c r="S2193" i="2"/>
  <c r="P2193" i="2"/>
  <c r="M2193" i="2"/>
  <c r="L2193" i="2"/>
  <c r="K2193" i="2"/>
  <c r="G2193" i="2"/>
  <c r="E2193" i="2"/>
  <c r="B2193" i="2"/>
  <c r="S2192" i="2"/>
  <c r="P2192" i="2"/>
  <c r="M2192" i="2"/>
  <c r="L2192" i="2"/>
  <c r="K2192" i="2"/>
  <c r="G2192" i="2"/>
  <c r="E2192" i="2"/>
  <c r="B2192" i="2"/>
  <c r="S2191" i="2"/>
  <c r="P2191" i="2"/>
  <c r="M2191" i="2"/>
  <c r="L2191" i="2"/>
  <c r="K2191" i="2"/>
  <c r="G2191" i="2"/>
  <c r="E2191" i="2"/>
  <c r="B2191" i="2"/>
  <c r="S2190" i="2"/>
  <c r="P2190" i="2"/>
  <c r="M2190" i="2"/>
  <c r="L2190" i="2"/>
  <c r="K2190" i="2"/>
  <c r="G2190" i="2"/>
  <c r="E2190" i="2"/>
  <c r="B2190" i="2"/>
  <c r="S2189" i="2"/>
  <c r="P2189" i="2"/>
  <c r="M2189" i="2"/>
  <c r="L2189" i="2"/>
  <c r="K2189" i="2"/>
  <c r="G2189" i="2"/>
  <c r="E2189" i="2"/>
  <c r="B2189" i="2"/>
  <c r="S2188" i="2"/>
  <c r="P2188" i="2"/>
  <c r="M2188" i="2"/>
  <c r="L2188" i="2"/>
  <c r="K2188" i="2"/>
  <c r="G2188" i="2"/>
  <c r="E2188" i="2"/>
  <c r="B2188" i="2"/>
  <c r="S2187" i="2"/>
  <c r="P2187" i="2"/>
  <c r="M2187" i="2"/>
  <c r="L2187" i="2"/>
  <c r="K2187" i="2"/>
  <c r="G2187" i="2"/>
  <c r="E2187" i="2"/>
  <c r="B2187" i="2"/>
  <c r="S2186" i="2"/>
  <c r="P2186" i="2"/>
  <c r="M2186" i="2"/>
  <c r="L2186" i="2"/>
  <c r="K2186" i="2"/>
  <c r="G2186" i="2"/>
  <c r="E2186" i="2"/>
  <c r="B2186" i="2"/>
  <c r="S2185" i="2"/>
  <c r="P2185" i="2"/>
  <c r="M2185" i="2"/>
  <c r="L2185" i="2"/>
  <c r="K2185" i="2"/>
  <c r="G2185" i="2"/>
  <c r="E2185" i="2"/>
  <c r="B2185" i="2"/>
  <c r="S2184" i="2"/>
  <c r="P2184" i="2"/>
  <c r="M2184" i="2"/>
  <c r="L2184" i="2"/>
  <c r="K2184" i="2"/>
  <c r="G2184" i="2"/>
  <c r="E2184" i="2"/>
  <c r="B2184" i="2"/>
  <c r="S2183" i="2"/>
  <c r="P2183" i="2"/>
  <c r="M2183" i="2"/>
  <c r="L2183" i="2"/>
  <c r="K2183" i="2"/>
  <c r="G2183" i="2"/>
  <c r="E2183" i="2"/>
  <c r="B2183" i="2"/>
  <c r="S2182" i="2"/>
  <c r="P2182" i="2"/>
  <c r="M2182" i="2"/>
  <c r="L2182" i="2"/>
  <c r="K2182" i="2"/>
  <c r="G2182" i="2"/>
  <c r="E2182" i="2"/>
  <c r="B2182" i="2"/>
  <c r="S2181" i="2"/>
  <c r="P2181" i="2"/>
  <c r="M2181" i="2"/>
  <c r="L2181" i="2"/>
  <c r="K2181" i="2"/>
  <c r="G2181" i="2"/>
  <c r="E2181" i="2"/>
  <c r="B2181" i="2"/>
  <c r="S2180" i="2"/>
  <c r="P2180" i="2"/>
  <c r="M2180" i="2"/>
  <c r="L2180" i="2"/>
  <c r="K2180" i="2"/>
  <c r="G2180" i="2"/>
  <c r="E2180" i="2"/>
  <c r="B2180" i="2"/>
  <c r="S2179" i="2"/>
  <c r="P2179" i="2"/>
  <c r="M2179" i="2"/>
  <c r="L2179" i="2"/>
  <c r="K2179" i="2"/>
  <c r="G2179" i="2"/>
  <c r="E2179" i="2"/>
  <c r="B2179" i="2"/>
  <c r="S2178" i="2"/>
  <c r="P2178" i="2"/>
  <c r="M2178" i="2"/>
  <c r="L2178" i="2"/>
  <c r="K2178" i="2"/>
  <c r="G2178" i="2"/>
  <c r="E2178" i="2"/>
  <c r="B2178" i="2"/>
  <c r="S2177" i="2"/>
  <c r="P2177" i="2"/>
  <c r="M2177" i="2"/>
  <c r="L2177" i="2"/>
  <c r="K2177" i="2"/>
  <c r="G2177" i="2"/>
  <c r="E2177" i="2"/>
  <c r="B2177" i="2"/>
  <c r="S2176" i="2"/>
  <c r="P2176" i="2"/>
  <c r="M2176" i="2"/>
  <c r="L2176" i="2"/>
  <c r="K2176" i="2"/>
  <c r="G2176" i="2"/>
  <c r="E2176" i="2"/>
  <c r="B2176" i="2"/>
  <c r="S2175" i="2"/>
  <c r="P2175" i="2"/>
  <c r="M2175" i="2"/>
  <c r="L2175" i="2"/>
  <c r="K2175" i="2"/>
  <c r="G2175" i="2"/>
  <c r="E2175" i="2"/>
  <c r="B2175" i="2"/>
  <c r="S2174" i="2"/>
  <c r="P2174" i="2"/>
  <c r="M2174" i="2"/>
  <c r="L2174" i="2"/>
  <c r="K2174" i="2"/>
  <c r="G2174" i="2"/>
  <c r="E2174" i="2"/>
  <c r="B2174" i="2"/>
  <c r="S2173" i="2"/>
  <c r="P2173" i="2"/>
  <c r="M2173" i="2"/>
  <c r="L2173" i="2"/>
  <c r="K2173" i="2"/>
  <c r="G2173" i="2"/>
  <c r="E2173" i="2"/>
  <c r="B2173" i="2"/>
  <c r="S2172" i="2"/>
  <c r="P2172" i="2"/>
  <c r="M2172" i="2"/>
  <c r="L2172" i="2"/>
  <c r="K2172" i="2"/>
  <c r="G2172" i="2"/>
  <c r="E2172" i="2"/>
  <c r="B2172" i="2"/>
  <c r="S2171" i="2"/>
  <c r="P2171" i="2"/>
  <c r="M2171" i="2"/>
  <c r="L2171" i="2"/>
  <c r="K2171" i="2"/>
  <c r="G2171" i="2"/>
  <c r="E2171" i="2"/>
  <c r="B2171" i="2"/>
  <c r="S2170" i="2"/>
  <c r="P2170" i="2"/>
  <c r="M2170" i="2"/>
  <c r="L2170" i="2"/>
  <c r="K2170" i="2"/>
  <c r="G2170" i="2"/>
  <c r="E2170" i="2"/>
  <c r="B2170" i="2"/>
  <c r="S2169" i="2"/>
  <c r="P2169" i="2"/>
  <c r="M2169" i="2"/>
  <c r="L2169" i="2"/>
  <c r="K2169" i="2"/>
  <c r="G2169" i="2"/>
  <c r="E2169" i="2"/>
  <c r="B2169" i="2"/>
  <c r="S2168" i="2"/>
  <c r="P2168" i="2"/>
  <c r="M2168" i="2"/>
  <c r="L2168" i="2"/>
  <c r="K2168" i="2"/>
  <c r="G2168" i="2"/>
  <c r="E2168" i="2"/>
  <c r="B2168" i="2"/>
  <c r="S2167" i="2"/>
  <c r="P2167" i="2"/>
  <c r="M2167" i="2"/>
  <c r="L2167" i="2"/>
  <c r="K2167" i="2"/>
  <c r="G2167" i="2"/>
  <c r="E2167" i="2"/>
  <c r="B2167" i="2"/>
  <c r="S2166" i="2"/>
  <c r="P2166" i="2"/>
  <c r="M2166" i="2"/>
  <c r="L2166" i="2"/>
  <c r="K2166" i="2"/>
  <c r="G2166" i="2"/>
  <c r="E2166" i="2"/>
  <c r="B2166" i="2"/>
  <c r="S2165" i="2"/>
  <c r="P2165" i="2"/>
  <c r="M2165" i="2"/>
  <c r="L2165" i="2"/>
  <c r="K2165" i="2"/>
  <c r="G2165" i="2"/>
  <c r="E2165" i="2"/>
  <c r="B2165" i="2"/>
  <c r="S2164" i="2"/>
  <c r="P2164" i="2"/>
  <c r="M2164" i="2"/>
  <c r="L2164" i="2"/>
  <c r="K2164" i="2"/>
  <c r="G2164" i="2"/>
  <c r="E2164" i="2"/>
  <c r="B2164" i="2"/>
  <c r="S2163" i="2"/>
  <c r="P2163" i="2"/>
  <c r="M2163" i="2"/>
  <c r="L2163" i="2"/>
  <c r="K2163" i="2"/>
  <c r="G2163" i="2"/>
  <c r="E2163" i="2"/>
  <c r="B2163" i="2"/>
  <c r="S2162" i="2"/>
  <c r="P2162" i="2"/>
  <c r="M2162" i="2"/>
  <c r="L2162" i="2"/>
  <c r="K2162" i="2"/>
  <c r="G2162" i="2"/>
  <c r="E2162" i="2"/>
  <c r="B2162" i="2"/>
  <c r="S2161" i="2"/>
  <c r="P2161" i="2"/>
  <c r="M2161" i="2"/>
  <c r="L2161" i="2"/>
  <c r="K2161" i="2"/>
  <c r="G2161" i="2"/>
  <c r="E2161" i="2"/>
  <c r="B2161" i="2"/>
  <c r="S2160" i="2"/>
  <c r="P2160" i="2"/>
  <c r="M2160" i="2"/>
  <c r="L2160" i="2"/>
  <c r="K2160" i="2"/>
  <c r="G2160" i="2"/>
  <c r="E2160" i="2"/>
  <c r="B2160" i="2"/>
  <c r="S2159" i="2"/>
  <c r="P2159" i="2"/>
  <c r="M2159" i="2"/>
  <c r="L2159" i="2"/>
  <c r="K2159" i="2"/>
  <c r="G2159" i="2"/>
  <c r="E2159" i="2"/>
  <c r="B2159" i="2"/>
  <c r="S2158" i="2"/>
  <c r="P2158" i="2"/>
  <c r="M2158" i="2"/>
  <c r="L2158" i="2"/>
  <c r="K2158" i="2"/>
  <c r="G2158" i="2"/>
  <c r="E2158" i="2"/>
  <c r="B2158" i="2"/>
  <c r="S2157" i="2"/>
  <c r="P2157" i="2"/>
  <c r="M2157" i="2"/>
  <c r="L2157" i="2"/>
  <c r="K2157" i="2"/>
  <c r="G2157" i="2"/>
  <c r="E2157" i="2"/>
  <c r="B2157" i="2"/>
  <c r="S2156" i="2"/>
  <c r="P2156" i="2"/>
  <c r="M2156" i="2"/>
  <c r="L2156" i="2"/>
  <c r="K2156" i="2"/>
  <c r="G2156" i="2"/>
  <c r="E2156" i="2"/>
  <c r="B2156" i="2"/>
  <c r="S2155" i="2"/>
  <c r="P2155" i="2"/>
  <c r="M2155" i="2"/>
  <c r="L2155" i="2"/>
  <c r="K2155" i="2"/>
  <c r="G2155" i="2"/>
  <c r="E2155" i="2"/>
  <c r="B2155" i="2"/>
  <c r="S2154" i="2"/>
  <c r="P2154" i="2"/>
  <c r="M2154" i="2"/>
  <c r="L2154" i="2"/>
  <c r="K2154" i="2"/>
  <c r="G2154" i="2"/>
  <c r="E2154" i="2"/>
  <c r="B2154" i="2"/>
  <c r="S2153" i="2"/>
  <c r="P2153" i="2"/>
  <c r="M2153" i="2"/>
  <c r="L2153" i="2"/>
  <c r="K2153" i="2"/>
  <c r="G2153" i="2"/>
  <c r="E2153" i="2"/>
  <c r="B2153" i="2"/>
  <c r="S2152" i="2"/>
  <c r="P2152" i="2"/>
  <c r="M2152" i="2"/>
  <c r="L2152" i="2"/>
  <c r="K2152" i="2"/>
  <c r="G2152" i="2"/>
  <c r="E2152" i="2"/>
  <c r="B2152" i="2"/>
  <c r="S2151" i="2"/>
  <c r="P2151" i="2"/>
  <c r="M2151" i="2"/>
  <c r="L2151" i="2"/>
  <c r="K2151" i="2"/>
  <c r="G2151" i="2"/>
  <c r="E2151" i="2"/>
  <c r="B2151" i="2"/>
  <c r="S2150" i="2"/>
  <c r="P2150" i="2"/>
  <c r="M2150" i="2"/>
  <c r="L2150" i="2"/>
  <c r="K2150" i="2"/>
  <c r="G2150" i="2"/>
  <c r="E2150" i="2"/>
  <c r="B2150" i="2"/>
  <c r="S2149" i="2"/>
  <c r="P2149" i="2"/>
  <c r="M2149" i="2"/>
  <c r="L2149" i="2"/>
  <c r="K2149" i="2"/>
  <c r="G2149" i="2"/>
  <c r="E2149" i="2"/>
  <c r="B2149" i="2"/>
  <c r="S2148" i="2"/>
  <c r="P2148" i="2"/>
  <c r="M2148" i="2"/>
  <c r="L2148" i="2"/>
  <c r="K2148" i="2"/>
  <c r="G2148" i="2"/>
  <c r="E2148" i="2"/>
  <c r="B2148" i="2"/>
  <c r="S2147" i="2"/>
  <c r="P2147" i="2"/>
  <c r="M2147" i="2"/>
  <c r="L2147" i="2"/>
  <c r="K2147" i="2"/>
  <c r="G2147" i="2"/>
  <c r="E2147" i="2"/>
  <c r="B2147" i="2"/>
  <c r="S2146" i="2"/>
  <c r="P2146" i="2"/>
  <c r="M2146" i="2"/>
  <c r="L2146" i="2"/>
  <c r="K2146" i="2"/>
  <c r="G2146" i="2"/>
  <c r="E2146" i="2"/>
  <c r="B2146" i="2"/>
  <c r="S2145" i="2"/>
  <c r="P2145" i="2"/>
  <c r="M2145" i="2"/>
  <c r="L2145" i="2"/>
  <c r="K2145" i="2"/>
  <c r="G2145" i="2"/>
  <c r="E2145" i="2"/>
  <c r="B2145" i="2"/>
  <c r="S2144" i="2"/>
  <c r="P2144" i="2"/>
  <c r="M2144" i="2"/>
  <c r="L2144" i="2"/>
  <c r="K2144" i="2"/>
  <c r="G2144" i="2"/>
  <c r="E2144" i="2"/>
  <c r="B2144" i="2"/>
  <c r="S2143" i="2"/>
  <c r="P2143" i="2"/>
  <c r="M2143" i="2"/>
  <c r="L2143" i="2"/>
  <c r="K2143" i="2"/>
  <c r="G2143" i="2"/>
  <c r="E2143" i="2"/>
  <c r="B2143" i="2"/>
  <c r="S2142" i="2"/>
  <c r="P2142" i="2"/>
  <c r="M2142" i="2"/>
  <c r="L2142" i="2"/>
  <c r="K2142" i="2"/>
  <c r="G2142" i="2"/>
  <c r="E2142" i="2"/>
  <c r="B2142" i="2"/>
  <c r="S2141" i="2"/>
  <c r="P2141" i="2"/>
  <c r="M2141" i="2"/>
  <c r="L2141" i="2"/>
  <c r="K2141" i="2"/>
  <c r="G2141" i="2"/>
  <c r="E2141" i="2"/>
  <c r="B2141" i="2"/>
  <c r="S2140" i="2"/>
  <c r="P2140" i="2"/>
  <c r="M2140" i="2"/>
  <c r="L2140" i="2"/>
  <c r="K2140" i="2"/>
  <c r="G2140" i="2"/>
  <c r="E2140" i="2"/>
  <c r="B2140" i="2"/>
  <c r="S2139" i="2"/>
  <c r="P2139" i="2"/>
  <c r="M2139" i="2"/>
  <c r="L2139" i="2"/>
  <c r="K2139" i="2"/>
  <c r="G2139" i="2"/>
  <c r="E2139" i="2"/>
  <c r="B2139" i="2"/>
  <c r="S2138" i="2"/>
  <c r="P2138" i="2"/>
  <c r="M2138" i="2"/>
  <c r="L2138" i="2"/>
  <c r="K2138" i="2"/>
  <c r="G2138" i="2"/>
  <c r="E2138" i="2"/>
  <c r="B2138" i="2"/>
  <c r="S2137" i="2"/>
  <c r="P2137" i="2"/>
  <c r="M2137" i="2"/>
  <c r="L2137" i="2"/>
  <c r="K2137" i="2"/>
  <c r="G2137" i="2"/>
  <c r="E2137" i="2"/>
  <c r="B2137" i="2"/>
  <c r="S2136" i="2"/>
  <c r="P2136" i="2"/>
  <c r="M2136" i="2"/>
  <c r="L2136" i="2"/>
  <c r="K2136" i="2"/>
  <c r="G2136" i="2"/>
  <c r="E2136" i="2"/>
  <c r="B2136" i="2"/>
  <c r="S2135" i="2"/>
  <c r="P2135" i="2"/>
  <c r="M2135" i="2"/>
  <c r="L2135" i="2"/>
  <c r="K2135" i="2"/>
  <c r="G2135" i="2"/>
  <c r="E2135" i="2"/>
  <c r="B2135" i="2"/>
  <c r="S2134" i="2"/>
  <c r="P2134" i="2"/>
  <c r="M2134" i="2"/>
  <c r="L2134" i="2"/>
  <c r="K2134" i="2"/>
  <c r="G2134" i="2"/>
  <c r="E2134" i="2"/>
  <c r="B2134" i="2"/>
  <c r="S2133" i="2"/>
  <c r="P2133" i="2"/>
  <c r="M2133" i="2"/>
  <c r="L2133" i="2"/>
  <c r="K2133" i="2"/>
  <c r="G2133" i="2"/>
  <c r="E2133" i="2"/>
  <c r="B2133" i="2"/>
  <c r="S2132" i="2"/>
  <c r="P2132" i="2"/>
  <c r="M2132" i="2"/>
  <c r="L2132" i="2"/>
  <c r="K2132" i="2"/>
  <c r="G2132" i="2"/>
  <c r="E2132" i="2"/>
  <c r="B2132" i="2"/>
  <c r="S2131" i="2"/>
  <c r="P2131" i="2"/>
  <c r="M2131" i="2"/>
  <c r="L2131" i="2"/>
  <c r="K2131" i="2"/>
  <c r="G2131" i="2"/>
  <c r="E2131" i="2"/>
  <c r="B2131" i="2"/>
  <c r="S2130" i="2"/>
  <c r="P2130" i="2"/>
  <c r="M2130" i="2"/>
  <c r="L2130" i="2"/>
  <c r="K2130" i="2"/>
  <c r="G2130" i="2"/>
  <c r="E2130" i="2"/>
  <c r="B2130" i="2"/>
  <c r="S2129" i="2"/>
  <c r="P2129" i="2"/>
  <c r="M2129" i="2"/>
  <c r="L2129" i="2"/>
  <c r="K2129" i="2"/>
  <c r="G2129" i="2"/>
  <c r="E2129" i="2"/>
  <c r="B2129" i="2"/>
  <c r="S2128" i="2"/>
  <c r="P2128" i="2"/>
  <c r="M2128" i="2"/>
  <c r="L2128" i="2"/>
  <c r="K2128" i="2"/>
  <c r="G2128" i="2"/>
  <c r="E2128" i="2"/>
  <c r="B2128" i="2"/>
  <c r="S2127" i="2"/>
  <c r="P2127" i="2"/>
  <c r="M2127" i="2"/>
  <c r="L2127" i="2"/>
  <c r="K2127" i="2"/>
  <c r="G2127" i="2"/>
  <c r="E2127" i="2"/>
  <c r="B2127" i="2"/>
  <c r="S2126" i="2"/>
  <c r="P2126" i="2"/>
  <c r="M2126" i="2"/>
  <c r="L2126" i="2"/>
  <c r="K2126" i="2"/>
  <c r="G2126" i="2"/>
  <c r="E2126" i="2"/>
  <c r="B2126" i="2"/>
  <c r="S2125" i="2"/>
  <c r="P2125" i="2"/>
  <c r="M2125" i="2"/>
  <c r="L2125" i="2"/>
  <c r="K2125" i="2"/>
  <c r="G2125" i="2"/>
  <c r="E2125" i="2"/>
  <c r="B2125" i="2"/>
  <c r="S2124" i="2"/>
  <c r="P2124" i="2"/>
  <c r="M2124" i="2"/>
  <c r="L2124" i="2"/>
  <c r="K2124" i="2"/>
  <c r="G2124" i="2"/>
  <c r="E2124" i="2"/>
  <c r="B2124" i="2"/>
  <c r="S2123" i="2"/>
  <c r="P2123" i="2"/>
  <c r="M2123" i="2"/>
  <c r="L2123" i="2"/>
  <c r="K2123" i="2"/>
  <c r="G2123" i="2"/>
  <c r="E2123" i="2"/>
  <c r="B2123" i="2"/>
  <c r="S2122" i="2"/>
  <c r="P2122" i="2"/>
  <c r="M2122" i="2"/>
  <c r="L2122" i="2"/>
  <c r="K2122" i="2"/>
  <c r="G2122" i="2"/>
  <c r="E2122" i="2"/>
  <c r="B2122" i="2"/>
  <c r="S2121" i="2"/>
  <c r="P2121" i="2"/>
  <c r="M2121" i="2"/>
  <c r="L2121" i="2"/>
  <c r="K2121" i="2"/>
  <c r="G2121" i="2"/>
  <c r="E2121" i="2"/>
  <c r="B2121" i="2"/>
  <c r="S2120" i="2"/>
  <c r="P2120" i="2"/>
  <c r="M2120" i="2"/>
  <c r="L2120" i="2"/>
  <c r="K2120" i="2"/>
  <c r="G2120" i="2"/>
  <c r="E2120" i="2"/>
  <c r="B2120" i="2"/>
  <c r="S2119" i="2"/>
  <c r="P2119" i="2"/>
  <c r="M2119" i="2"/>
  <c r="L2119" i="2"/>
  <c r="K2119" i="2"/>
  <c r="G2119" i="2"/>
  <c r="E2119" i="2"/>
  <c r="B2119" i="2"/>
  <c r="S2118" i="2"/>
  <c r="P2118" i="2"/>
  <c r="M2118" i="2"/>
  <c r="L2118" i="2"/>
  <c r="K2118" i="2"/>
  <c r="G2118" i="2"/>
  <c r="E2118" i="2"/>
  <c r="B2118" i="2"/>
  <c r="S2117" i="2"/>
  <c r="P2117" i="2"/>
  <c r="M2117" i="2"/>
  <c r="L2117" i="2"/>
  <c r="K2117" i="2"/>
  <c r="G2117" i="2"/>
  <c r="E2117" i="2"/>
  <c r="B2117" i="2"/>
  <c r="S2116" i="2"/>
  <c r="P2116" i="2"/>
  <c r="M2116" i="2"/>
  <c r="L2116" i="2"/>
  <c r="K2116" i="2"/>
  <c r="G2116" i="2"/>
  <c r="E2116" i="2"/>
  <c r="B2116" i="2"/>
  <c r="S2115" i="2"/>
  <c r="P2115" i="2"/>
  <c r="M2115" i="2"/>
  <c r="L2115" i="2"/>
  <c r="K2115" i="2"/>
  <c r="G2115" i="2"/>
  <c r="E2115" i="2"/>
  <c r="B2115" i="2"/>
  <c r="S2114" i="2"/>
  <c r="P2114" i="2"/>
  <c r="M2114" i="2"/>
  <c r="L2114" i="2"/>
  <c r="K2114" i="2"/>
  <c r="G2114" i="2"/>
  <c r="E2114" i="2"/>
  <c r="B2114" i="2"/>
  <c r="S2113" i="2"/>
  <c r="P2113" i="2"/>
  <c r="M2113" i="2"/>
  <c r="L2113" i="2"/>
  <c r="K2113" i="2"/>
  <c r="G2113" i="2"/>
  <c r="E2113" i="2"/>
  <c r="B2113" i="2"/>
  <c r="S2112" i="2"/>
  <c r="P2112" i="2"/>
  <c r="M2112" i="2"/>
  <c r="L2112" i="2"/>
  <c r="K2112" i="2"/>
  <c r="G2112" i="2"/>
  <c r="E2112" i="2"/>
  <c r="B2112" i="2"/>
  <c r="S2111" i="2"/>
  <c r="P2111" i="2"/>
  <c r="M2111" i="2"/>
  <c r="L2111" i="2"/>
  <c r="K2111" i="2"/>
  <c r="G2111" i="2"/>
  <c r="E2111" i="2"/>
  <c r="B2111" i="2"/>
  <c r="S2110" i="2"/>
  <c r="P2110" i="2"/>
  <c r="M2110" i="2"/>
  <c r="L2110" i="2"/>
  <c r="K2110" i="2"/>
  <c r="G2110" i="2"/>
  <c r="E2110" i="2"/>
  <c r="B2110" i="2"/>
  <c r="S2109" i="2"/>
  <c r="P2109" i="2"/>
  <c r="M2109" i="2"/>
  <c r="L2109" i="2"/>
  <c r="K2109" i="2"/>
  <c r="G2109" i="2"/>
  <c r="E2109" i="2"/>
  <c r="B2109" i="2"/>
  <c r="S2108" i="2"/>
  <c r="P2108" i="2"/>
  <c r="M2108" i="2"/>
  <c r="L2108" i="2"/>
  <c r="K2108" i="2"/>
  <c r="G2108" i="2"/>
  <c r="E2108" i="2"/>
  <c r="B2108" i="2"/>
  <c r="S2107" i="2"/>
  <c r="P2107" i="2"/>
  <c r="M2107" i="2"/>
  <c r="L2107" i="2"/>
  <c r="K2107" i="2"/>
  <c r="G2107" i="2"/>
  <c r="E2107" i="2"/>
  <c r="B2107" i="2"/>
  <c r="S2106" i="2"/>
  <c r="P2106" i="2"/>
  <c r="M2106" i="2"/>
  <c r="L2106" i="2"/>
  <c r="K2106" i="2"/>
  <c r="G2106" i="2"/>
  <c r="E2106" i="2"/>
  <c r="B2106" i="2"/>
  <c r="S2105" i="2"/>
  <c r="P2105" i="2"/>
  <c r="M2105" i="2"/>
  <c r="L2105" i="2"/>
  <c r="K2105" i="2"/>
  <c r="G2105" i="2"/>
  <c r="E2105" i="2"/>
  <c r="B2105" i="2"/>
  <c r="S2104" i="2"/>
  <c r="P2104" i="2"/>
  <c r="M2104" i="2"/>
  <c r="L2104" i="2"/>
  <c r="K2104" i="2"/>
  <c r="G2104" i="2"/>
  <c r="E2104" i="2"/>
  <c r="B2104" i="2"/>
  <c r="S2103" i="2"/>
  <c r="P2103" i="2"/>
  <c r="M2103" i="2"/>
  <c r="L2103" i="2"/>
  <c r="K2103" i="2"/>
  <c r="G2103" i="2"/>
  <c r="E2103" i="2"/>
  <c r="B2103" i="2"/>
  <c r="S2102" i="2"/>
  <c r="P2102" i="2"/>
  <c r="M2102" i="2"/>
  <c r="L2102" i="2"/>
  <c r="K2102" i="2"/>
  <c r="G2102" i="2"/>
  <c r="E2102" i="2"/>
  <c r="B2102" i="2"/>
  <c r="S2101" i="2"/>
  <c r="P2101" i="2"/>
  <c r="M2101" i="2"/>
  <c r="L2101" i="2"/>
  <c r="K2101" i="2"/>
  <c r="G2101" i="2"/>
  <c r="E2101" i="2"/>
  <c r="B2101" i="2"/>
  <c r="S2100" i="2"/>
  <c r="P2100" i="2"/>
  <c r="M2100" i="2"/>
  <c r="L2100" i="2"/>
  <c r="K2100" i="2"/>
  <c r="G2100" i="2"/>
  <c r="E2100" i="2"/>
  <c r="B2100" i="2"/>
  <c r="S2099" i="2"/>
  <c r="P2099" i="2"/>
  <c r="M2099" i="2"/>
  <c r="L2099" i="2"/>
  <c r="K2099" i="2"/>
  <c r="G2099" i="2"/>
  <c r="E2099" i="2"/>
  <c r="B2099" i="2"/>
  <c r="S2098" i="2"/>
  <c r="P2098" i="2"/>
  <c r="M2098" i="2"/>
  <c r="L2098" i="2"/>
  <c r="K2098" i="2"/>
  <c r="G2098" i="2"/>
  <c r="E2098" i="2"/>
  <c r="B2098" i="2"/>
  <c r="S2097" i="2"/>
  <c r="P2097" i="2"/>
  <c r="M2097" i="2"/>
  <c r="L2097" i="2"/>
  <c r="K2097" i="2"/>
  <c r="G2097" i="2"/>
  <c r="E2097" i="2"/>
  <c r="B2097" i="2"/>
  <c r="S2096" i="2"/>
  <c r="P2096" i="2"/>
  <c r="M2096" i="2"/>
  <c r="L2096" i="2"/>
  <c r="K2096" i="2"/>
  <c r="G2096" i="2"/>
  <c r="E2096" i="2"/>
  <c r="B2096" i="2"/>
  <c r="S2095" i="2"/>
  <c r="P2095" i="2"/>
  <c r="M2095" i="2"/>
  <c r="L2095" i="2"/>
  <c r="K2095" i="2"/>
  <c r="G2095" i="2"/>
  <c r="E2095" i="2"/>
  <c r="B2095" i="2"/>
  <c r="S2094" i="2"/>
  <c r="P2094" i="2"/>
  <c r="M2094" i="2"/>
  <c r="L2094" i="2"/>
  <c r="K2094" i="2"/>
  <c r="G2094" i="2"/>
  <c r="E2094" i="2"/>
  <c r="B2094" i="2"/>
  <c r="S2093" i="2"/>
  <c r="P2093" i="2"/>
  <c r="M2093" i="2"/>
  <c r="L2093" i="2"/>
  <c r="K2093" i="2"/>
  <c r="G2093" i="2"/>
  <c r="E2093" i="2"/>
  <c r="B2093" i="2"/>
  <c r="S2092" i="2"/>
  <c r="P2092" i="2"/>
  <c r="M2092" i="2"/>
  <c r="L2092" i="2"/>
  <c r="K2092" i="2"/>
  <c r="G2092" i="2"/>
  <c r="E2092" i="2"/>
  <c r="B2092" i="2"/>
  <c r="S2091" i="2"/>
  <c r="P2091" i="2"/>
  <c r="M2091" i="2"/>
  <c r="L2091" i="2"/>
  <c r="K2091" i="2"/>
  <c r="G2091" i="2"/>
  <c r="E2091" i="2"/>
  <c r="B2091" i="2"/>
  <c r="S2090" i="2"/>
  <c r="P2090" i="2"/>
  <c r="M2090" i="2"/>
  <c r="L2090" i="2"/>
  <c r="K2090" i="2"/>
  <c r="G2090" i="2"/>
  <c r="E2090" i="2"/>
  <c r="B2090" i="2"/>
  <c r="S2089" i="2"/>
  <c r="P2089" i="2"/>
  <c r="M2089" i="2"/>
  <c r="L2089" i="2"/>
  <c r="K2089" i="2"/>
  <c r="G2089" i="2"/>
  <c r="E2089" i="2"/>
  <c r="B2089" i="2"/>
  <c r="S2088" i="2"/>
  <c r="P2088" i="2"/>
  <c r="M2088" i="2"/>
  <c r="L2088" i="2"/>
  <c r="K2088" i="2"/>
  <c r="G2088" i="2"/>
  <c r="E2088" i="2"/>
  <c r="B2088" i="2"/>
  <c r="S2087" i="2"/>
  <c r="P2087" i="2"/>
  <c r="M2087" i="2"/>
  <c r="L2087" i="2"/>
  <c r="K2087" i="2"/>
  <c r="G2087" i="2"/>
  <c r="E2087" i="2"/>
  <c r="B2087" i="2"/>
  <c r="S2086" i="2"/>
  <c r="P2086" i="2"/>
  <c r="M2086" i="2"/>
  <c r="L2086" i="2"/>
  <c r="K2086" i="2"/>
  <c r="G2086" i="2"/>
  <c r="E2086" i="2"/>
  <c r="B2086" i="2"/>
  <c r="S2085" i="2"/>
  <c r="P2085" i="2"/>
  <c r="M2085" i="2"/>
  <c r="L2085" i="2"/>
  <c r="K2085" i="2"/>
  <c r="G2085" i="2"/>
  <c r="E2085" i="2"/>
  <c r="B2085" i="2"/>
  <c r="S2084" i="2"/>
  <c r="P2084" i="2"/>
  <c r="M2084" i="2"/>
  <c r="L2084" i="2"/>
  <c r="K2084" i="2"/>
  <c r="G2084" i="2"/>
  <c r="E2084" i="2"/>
  <c r="B2084" i="2"/>
  <c r="S2083" i="2"/>
  <c r="P2083" i="2"/>
  <c r="M2083" i="2"/>
  <c r="L2083" i="2"/>
  <c r="K2083" i="2"/>
  <c r="G2083" i="2"/>
  <c r="E2083" i="2"/>
  <c r="B2083" i="2"/>
  <c r="S2082" i="2"/>
  <c r="P2082" i="2"/>
  <c r="M2082" i="2"/>
  <c r="L2082" i="2"/>
  <c r="K2082" i="2"/>
  <c r="G2082" i="2"/>
  <c r="E2082" i="2"/>
  <c r="B2082" i="2"/>
  <c r="S2081" i="2"/>
  <c r="P2081" i="2"/>
  <c r="M2081" i="2"/>
  <c r="L2081" i="2"/>
  <c r="K2081" i="2"/>
  <c r="G2081" i="2"/>
  <c r="E2081" i="2"/>
  <c r="B2081" i="2"/>
  <c r="S2080" i="2"/>
  <c r="P2080" i="2"/>
  <c r="M2080" i="2"/>
  <c r="L2080" i="2"/>
  <c r="K2080" i="2"/>
  <c r="G2080" i="2"/>
  <c r="E2080" i="2"/>
  <c r="B2080" i="2"/>
  <c r="S2079" i="2"/>
  <c r="P2079" i="2"/>
  <c r="M2079" i="2"/>
  <c r="L2079" i="2"/>
  <c r="K2079" i="2"/>
  <c r="G2079" i="2"/>
  <c r="E2079" i="2"/>
  <c r="B2079" i="2"/>
  <c r="S2078" i="2"/>
  <c r="P2078" i="2"/>
  <c r="M2078" i="2"/>
  <c r="L2078" i="2"/>
  <c r="K2078" i="2"/>
  <c r="E2078" i="2"/>
  <c r="B2078" i="2"/>
  <c r="S2077" i="2"/>
  <c r="P2077" i="2"/>
  <c r="M2077" i="2"/>
  <c r="L2077" i="2"/>
  <c r="K2077" i="2"/>
  <c r="E2077" i="2"/>
  <c r="B2077" i="2"/>
  <c r="S2076" i="2"/>
  <c r="P2076" i="2"/>
  <c r="M2076" i="2"/>
  <c r="L2076" i="2"/>
  <c r="K2076" i="2"/>
  <c r="E2076" i="2"/>
  <c r="B2076" i="2"/>
  <c r="S2075" i="2"/>
  <c r="P2075" i="2"/>
  <c r="M2075" i="2"/>
  <c r="L2075" i="2"/>
  <c r="K2075" i="2"/>
  <c r="E2075" i="2"/>
  <c r="B2075" i="2"/>
  <c r="S2074" i="2"/>
  <c r="P2074" i="2"/>
  <c r="M2074" i="2"/>
  <c r="L2074" i="2"/>
  <c r="K2074" i="2"/>
  <c r="E2074" i="2"/>
  <c r="B2074" i="2"/>
  <c r="S2073" i="2"/>
  <c r="P2073" i="2"/>
  <c r="M2073" i="2"/>
  <c r="L2073" i="2"/>
  <c r="K2073" i="2"/>
  <c r="E2073" i="2"/>
  <c r="B2073" i="2"/>
  <c r="S2072" i="2"/>
  <c r="P2072" i="2"/>
  <c r="M2072" i="2"/>
  <c r="L2072" i="2"/>
  <c r="K2072" i="2"/>
  <c r="E2072" i="2"/>
  <c r="B2072" i="2"/>
  <c r="S2071" i="2"/>
  <c r="P2071" i="2"/>
  <c r="M2071" i="2"/>
  <c r="L2071" i="2"/>
  <c r="K2071" i="2"/>
  <c r="E2071" i="2"/>
  <c r="B2071" i="2"/>
  <c r="S2070" i="2"/>
  <c r="P2070" i="2"/>
  <c r="M2070" i="2"/>
  <c r="L2070" i="2"/>
  <c r="K2070" i="2"/>
  <c r="G2070" i="2"/>
  <c r="E2070" i="2"/>
  <c r="B2070" i="2"/>
  <c r="S2069" i="2"/>
  <c r="P2069" i="2"/>
  <c r="M2069" i="2"/>
  <c r="L2069" i="2"/>
  <c r="K2069" i="2"/>
  <c r="G2069" i="2"/>
  <c r="E2069" i="2"/>
  <c r="B2069" i="2"/>
  <c r="S2068" i="2"/>
  <c r="P2068" i="2"/>
  <c r="M2068" i="2"/>
  <c r="L2068" i="2"/>
  <c r="K2068" i="2"/>
  <c r="G2068" i="2"/>
  <c r="E2068" i="2"/>
  <c r="B2068" i="2"/>
  <c r="S2067" i="2"/>
  <c r="P2067" i="2"/>
  <c r="M2067" i="2"/>
  <c r="L2067" i="2"/>
  <c r="K2067" i="2"/>
  <c r="G2067" i="2"/>
  <c r="E2067" i="2"/>
  <c r="B2067" i="2"/>
  <c r="S2066" i="2"/>
  <c r="P2066" i="2"/>
  <c r="M2066" i="2"/>
  <c r="L2066" i="2"/>
  <c r="K2066" i="2"/>
  <c r="G2066" i="2"/>
  <c r="E2066" i="2"/>
  <c r="B2066" i="2"/>
  <c r="S2065" i="2"/>
  <c r="P2065" i="2"/>
  <c r="M2065" i="2"/>
  <c r="L2065" i="2"/>
  <c r="K2065" i="2"/>
  <c r="G2065" i="2"/>
  <c r="E2065" i="2"/>
  <c r="B2065" i="2"/>
  <c r="S2064" i="2"/>
  <c r="P2064" i="2"/>
  <c r="M2064" i="2"/>
  <c r="L2064" i="2"/>
  <c r="K2064" i="2"/>
  <c r="G2064" i="2"/>
  <c r="E2064" i="2"/>
  <c r="B2064" i="2"/>
  <c r="S2063" i="2"/>
  <c r="P2063" i="2"/>
  <c r="M2063" i="2"/>
  <c r="L2063" i="2"/>
  <c r="K2063" i="2"/>
  <c r="G2063" i="2"/>
  <c r="E2063" i="2"/>
  <c r="B2063" i="2"/>
  <c r="S2062" i="2"/>
  <c r="P2062" i="2"/>
  <c r="M2062" i="2"/>
  <c r="L2062" i="2"/>
  <c r="K2062" i="2"/>
  <c r="G2062" i="2"/>
  <c r="E2062" i="2"/>
  <c r="B2062" i="2"/>
  <c r="S2061" i="2"/>
  <c r="P2061" i="2"/>
  <c r="M2061" i="2"/>
  <c r="L2061" i="2"/>
  <c r="K2061" i="2"/>
  <c r="G2061" i="2"/>
  <c r="E2061" i="2"/>
  <c r="B2061" i="2"/>
  <c r="S2060" i="2"/>
  <c r="P2060" i="2"/>
  <c r="M2060" i="2"/>
  <c r="L2060" i="2"/>
  <c r="K2060" i="2"/>
  <c r="G2060" i="2"/>
  <c r="E2060" i="2"/>
  <c r="B2060" i="2"/>
  <c r="S2059" i="2"/>
  <c r="P2059" i="2"/>
  <c r="M2059" i="2"/>
  <c r="L2059" i="2"/>
  <c r="K2059" i="2"/>
  <c r="G2059" i="2"/>
  <c r="E2059" i="2"/>
  <c r="B2059" i="2"/>
  <c r="S2058" i="2"/>
  <c r="P2058" i="2"/>
  <c r="M2058" i="2"/>
  <c r="L2058" i="2"/>
  <c r="K2058" i="2"/>
  <c r="G2058" i="2"/>
  <c r="E2058" i="2"/>
  <c r="B2058" i="2"/>
  <c r="S2057" i="2"/>
  <c r="P2057" i="2"/>
  <c r="M2057" i="2"/>
  <c r="L2057" i="2"/>
  <c r="K2057" i="2"/>
  <c r="G2057" i="2"/>
  <c r="E2057" i="2"/>
  <c r="B2057" i="2"/>
  <c r="S2056" i="2"/>
  <c r="P2056" i="2"/>
  <c r="M2056" i="2"/>
  <c r="L2056" i="2"/>
  <c r="K2056" i="2"/>
  <c r="G2056" i="2"/>
  <c r="E2056" i="2"/>
  <c r="B2056" i="2"/>
  <c r="S2055" i="2"/>
  <c r="P2055" i="2"/>
  <c r="M2055" i="2"/>
  <c r="L2055" i="2"/>
  <c r="K2055" i="2"/>
  <c r="G2055" i="2"/>
  <c r="E2055" i="2"/>
  <c r="B2055" i="2"/>
  <c r="S2054" i="2"/>
  <c r="P2054" i="2"/>
  <c r="M2054" i="2"/>
  <c r="L2054" i="2"/>
  <c r="K2054" i="2"/>
  <c r="H2054" i="2"/>
  <c r="G2054" i="2"/>
  <c r="E2054" i="2"/>
  <c r="B2054" i="2"/>
  <c r="S2053" i="2"/>
  <c r="P2053" i="2"/>
  <c r="M2053" i="2"/>
  <c r="L2053" i="2"/>
  <c r="K2053" i="2"/>
  <c r="G2053" i="2"/>
  <c r="E2053" i="2"/>
  <c r="B2053" i="2"/>
  <c r="S2052" i="2"/>
  <c r="P2052" i="2"/>
  <c r="M2052" i="2"/>
  <c r="L2052" i="2"/>
  <c r="K2052" i="2"/>
  <c r="H2052" i="2"/>
  <c r="G2052" i="2"/>
  <c r="E2052" i="2"/>
  <c r="B2052" i="2"/>
  <c r="S2051" i="2"/>
  <c r="P2051" i="2"/>
  <c r="M2051" i="2"/>
  <c r="L2051" i="2"/>
  <c r="K2051" i="2"/>
  <c r="H2051" i="2"/>
  <c r="G2051" i="2"/>
  <c r="E2051" i="2"/>
  <c r="B2051" i="2"/>
  <c r="S2050" i="2"/>
  <c r="P2050" i="2"/>
  <c r="M2050" i="2"/>
  <c r="L2050" i="2"/>
  <c r="K2050" i="2"/>
  <c r="G2050" i="2"/>
  <c r="E2050" i="2"/>
  <c r="B2050" i="2"/>
  <c r="S2049" i="2"/>
  <c r="P2049" i="2"/>
  <c r="M2049" i="2"/>
  <c r="L2049" i="2"/>
  <c r="K2049" i="2"/>
  <c r="H2049" i="2"/>
  <c r="G2049" i="2"/>
  <c r="E2049" i="2"/>
  <c r="B2049" i="2"/>
  <c r="S2048" i="2"/>
  <c r="P2048" i="2"/>
  <c r="M2048" i="2"/>
  <c r="L2048" i="2"/>
  <c r="K2048" i="2"/>
  <c r="G2048" i="2"/>
  <c r="E2048" i="2"/>
  <c r="B2048" i="2"/>
  <c r="S2047" i="2"/>
  <c r="P2047" i="2"/>
  <c r="M2047" i="2"/>
  <c r="L2047" i="2"/>
  <c r="K2047" i="2"/>
  <c r="H2047" i="2"/>
  <c r="G2047" i="2"/>
  <c r="E2047" i="2"/>
  <c r="B2047" i="2"/>
  <c r="S2046" i="2"/>
  <c r="P2046" i="2"/>
  <c r="M2046" i="2"/>
  <c r="L2046" i="2"/>
  <c r="K2046" i="2"/>
  <c r="G2046" i="2"/>
  <c r="E2046" i="2"/>
  <c r="B2046" i="2"/>
  <c r="S2045" i="2"/>
  <c r="P2045" i="2"/>
  <c r="M2045" i="2"/>
  <c r="L2045" i="2"/>
  <c r="K2045" i="2"/>
  <c r="H2045" i="2"/>
  <c r="G2045" i="2"/>
  <c r="E2045" i="2"/>
  <c r="B2045" i="2"/>
  <c r="S2044" i="2"/>
  <c r="P2044" i="2"/>
  <c r="M2044" i="2"/>
  <c r="L2044" i="2"/>
  <c r="K2044" i="2"/>
  <c r="G2044" i="2"/>
  <c r="E2044" i="2"/>
  <c r="B2044" i="2"/>
  <c r="S2043" i="2"/>
  <c r="P2043" i="2"/>
  <c r="M2043" i="2"/>
  <c r="L2043" i="2"/>
  <c r="K2043" i="2"/>
  <c r="G2043" i="2"/>
  <c r="E2043" i="2"/>
  <c r="B2043" i="2"/>
  <c r="S2042" i="2"/>
  <c r="P2042" i="2"/>
  <c r="M2042" i="2"/>
  <c r="L2042" i="2"/>
  <c r="K2042" i="2"/>
  <c r="H2042" i="2"/>
  <c r="G2042" i="2"/>
  <c r="E2042" i="2"/>
  <c r="B2042" i="2"/>
  <c r="S2041" i="2"/>
  <c r="P2041" i="2"/>
  <c r="M2041" i="2"/>
  <c r="L2041" i="2"/>
  <c r="K2041" i="2"/>
  <c r="G2041" i="2"/>
  <c r="E2041" i="2"/>
  <c r="B2041" i="2"/>
  <c r="S2040" i="2"/>
  <c r="P2040" i="2"/>
  <c r="M2040" i="2"/>
  <c r="L2040" i="2"/>
  <c r="K2040" i="2"/>
  <c r="H2040" i="2"/>
  <c r="G2040" i="2"/>
  <c r="E2040" i="2"/>
  <c r="B2040" i="2"/>
  <c r="S2039" i="2"/>
  <c r="P2039" i="2"/>
  <c r="M2039" i="2"/>
  <c r="L2039" i="2"/>
  <c r="K2039" i="2"/>
  <c r="G2039" i="2"/>
  <c r="E2039" i="2"/>
  <c r="B2039" i="2"/>
  <c r="S2038" i="2"/>
  <c r="P2038" i="2"/>
  <c r="M2038" i="2"/>
  <c r="L2038" i="2"/>
  <c r="K2038" i="2"/>
  <c r="H2038" i="2"/>
  <c r="G2038" i="2"/>
  <c r="E2038" i="2"/>
  <c r="B2038" i="2"/>
  <c r="S2037" i="2"/>
  <c r="P2037" i="2"/>
  <c r="M2037" i="2"/>
  <c r="L2037" i="2"/>
  <c r="K2037" i="2"/>
  <c r="G2037" i="2"/>
  <c r="E2037" i="2"/>
  <c r="B2037" i="2"/>
  <c r="S2036" i="2"/>
  <c r="P2036" i="2"/>
  <c r="M2036" i="2"/>
  <c r="L2036" i="2"/>
  <c r="K2036" i="2"/>
  <c r="H2036" i="2"/>
  <c r="G2036" i="2"/>
  <c r="E2036" i="2"/>
  <c r="B2036" i="2"/>
  <c r="S2035" i="2"/>
  <c r="P2035" i="2"/>
  <c r="M2035" i="2"/>
  <c r="L2035" i="2"/>
  <c r="K2035" i="2"/>
  <c r="G2035" i="2"/>
  <c r="E2035" i="2"/>
  <c r="B2035" i="2"/>
  <c r="S2034" i="2"/>
  <c r="P2034" i="2"/>
  <c r="M2034" i="2"/>
  <c r="L2034" i="2"/>
  <c r="K2034" i="2"/>
  <c r="H2034" i="2"/>
  <c r="G2034" i="2"/>
  <c r="E2034" i="2"/>
  <c r="B2034" i="2"/>
  <c r="S2033" i="2"/>
  <c r="P2033" i="2"/>
  <c r="M2033" i="2"/>
  <c r="L2033" i="2"/>
  <c r="K2033" i="2"/>
  <c r="G2033" i="2"/>
  <c r="E2033" i="2"/>
  <c r="B2033" i="2"/>
  <c r="S2032" i="2"/>
  <c r="P2032" i="2"/>
  <c r="M2032" i="2"/>
  <c r="L2032" i="2"/>
  <c r="K2032" i="2"/>
  <c r="H2032" i="2"/>
  <c r="G2032" i="2"/>
  <c r="E2032" i="2"/>
  <c r="B2032" i="2"/>
  <c r="S2031" i="2"/>
  <c r="P2031" i="2"/>
  <c r="M2031" i="2"/>
  <c r="L2031" i="2"/>
  <c r="K2031" i="2"/>
  <c r="G2031" i="2"/>
  <c r="E2031" i="2"/>
  <c r="B2031" i="2"/>
  <c r="S2030" i="2"/>
  <c r="P2030" i="2"/>
  <c r="M2030" i="2"/>
  <c r="L2030" i="2"/>
  <c r="K2030" i="2"/>
  <c r="H2030" i="2"/>
  <c r="G2030" i="2"/>
  <c r="E2030" i="2"/>
  <c r="B2030" i="2"/>
  <c r="S2029" i="2"/>
  <c r="P2029" i="2"/>
  <c r="M2029" i="2"/>
  <c r="L2029" i="2"/>
  <c r="K2029" i="2"/>
  <c r="G2029" i="2"/>
  <c r="E2029" i="2"/>
  <c r="B2029" i="2"/>
  <c r="S2028" i="2"/>
  <c r="P2028" i="2"/>
  <c r="M2028" i="2"/>
  <c r="L2028" i="2"/>
  <c r="K2028" i="2"/>
  <c r="H2028" i="2"/>
  <c r="G2028" i="2"/>
  <c r="E2028" i="2"/>
  <c r="B2028" i="2"/>
  <c r="S2027" i="2"/>
  <c r="P2027" i="2"/>
  <c r="M2027" i="2"/>
  <c r="L2027" i="2"/>
  <c r="K2027" i="2"/>
  <c r="G2027" i="2"/>
  <c r="E2027" i="2"/>
  <c r="B2027" i="2"/>
  <c r="S2026" i="2"/>
  <c r="P2026" i="2"/>
  <c r="M2026" i="2"/>
  <c r="L2026" i="2"/>
  <c r="K2026" i="2"/>
  <c r="H2026" i="2"/>
  <c r="G2026" i="2"/>
  <c r="E2026" i="2"/>
  <c r="B2026" i="2"/>
  <c r="S2025" i="2"/>
  <c r="P2025" i="2"/>
  <c r="M2025" i="2"/>
  <c r="L2025" i="2"/>
  <c r="K2025" i="2"/>
  <c r="G2025" i="2"/>
  <c r="E2025" i="2"/>
  <c r="B2025" i="2"/>
  <c r="S2024" i="2"/>
  <c r="P2024" i="2"/>
  <c r="M2024" i="2"/>
  <c r="L2024" i="2"/>
  <c r="K2024" i="2"/>
  <c r="H2024" i="2"/>
  <c r="G2024" i="2"/>
  <c r="E2024" i="2"/>
  <c r="B2024" i="2"/>
  <c r="S2023" i="2"/>
  <c r="P2023" i="2"/>
  <c r="M2023" i="2"/>
  <c r="L2023" i="2"/>
  <c r="K2023" i="2"/>
  <c r="G2023" i="2"/>
  <c r="E2023" i="2"/>
  <c r="B2023" i="2"/>
  <c r="S2022" i="2"/>
  <c r="P2022" i="2"/>
  <c r="M2022" i="2"/>
  <c r="L2022" i="2"/>
  <c r="K2022" i="2"/>
  <c r="G2022" i="2"/>
  <c r="E2022" i="2"/>
  <c r="B2022" i="2"/>
  <c r="S2021" i="2"/>
  <c r="P2021" i="2"/>
  <c r="M2021" i="2"/>
  <c r="L2021" i="2"/>
  <c r="K2021" i="2"/>
  <c r="G2021" i="2"/>
  <c r="E2021" i="2"/>
  <c r="B2021" i="2"/>
  <c r="S2020" i="2"/>
  <c r="P2020" i="2"/>
  <c r="M2020" i="2"/>
  <c r="L2020" i="2"/>
  <c r="K2020" i="2"/>
  <c r="G2020" i="2"/>
  <c r="E2020" i="2"/>
  <c r="B2020" i="2"/>
  <c r="S2019" i="2"/>
  <c r="P2019" i="2"/>
  <c r="M2019" i="2"/>
  <c r="L2019" i="2"/>
  <c r="K2019" i="2"/>
  <c r="G2019" i="2"/>
  <c r="E2019" i="2"/>
  <c r="B2019" i="2"/>
  <c r="S2018" i="2"/>
  <c r="P2018" i="2"/>
  <c r="M2018" i="2"/>
  <c r="L2018" i="2"/>
  <c r="K2018" i="2"/>
  <c r="G2018" i="2"/>
  <c r="E2018" i="2"/>
  <c r="B2018" i="2"/>
  <c r="S2017" i="2"/>
  <c r="P2017" i="2"/>
  <c r="M2017" i="2"/>
  <c r="L2017" i="2"/>
  <c r="K2017" i="2"/>
  <c r="G2017" i="2"/>
  <c r="E2017" i="2"/>
  <c r="B2017" i="2"/>
  <c r="S2016" i="2"/>
  <c r="P2016" i="2"/>
  <c r="M2016" i="2"/>
  <c r="L2016" i="2"/>
  <c r="K2016" i="2"/>
  <c r="G2016" i="2"/>
  <c r="E2016" i="2"/>
  <c r="B2016" i="2"/>
  <c r="S2015" i="2"/>
  <c r="P2015" i="2"/>
  <c r="M2015" i="2"/>
  <c r="L2015" i="2"/>
  <c r="K2015" i="2"/>
  <c r="G2015" i="2"/>
  <c r="E2015" i="2"/>
  <c r="B2015" i="2"/>
  <c r="S2014" i="2"/>
  <c r="P2014" i="2"/>
  <c r="M2014" i="2"/>
  <c r="L2014" i="2"/>
  <c r="K2014" i="2"/>
  <c r="G2014" i="2"/>
  <c r="E2014" i="2"/>
  <c r="B2014" i="2"/>
  <c r="S2013" i="2"/>
  <c r="P2013" i="2"/>
  <c r="M2013" i="2"/>
  <c r="L2013" i="2"/>
  <c r="K2013" i="2"/>
  <c r="G2013" i="2"/>
  <c r="E2013" i="2"/>
  <c r="B2013" i="2"/>
  <c r="S2012" i="2"/>
  <c r="P2012" i="2"/>
  <c r="M2012" i="2"/>
  <c r="L2012" i="2"/>
  <c r="K2012" i="2"/>
  <c r="G2012" i="2"/>
  <c r="E2012" i="2"/>
  <c r="B2012" i="2"/>
  <c r="S2011" i="2"/>
  <c r="P2011" i="2"/>
  <c r="M2011" i="2"/>
  <c r="L2011" i="2"/>
  <c r="K2011" i="2"/>
  <c r="G2011" i="2"/>
  <c r="E2011" i="2"/>
  <c r="B2011" i="2"/>
  <c r="S2010" i="2"/>
  <c r="P2010" i="2"/>
  <c r="M2010" i="2"/>
  <c r="L2010" i="2"/>
  <c r="K2010" i="2"/>
  <c r="G2010" i="2"/>
  <c r="E2010" i="2"/>
  <c r="B2010" i="2"/>
  <c r="S2009" i="2"/>
  <c r="P2009" i="2"/>
  <c r="M2009" i="2"/>
  <c r="L2009" i="2"/>
  <c r="K2009" i="2"/>
  <c r="G2009" i="2"/>
  <c r="E2009" i="2"/>
  <c r="B2009" i="2"/>
  <c r="S2008" i="2"/>
  <c r="P2008" i="2"/>
  <c r="M2008" i="2"/>
  <c r="L2008" i="2"/>
  <c r="K2008" i="2"/>
  <c r="G2008" i="2"/>
  <c r="E2008" i="2"/>
  <c r="B2008" i="2"/>
  <c r="S2007" i="2"/>
  <c r="P2007" i="2"/>
  <c r="M2007" i="2"/>
  <c r="L2007" i="2"/>
  <c r="K2007" i="2"/>
  <c r="G2007" i="2"/>
  <c r="E2007" i="2"/>
  <c r="B2007" i="2"/>
  <c r="S2006" i="2"/>
  <c r="P2006" i="2"/>
  <c r="M2006" i="2"/>
  <c r="L2006" i="2"/>
  <c r="K2006" i="2"/>
  <c r="G2006" i="2"/>
  <c r="E2006" i="2"/>
  <c r="B2006" i="2"/>
  <c r="S2005" i="2"/>
  <c r="P2005" i="2"/>
  <c r="M2005" i="2"/>
  <c r="L2005" i="2"/>
  <c r="K2005" i="2"/>
  <c r="G2005" i="2"/>
  <c r="E2005" i="2"/>
  <c r="B2005" i="2"/>
  <c r="S2004" i="2"/>
  <c r="P2004" i="2"/>
  <c r="M2004" i="2"/>
  <c r="L2004" i="2"/>
  <c r="K2004" i="2"/>
  <c r="G2004" i="2"/>
  <c r="E2004" i="2"/>
  <c r="B2004" i="2"/>
  <c r="S2003" i="2"/>
  <c r="P2003" i="2"/>
  <c r="M2003" i="2"/>
  <c r="L2003" i="2"/>
  <c r="K2003" i="2"/>
  <c r="G2003" i="2"/>
  <c r="E2003" i="2"/>
  <c r="B2003" i="2"/>
  <c r="S2002" i="2"/>
  <c r="P2002" i="2"/>
  <c r="M2002" i="2"/>
  <c r="L2002" i="2"/>
  <c r="K2002" i="2"/>
  <c r="G2002" i="2"/>
  <c r="E2002" i="2"/>
  <c r="B2002" i="2"/>
  <c r="S2001" i="2"/>
  <c r="P2001" i="2"/>
  <c r="M2001" i="2"/>
  <c r="L2001" i="2"/>
  <c r="K2001" i="2"/>
  <c r="G2001" i="2"/>
  <c r="E2001" i="2"/>
  <c r="B2001" i="2"/>
  <c r="S2000" i="2"/>
  <c r="P2000" i="2"/>
  <c r="M2000" i="2"/>
  <c r="L2000" i="2"/>
  <c r="K2000" i="2"/>
  <c r="G2000" i="2"/>
  <c r="E2000" i="2"/>
  <c r="B2000" i="2"/>
  <c r="S1999" i="2"/>
  <c r="P1999" i="2"/>
  <c r="M1999" i="2"/>
  <c r="L1999" i="2"/>
  <c r="K1999" i="2"/>
  <c r="G1999" i="2"/>
  <c r="E1999" i="2"/>
  <c r="B1999" i="2"/>
  <c r="S1998" i="2"/>
  <c r="P1998" i="2"/>
  <c r="M1998" i="2"/>
  <c r="L1998" i="2"/>
  <c r="K1998" i="2"/>
  <c r="G1998" i="2"/>
  <c r="E1998" i="2"/>
  <c r="B1998" i="2"/>
  <c r="S1997" i="2"/>
  <c r="P1997" i="2"/>
  <c r="M1997" i="2"/>
  <c r="L1997" i="2"/>
  <c r="K1997" i="2"/>
  <c r="G1997" i="2"/>
  <c r="E1997" i="2"/>
  <c r="B1997" i="2"/>
  <c r="S1996" i="2"/>
  <c r="P1996" i="2"/>
  <c r="M1996" i="2"/>
  <c r="L1996" i="2"/>
  <c r="K1996" i="2"/>
  <c r="G1996" i="2"/>
  <c r="E1996" i="2"/>
  <c r="B1996" i="2"/>
  <c r="S1995" i="2"/>
  <c r="P1995" i="2"/>
  <c r="M1995" i="2"/>
  <c r="L1995" i="2"/>
  <c r="K1995" i="2"/>
  <c r="G1995" i="2"/>
  <c r="E1995" i="2"/>
  <c r="B1995" i="2"/>
  <c r="S1994" i="2"/>
  <c r="P1994" i="2"/>
  <c r="M1994" i="2"/>
  <c r="L1994" i="2"/>
  <c r="K1994" i="2"/>
  <c r="G1994" i="2"/>
  <c r="E1994" i="2"/>
  <c r="B1994" i="2"/>
  <c r="S1993" i="2"/>
  <c r="P1993" i="2"/>
  <c r="M1993" i="2"/>
  <c r="L1993" i="2"/>
  <c r="K1993" i="2"/>
  <c r="G1993" i="2"/>
  <c r="E1993" i="2"/>
  <c r="B1993" i="2"/>
  <c r="S1992" i="2"/>
  <c r="P1992" i="2"/>
  <c r="M1992" i="2"/>
  <c r="L1992" i="2"/>
  <c r="K1992" i="2"/>
  <c r="G1992" i="2"/>
  <c r="E1992" i="2"/>
  <c r="B1992" i="2"/>
  <c r="S1991" i="2"/>
  <c r="P1991" i="2"/>
  <c r="M1991" i="2"/>
  <c r="L1991" i="2"/>
  <c r="K1991" i="2"/>
  <c r="G1991" i="2"/>
  <c r="E1991" i="2"/>
  <c r="B1991" i="2"/>
  <c r="S1990" i="2"/>
  <c r="P1990" i="2"/>
  <c r="M1990" i="2"/>
  <c r="L1990" i="2"/>
  <c r="K1990" i="2"/>
  <c r="G1990" i="2"/>
  <c r="E1990" i="2"/>
  <c r="B1990" i="2"/>
  <c r="S1989" i="2"/>
  <c r="P1989" i="2"/>
  <c r="M1989" i="2"/>
  <c r="L1989" i="2"/>
  <c r="K1989" i="2"/>
  <c r="G1989" i="2"/>
  <c r="E1989" i="2"/>
  <c r="B1989" i="2"/>
  <c r="S1988" i="2"/>
  <c r="P1988" i="2"/>
  <c r="M1988" i="2"/>
  <c r="L1988" i="2"/>
  <c r="K1988" i="2"/>
  <c r="G1988" i="2"/>
  <c r="E1988" i="2"/>
  <c r="B1988" i="2"/>
  <c r="S1987" i="2"/>
  <c r="P1987" i="2"/>
  <c r="M1987" i="2"/>
  <c r="L1987" i="2"/>
  <c r="K1987" i="2"/>
  <c r="G1987" i="2"/>
  <c r="E1987" i="2"/>
  <c r="B1987" i="2"/>
  <c r="S1986" i="2"/>
  <c r="P1986" i="2"/>
  <c r="M1986" i="2"/>
  <c r="L1986" i="2"/>
  <c r="K1986" i="2"/>
  <c r="G1986" i="2"/>
  <c r="E1986" i="2"/>
  <c r="B1986" i="2"/>
  <c r="S1985" i="2"/>
  <c r="P1985" i="2"/>
  <c r="M1985" i="2"/>
  <c r="L1985" i="2"/>
  <c r="K1985" i="2"/>
  <c r="G1985" i="2"/>
  <c r="E1985" i="2"/>
  <c r="B1985" i="2"/>
  <c r="S1984" i="2"/>
  <c r="P1984" i="2"/>
  <c r="M1984" i="2"/>
  <c r="L1984" i="2"/>
  <c r="K1984" i="2"/>
  <c r="G1984" i="2"/>
  <c r="E1984" i="2"/>
  <c r="B1984" i="2"/>
  <c r="S1983" i="2"/>
  <c r="P1983" i="2"/>
  <c r="M1983" i="2"/>
  <c r="L1983" i="2"/>
  <c r="K1983" i="2"/>
  <c r="G1983" i="2"/>
  <c r="E1983" i="2"/>
  <c r="B1983" i="2"/>
  <c r="S1982" i="2"/>
  <c r="P1982" i="2"/>
  <c r="M1982" i="2"/>
  <c r="L1982" i="2"/>
  <c r="K1982" i="2"/>
  <c r="G1982" i="2"/>
  <c r="E1982" i="2"/>
  <c r="B1982" i="2"/>
  <c r="S1981" i="2"/>
  <c r="P1981" i="2"/>
  <c r="M1981" i="2"/>
  <c r="L1981" i="2"/>
  <c r="K1981" i="2"/>
  <c r="G1981" i="2"/>
  <c r="E1981" i="2"/>
  <c r="B1981" i="2"/>
  <c r="S1980" i="2"/>
  <c r="P1980" i="2"/>
  <c r="M1980" i="2"/>
  <c r="L1980" i="2"/>
  <c r="K1980" i="2"/>
  <c r="G1980" i="2"/>
  <c r="E1980" i="2"/>
  <c r="B1980" i="2"/>
  <c r="S1979" i="2"/>
  <c r="P1979" i="2"/>
  <c r="M1979" i="2"/>
  <c r="L1979" i="2"/>
  <c r="K1979" i="2"/>
  <c r="G1979" i="2"/>
  <c r="E1979" i="2"/>
  <c r="B1979" i="2"/>
  <c r="S1978" i="2"/>
  <c r="P1978" i="2"/>
  <c r="M1978" i="2"/>
  <c r="L1978" i="2"/>
  <c r="K1978" i="2"/>
  <c r="G1978" i="2"/>
  <c r="E1978" i="2"/>
  <c r="B1978" i="2"/>
  <c r="S1977" i="2"/>
  <c r="P1977" i="2"/>
  <c r="M1977" i="2"/>
  <c r="L1977" i="2"/>
  <c r="K1977" i="2"/>
  <c r="G1977" i="2"/>
  <c r="E1977" i="2"/>
  <c r="B1977" i="2"/>
  <c r="S1976" i="2"/>
  <c r="P1976" i="2"/>
  <c r="M1976" i="2"/>
  <c r="L1976" i="2"/>
  <c r="K1976" i="2"/>
  <c r="G1976" i="2"/>
  <c r="E1976" i="2"/>
  <c r="B1976" i="2"/>
  <c r="S1975" i="2"/>
  <c r="P1975" i="2"/>
  <c r="M1975" i="2"/>
  <c r="L1975" i="2"/>
  <c r="K1975" i="2"/>
  <c r="G1975" i="2"/>
  <c r="E1975" i="2"/>
  <c r="B1975" i="2"/>
  <c r="S1974" i="2"/>
  <c r="P1974" i="2"/>
  <c r="M1974" i="2"/>
  <c r="L1974" i="2"/>
  <c r="K1974" i="2"/>
  <c r="G1974" i="2"/>
  <c r="E1974" i="2"/>
  <c r="B1974" i="2"/>
  <c r="S1973" i="2"/>
  <c r="P1973" i="2"/>
  <c r="M1973" i="2"/>
  <c r="L1973" i="2"/>
  <c r="K1973" i="2"/>
  <c r="G1973" i="2"/>
  <c r="E1973" i="2"/>
  <c r="B1973" i="2"/>
  <c r="S1972" i="2"/>
  <c r="P1972" i="2"/>
  <c r="M1972" i="2"/>
  <c r="L1972" i="2"/>
  <c r="K1972" i="2"/>
  <c r="G1972" i="2"/>
  <c r="E1972" i="2"/>
  <c r="B1972" i="2"/>
  <c r="S1971" i="2"/>
  <c r="P1971" i="2"/>
  <c r="M1971" i="2"/>
  <c r="L1971" i="2"/>
  <c r="K1971" i="2"/>
  <c r="G1971" i="2"/>
  <c r="E1971" i="2"/>
  <c r="B1971" i="2"/>
  <c r="S1970" i="2"/>
  <c r="P1970" i="2"/>
  <c r="M1970" i="2"/>
  <c r="L1970" i="2"/>
  <c r="K1970" i="2"/>
  <c r="G1970" i="2"/>
  <c r="E1970" i="2"/>
  <c r="B1970" i="2"/>
  <c r="S1969" i="2"/>
  <c r="P1969" i="2"/>
  <c r="M1969" i="2"/>
  <c r="L1969" i="2"/>
  <c r="K1969" i="2"/>
  <c r="G1969" i="2"/>
  <c r="E1969" i="2"/>
  <c r="B1969" i="2"/>
  <c r="S1968" i="2"/>
  <c r="P1968" i="2"/>
  <c r="M1968" i="2"/>
  <c r="L1968" i="2"/>
  <c r="K1968" i="2"/>
  <c r="G1968" i="2"/>
  <c r="E1968" i="2"/>
  <c r="B1968" i="2"/>
  <c r="S1967" i="2"/>
  <c r="P1967" i="2"/>
  <c r="M1967" i="2"/>
  <c r="L1967" i="2"/>
  <c r="K1967" i="2"/>
  <c r="G1967" i="2"/>
  <c r="E1967" i="2"/>
  <c r="B1967" i="2"/>
  <c r="S1966" i="2"/>
  <c r="P1966" i="2"/>
  <c r="M1966" i="2"/>
  <c r="L1966" i="2"/>
  <c r="K1966" i="2"/>
  <c r="G1966" i="2"/>
  <c r="E1966" i="2"/>
  <c r="B1966" i="2"/>
  <c r="S1965" i="2"/>
  <c r="P1965" i="2"/>
  <c r="M1965" i="2"/>
  <c r="L1965" i="2"/>
  <c r="K1965" i="2"/>
  <c r="G1965" i="2"/>
  <c r="E1965" i="2"/>
  <c r="B1965" i="2"/>
  <c r="S1964" i="2"/>
  <c r="P1964" i="2"/>
  <c r="M1964" i="2"/>
  <c r="L1964" i="2"/>
  <c r="K1964" i="2"/>
  <c r="G1964" i="2"/>
  <c r="E1964" i="2"/>
  <c r="B1964" i="2"/>
  <c r="S1963" i="2"/>
  <c r="P1963" i="2"/>
  <c r="M1963" i="2"/>
  <c r="L1963" i="2"/>
  <c r="K1963" i="2"/>
  <c r="G1963" i="2"/>
  <c r="E1963" i="2"/>
  <c r="B1963" i="2"/>
  <c r="S1962" i="2"/>
  <c r="P1962" i="2"/>
  <c r="M1962" i="2"/>
  <c r="L1962" i="2"/>
  <c r="K1962" i="2"/>
  <c r="H1962" i="2"/>
  <c r="G1962" i="2"/>
  <c r="E1962" i="2"/>
  <c r="B1962" i="2"/>
  <c r="S1961" i="2"/>
  <c r="P1961" i="2"/>
  <c r="M1961" i="2"/>
  <c r="L1961" i="2"/>
  <c r="K1961" i="2"/>
  <c r="G1961" i="2"/>
  <c r="E1961" i="2"/>
  <c r="B1961" i="2"/>
  <c r="S1960" i="2"/>
  <c r="P1960" i="2"/>
  <c r="M1960" i="2"/>
  <c r="L1960" i="2"/>
  <c r="K1960" i="2"/>
  <c r="G1960" i="2"/>
  <c r="E1960" i="2"/>
  <c r="B1960" i="2"/>
  <c r="S1959" i="2"/>
  <c r="P1959" i="2"/>
  <c r="M1959" i="2"/>
  <c r="L1959" i="2"/>
  <c r="K1959" i="2"/>
  <c r="G1959" i="2"/>
  <c r="E1959" i="2"/>
  <c r="B1959" i="2"/>
  <c r="S1958" i="2"/>
  <c r="P1958" i="2"/>
  <c r="M1958" i="2"/>
  <c r="L1958" i="2"/>
  <c r="K1958" i="2"/>
  <c r="G1958" i="2"/>
  <c r="E1958" i="2"/>
  <c r="B1958" i="2"/>
  <c r="S1957" i="2"/>
  <c r="P1957" i="2"/>
  <c r="M1957" i="2"/>
  <c r="L1957" i="2"/>
  <c r="K1957" i="2"/>
  <c r="G1957" i="2"/>
  <c r="E1957" i="2"/>
  <c r="B1957" i="2"/>
  <c r="S1956" i="2"/>
  <c r="P1956" i="2"/>
  <c r="M1956" i="2"/>
  <c r="L1956" i="2"/>
  <c r="K1956" i="2"/>
  <c r="G1956" i="2"/>
  <c r="E1956" i="2"/>
  <c r="B1956" i="2"/>
  <c r="S1955" i="2"/>
  <c r="P1955" i="2"/>
  <c r="M1955" i="2"/>
  <c r="L1955" i="2"/>
  <c r="K1955" i="2"/>
  <c r="G1955" i="2"/>
  <c r="E1955" i="2"/>
  <c r="B1955" i="2"/>
  <c r="S1954" i="2"/>
  <c r="P1954" i="2"/>
  <c r="M1954" i="2"/>
  <c r="L1954" i="2"/>
  <c r="K1954" i="2"/>
  <c r="G1954" i="2"/>
  <c r="E1954" i="2"/>
  <c r="B1954" i="2"/>
  <c r="S1953" i="2"/>
  <c r="P1953" i="2"/>
  <c r="M1953" i="2"/>
  <c r="L1953" i="2"/>
  <c r="K1953" i="2"/>
  <c r="G1953" i="2"/>
  <c r="E1953" i="2"/>
  <c r="B1953" i="2"/>
  <c r="S1952" i="2"/>
  <c r="P1952" i="2"/>
  <c r="M1952" i="2"/>
  <c r="L1952" i="2"/>
  <c r="K1952" i="2"/>
  <c r="G1952" i="2"/>
  <c r="E1952" i="2"/>
  <c r="B1952" i="2"/>
  <c r="S1951" i="2"/>
  <c r="P1951" i="2"/>
  <c r="M1951" i="2"/>
  <c r="L1951" i="2"/>
  <c r="K1951" i="2"/>
  <c r="G1951" i="2"/>
  <c r="E1951" i="2"/>
  <c r="B1951" i="2"/>
  <c r="S1950" i="2"/>
  <c r="P1950" i="2"/>
  <c r="M1950" i="2"/>
  <c r="L1950" i="2"/>
  <c r="K1950" i="2"/>
  <c r="G1950" i="2"/>
  <c r="E1950" i="2"/>
  <c r="B1950" i="2"/>
  <c r="S1949" i="2"/>
  <c r="P1949" i="2"/>
  <c r="M1949" i="2"/>
  <c r="L1949" i="2"/>
  <c r="K1949" i="2"/>
  <c r="G1949" i="2"/>
  <c r="E1949" i="2"/>
  <c r="B1949" i="2"/>
  <c r="S1948" i="2"/>
  <c r="P1948" i="2"/>
  <c r="M1948" i="2"/>
  <c r="L1948" i="2"/>
  <c r="K1948" i="2"/>
  <c r="G1948" i="2"/>
  <c r="E1948" i="2"/>
  <c r="B1948" i="2"/>
  <c r="S1947" i="2"/>
  <c r="P1947" i="2"/>
  <c r="M1947" i="2"/>
  <c r="L1947" i="2"/>
  <c r="K1947" i="2"/>
  <c r="G1947" i="2"/>
  <c r="E1947" i="2"/>
  <c r="B1947" i="2"/>
  <c r="S1946" i="2"/>
  <c r="P1946" i="2"/>
  <c r="M1946" i="2"/>
  <c r="L1946" i="2"/>
  <c r="K1946" i="2"/>
  <c r="G1946" i="2"/>
  <c r="E1946" i="2"/>
  <c r="B1946" i="2"/>
  <c r="S1945" i="2"/>
  <c r="P1945" i="2"/>
  <c r="M1945" i="2"/>
  <c r="L1945" i="2"/>
  <c r="K1945" i="2"/>
  <c r="G1945" i="2"/>
  <c r="E1945" i="2"/>
  <c r="B1945" i="2"/>
  <c r="S1944" i="2"/>
  <c r="P1944" i="2"/>
  <c r="M1944" i="2"/>
  <c r="L1944" i="2"/>
  <c r="K1944" i="2"/>
  <c r="G1944" i="2"/>
  <c r="E1944" i="2"/>
  <c r="B1944" i="2"/>
  <c r="S1943" i="2"/>
  <c r="P1943" i="2"/>
  <c r="M1943" i="2"/>
  <c r="L1943" i="2"/>
  <c r="K1943" i="2"/>
  <c r="G1943" i="2"/>
  <c r="E1943" i="2"/>
  <c r="B1943" i="2"/>
  <c r="S1942" i="2"/>
  <c r="P1942" i="2"/>
  <c r="M1942" i="2"/>
  <c r="L1942" i="2"/>
  <c r="K1942" i="2"/>
  <c r="G1942" i="2"/>
  <c r="E1942" i="2"/>
  <c r="B1942" i="2"/>
  <c r="S1941" i="2"/>
  <c r="P1941" i="2"/>
  <c r="M1941" i="2"/>
  <c r="L1941" i="2"/>
  <c r="K1941" i="2"/>
  <c r="G1941" i="2"/>
  <c r="E1941" i="2"/>
  <c r="B1941" i="2"/>
  <c r="S1940" i="2"/>
  <c r="P1940" i="2"/>
  <c r="M1940" i="2"/>
  <c r="L1940" i="2"/>
  <c r="K1940" i="2"/>
  <c r="G1940" i="2"/>
  <c r="E1940" i="2"/>
  <c r="B1940" i="2"/>
  <c r="S1939" i="2"/>
  <c r="P1939" i="2"/>
  <c r="M1939" i="2"/>
  <c r="L1939" i="2"/>
  <c r="K1939" i="2"/>
  <c r="G1939" i="2"/>
  <c r="E1939" i="2"/>
  <c r="B1939" i="2"/>
  <c r="S1938" i="2"/>
  <c r="P1938" i="2"/>
  <c r="M1938" i="2"/>
  <c r="L1938" i="2"/>
  <c r="K1938" i="2"/>
  <c r="G1938" i="2"/>
  <c r="E1938" i="2"/>
  <c r="B1938" i="2"/>
  <c r="S1937" i="2"/>
  <c r="P1937" i="2"/>
  <c r="M1937" i="2"/>
  <c r="L1937" i="2"/>
  <c r="K1937" i="2"/>
  <c r="G1937" i="2"/>
  <c r="E1937" i="2"/>
  <c r="B1937" i="2"/>
  <c r="S1936" i="2"/>
  <c r="P1936" i="2"/>
  <c r="M1936" i="2"/>
  <c r="L1936" i="2"/>
  <c r="K1936" i="2"/>
  <c r="G1936" i="2"/>
  <c r="E1936" i="2"/>
  <c r="B1936" i="2"/>
  <c r="S1935" i="2"/>
  <c r="P1935" i="2"/>
  <c r="M1935" i="2"/>
  <c r="L1935" i="2"/>
  <c r="K1935" i="2"/>
  <c r="G1935" i="2"/>
  <c r="E1935" i="2"/>
  <c r="B1935" i="2"/>
  <c r="S1934" i="2"/>
  <c r="P1934" i="2"/>
  <c r="M1934" i="2"/>
  <c r="L1934" i="2"/>
  <c r="K1934" i="2"/>
  <c r="G1934" i="2"/>
  <c r="E1934" i="2"/>
  <c r="B1934" i="2"/>
  <c r="S1933" i="2"/>
  <c r="P1933" i="2"/>
  <c r="M1933" i="2"/>
  <c r="L1933" i="2"/>
  <c r="K1933" i="2"/>
  <c r="G1933" i="2"/>
  <c r="E1933" i="2"/>
  <c r="B1933" i="2"/>
  <c r="S1932" i="2"/>
  <c r="P1932" i="2"/>
  <c r="M1932" i="2"/>
  <c r="L1932" i="2"/>
  <c r="K1932" i="2"/>
  <c r="G1932" i="2"/>
  <c r="E1932" i="2"/>
  <c r="B1932" i="2"/>
  <c r="S1931" i="2"/>
  <c r="P1931" i="2"/>
  <c r="M1931" i="2"/>
  <c r="L1931" i="2"/>
  <c r="K1931" i="2"/>
  <c r="G1931" i="2"/>
  <c r="E1931" i="2"/>
  <c r="B1931" i="2"/>
  <c r="S1930" i="2"/>
  <c r="P1930" i="2"/>
  <c r="M1930" i="2"/>
  <c r="L1930" i="2"/>
  <c r="K1930" i="2"/>
  <c r="G1930" i="2"/>
  <c r="E1930" i="2"/>
  <c r="B1930" i="2"/>
  <c r="S1929" i="2"/>
  <c r="P1929" i="2"/>
  <c r="M1929" i="2"/>
  <c r="L1929" i="2"/>
  <c r="K1929" i="2"/>
  <c r="G1929" i="2"/>
  <c r="E1929" i="2"/>
  <c r="B1929" i="2"/>
  <c r="S1928" i="2"/>
  <c r="P1928" i="2"/>
  <c r="M1928" i="2"/>
  <c r="L1928" i="2"/>
  <c r="K1928" i="2"/>
  <c r="G1928" i="2"/>
  <c r="E1928" i="2"/>
  <c r="B1928" i="2"/>
  <c r="S1927" i="2"/>
  <c r="P1927" i="2"/>
  <c r="M1927" i="2"/>
  <c r="L1927" i="2"/>
  <c r="K1927" i="2"/>
  <c r="G1927" i="2"/>
  <c r="E1927" i="2"/>
  <c r="B1927" i="2"/>
  <c r="S1926" i="2"/>
  <c r="P1926" i="2"/>
  <c r="M1926" i="2"/>
  <c r="L1926" i="2"/>
  <c r="K1926" i="2"/>
  <c r="G1926" i="2"/>
  <c r="E1926" i="2"/>
  <c r="B1926" i="2"/>
  <c r="S1925" i="2"/>
  <c r="P1925" i="2"/>
  <c r="M1925" i="2"/>
  <c r="L1925" i="2"/>
  <c r="K1925" i="2"/>
  <c r="G1925" i="2"/>
  <c r="E1925" i="2"/>
  <c r="B1925" i="2"/>
  <c r="S1924" i="2"/>
  <c r="P1924" i="2"/>
  <c r="M1924" i="2"/>
  <c r="L1924" i="2"/>
  <c r="K1924" i="2"/>
  <c r="G1924" i="2"/>
  <c r="E1924" i="2"/>
  <c r="B1924" i="2"/>
  <c r="S1923" i="2"/>
  <c r="P1923" i="2"/>
  <c r="M1923" i="2"/>
  <c r="L1923" i="2"/>
  <c r="K1923" i="2"/>
  <c r="G1923" i="2"/>
  <c r="E1923" i="2"/>
  <c r="B1923" i="2"/>
  <c r="S1922" i="2"/>
  <c r="P1922" i="2"/>
  <c r="M1922" i="2"/>
  <c r="L1922" i="2"/>
  <c r="K1922" i="2"/>
  <c r="G1922" i="2"/>
  <c r="E1922" i="2"/>
  <c r="B1922" i="2"/>
  <c r="S1921" i="2"/>
  <c r="P1921" i="2"/>
  <c r="M1921" i="2"/>
  <c r="L1921" i="2"/>
  <c r="K1921" i="2"/>
  <c r="G1921" i="2"/>
  <c r="E1921" i="2"/>
  <c r="B1921" i="2"/>
  <c r="S1920" i="2"/>
  <c r="P1920" i="2"/>
  <c r="M1920" i="2"/>
  <c r="L1920" i="2"/>
  <c r="K1920" i="2"/>
  <c r="G1920" i="2"/>
  <c r="E1920" i="2"/>
  <c r="B1920" i="2"/>
  <c r="S1919" i="2"/>
  <c r="P1919" i="2"/>
  <c r="M1919" i="2"/>
  <c r="L1919" i="2"/>
  <c r="K1919" i="2"/>
  <c r="G1919" i="2"/>
  <c r="E1919" i="2"/>
  <c r="B1919" i="2"/>
  <c r="S1918" i="2"/>
  <c r="P1918" i="2"/>
  <c r="M1918" i="2"/>
  <c r="L1918" i="2"/>
  <c r="K1918" i="2"/>
  <c r="G1918" i="2"/>
  <c r="E1918" i="2"/>
  <c r="B1918" i="2"/>
  <c r="S1917" i="2"/>
  <c r="P1917" i="2"/>
  <c r="M1917" i="2"/>
  <c r="L1917" i="2"/>
  <c r="K1917" i="2"/>
  <c r="G1917" i="2"/>
  <c r="E1917" i="2"/>
  <c r="B1917" i="2"/>
  <c r="S1916" i="2"/>
  <c r="P1916" i="2"/>
  <c r="M1916" i="2"/>
  <c r="L1916" i="2"/>
  <c r="K1916" i="2"/>
  <c r="G1916" i="2"/>
  <c r="E1916" i="2"/>
  <c r="B1916" i="2"/>
  <c r="S1915" i="2"/>
  <c r="P1915" i="2"/>
  <c r="M1915" i="2"/>
  <c r="L1915" i="2"/>
  <c r="K1915" i="2"/>
  <c r="G1915" i="2"/>
  <c r="E1915" i="2"/>
  <c r="B1915" i="2"/>
  <c r="S1914" i="2"/>
  <c r="P1914" i="2"/>
  <c r="M1914" i="2"/>
  <c r="L1914" i="2"/>
  <c r="K1914" i="2"/>
  <c r="G1914" i="2"/>
  <c r="E1914" i="2"/>
  <c r="B1914" i="2"/>
  <c r="S1913" i="2"/>
  <c r="P1913" i="2"/>
  <c r="M1913" i="2"/>
  <c r="L1913" i="2"/>
  <c r="K1913" i="2"/>
  <c r="G1913" i="2"/>
  <c r="E1913" i="2"/>
  <c r="B1913" i="2"/>
  <c r="S1912" i="2"/>
  <c r="P1912" i="2"/>
  <c r="M1912" i="2"/>
  <c r="L1912" i="2"/>
  <c r="K1912" i="2"/>
  <c r="G1912" i="2"/>
  <c r="E1912" i="2"/>
  <c r="B1912" i="2"/>
  <c r="S1911" i="2"/>
  <c r="P1911" i="2"/>
  <c r="M1911" i="2"/>
  <c r="L1911" i="2"/>
  <c r="K1911" i="2"/>
  <c r="G1911" i="2"/>
  <c r="E1911" i="2"/>
  <c r="B1911" i="2"/>
  <c r="S1910" i="2"/>
  <c r="P1910" i="2"/>
  <c r="M1910" i="2"/>
  <c r="L1910" i="2"/>
  <c r="K1910" i="2"/>
  <c r="G1910" i="2"/>
  <c r="E1910" i="2"/>
  <c r="B1910" i="2"/>
  <c r="S1909" i="2"/>
  <c r="P1909" i="2"/>
  <c r="M1909" i="2"/>
  <c r="L1909" i="2"/>
  <c r="K1909" i="2"/>
  <c r="G1909" i="2"/>
  <c r="E1909" i="2"/>
  <c r="B1909" i="2"/>
  <c r="S1908" i="2"/>
  <c r="P1908" i="2"/>
  <c r="M1908" i="2"/>
  <c r="L1908" i="2"/>
  <c r="K1908" i="2"/>
  <c r="G1908" i="2"/>
  <c r="E1908" i="2"/>
  <c r="B1908" i="2"/>
  <c r="S1907" i="2"/>
  <c r="P1907" i="2"/>
  <c r="M1907" i="2"/>
  <c r="L1907" i="2"/>
  <c r="K1907" i="2"/>
  <c r="G1907" i="2"/>
  <c r="E1907" i="2"/>
  <c r="B1907" i="2"/>
  <c r="S1906" i="2"/>
  <c r="P1906" i="2"/>
  <c r="M1906" i="2"/>
  <c r="L1906" i="2"/>
  <c r="K1906" i="2"/>
  <c r="G1906" i="2"/>
  <c r="E1906" i="2"/>
  <c r="B1906" i="2"/>
  <c r="S1905" i="2"/>
  <c r="P1905" i="2"/>
  <c r="M1905" i="2"/>
  <c r="L1905" i="2"/>
  <c r="K1905" i="2"/>
  <c r="G1905" i="2"/>
  <c r="E1905" i="2"/>
  <c r="B1905" i="2"/>
  <c r="S1904" i="2"/>
  <c r="P1904" i="2"/>
  <c r="M1904" i="2"/>
  <c r="L1904" i="2"/>
  <c r="K1904" i="2"/>
  <c r="G1904" i="2"/>
  <c r="E1904" i="2"/>
  <c r="B1904" i="2"/>
  <c r="P1903" i="2"/>
  <c r="M1903" i="2"/>
  <c r="L1903" i="2"/>
  <c r="K1903" i="2"/>
  <c r="G1903" i="2"/>
  <c r="E1903" i="2"/>
  <c r="S1902" i="2"/>
  <c r="P1902" i="2"/>
  <c r="M1902" i="2"/>
  <c r="L1902" i="2"/>
  <c r="K1902" i="2"/>
  <c r="G1902" i="2"/>
  <c r="E1902" i="2"/>
  <c r="B1902" i="2"/>
  <c r="S1901" i="2"/>
  <c r="P1901" i="2"/>
  <c r="M1901" i="2"/>
  <c r="L1901" i="2"/>
  <c r="K1901" i="2"/>
  <c r="G1901" i="2"/>
  <c r="E1901" i="2"/>
  <c r="B1901" i="2"/>
  <c r="S1900" i="2"/>
  <c r="P1900" i="2"/>
  <c r="M1900" i="2"/>
  <c r="L1900" i="2"/>
  <c r="K1900" i="2"/>
  <c r="G1900" i="2"/>
  <c r="E1900" i="2"/>
  <c r="B1900" i="2"/>
  <c r="S1899" i="2"/>
  <c r="P1899" i="2"/>
  <c r="M1899" i="2"/>
  <c r="L1899" i="2"/>
  <c r="K1899" i="2"/>
  <c r="G1899" i="2"/>
  <c r="E1899" i="2"/>
  <c r="B1899" i="2"/>
  <c r="S1898" i="2"/>
  <c r="P1898" i="2"/>
  <c r="M1898" i="2"/>
  <c r="L1898" i="2"/>
  <c r="K1898" i="2"/>
  <c r="G1898" i="2"/>
  <c r="E1898" i="2"/>
  <c r="B1898" i="2"/>
  <c r="S1897" i="2"/>
  <c r="P1897" i="2"/>
  <c r="M1897" i="2"/>
  <c r="L1897" i="2"/>
  <c r="K1897" i="2"/>
  <c r="G1897" i="2"/>
  <c r="E1897" i="2"/>
  <c r="B1897" i="2"/>
  <c r="S1896" i="2"/>
  <c r="P1896" i="2"/>
  <c r="M1896" i="2"/>
  <c r="L1896" i="2"/>
  <c r="K1896" i="2"/>
  <c r="G1896" i="2"/>
  <c r="E1896" i="2"/>
  <c r="B1896" i="2"/>
  <c r="S1895" i="2"/>
  <c r="P1895" i="2"/>
  <c r="M1895" i="2"/>
  <c r="L1895" i="2"/>
  <c r="K1895" i="2"/>
  <c r="G1895" i="2"/>
  <c r="E1895" i="2"/>
  <c r="B1895" i="2"/>
  <c r="S1894" i="2"/>
  <c r="P1894" i="2"/>
  <c r="M1894" i="2"/>
  <c r="L1894" i="2"/>
  <c r="K1894" i="2"/>
  <c r="G1894" i="2"/>
  <c r="E1894" i="2"/>
  <c r="B1894" i="2"/>
  <c r="S1893" i="2"/>
  <c r="P1893" i="2"/>
  <c r="M1893" i="2"/>
  <c r="L1893" i="2"/>
  <c r="K1893" i="2"/>
  <c r="G1893" i="2"/>
  <c r="E1893" i="2"/>
  <c r="B1893" i="2"/>
  <c r="S1892" i="2"/>
  <c r="P1892" i="2"/>
  <c r="M1892" i="2"/>
  <c r="L1892" i="2"/>
  <c r="K1892" i="2"/>
  <c r="G1892" i="2"/>
  <c r="E1892" i="2"/>
  <c r="B1892" i="2"/>
  <c r="S1891" i="2"/>
  <c r="P1891" i="2"/>
  <c r="M1891" i="2"/>
  <c r="L1891" i="2"/>
  <c r="K1891" i="2"/>
  <c r="G1891" i="2"/>
  <c r="E1891" i="2"/>
  <c r="B1891" i="2"/>
  <c r="S1890" i="2"/>
  <c r="P1890" i="2"/>
  <c r="M1890" i="2"/>
  <c r="L1890" i="2"/>
  <c r="K1890" i="2"/>
  <c r="G1890" i="2"/>
  <c r="E1890" i="2"/>
  <c r="B1890" i="2"/>
  <c r="S1889" i="2"/>
  <c r="P1889" i="2"/>
  <c r="M1889" i="2"/>
  <c r="L1889" i="2"/>
  <c r="K1889" i="2"/>
  <c r="G1889" i="2"/>
  <c r="E1889" i="2"/>
  <c r="B1889" i="2"/>
  <c r="S1888" i="2"/>
  <c r="P1888" i="2"/>
  <c r="M1888" i="2"/>
  <c r="L1888" i="2"/>
  <c r="K1888" i="2"/>
  <c r="G1888" i="2"/>
  <c r="E1888" i="2"/>
  <c r="B1888" i="2"/>
  <c r="S1887" i="2"/>
  <c r="P1887" i="2"/>
  <c r="M1887" i="2"/>
  <c r="L1887" i="2"/>
  <c r="K1887" i="2"/>
  <c r="G1887" i="2"/>
  <c r="E1887" i="2"/>
  <c r="B1887" i="2"/>
  <c r="S1886" i="2"/>
  <c r="P1886" i="2"/>
  <c r="M1886" i="2"/>
  <c r="L1886" i="2"/>
  <c r="K1886" i="2"/>
  <c r="G1886" i="2"/>
  <c r="E1886" i="2"/>
  <c r="B1886" i="2"/>
  <c r="S1885" i="2"/>
  <c r="P1885" i="2"/>
  <c r="M1885" i="2"/>
  <c r="L1885" i="2"/>
  <c r="K1885" i="2"/>
  <c r="G1885" i="2"/>
  <c r="E1885" i="2"/>
  <c r="B1885" i="2"/>
  <c r="S1884" i="2"/>
  <c r="P1884" i="2"/>
  <c r="M1884" i="2"/>
  <c r="L1884" i="2"/>
  <c r="K1884" i="2"/>
  <c r="G1884" i="2"/>
  <c r="E1884" i="2"/>
  <c r="B1884" i="2"/>
  <c r="S1883" i="2"/>
  <c r="P1883" i="2"/>
  <c r="M1883" i="2"/>
  <c r="L1883" i="2"/>
  <c r="K1883" i="2"/>
  <c r="G1883" i="2"/>
  <c r="E1883" i="2"/>
  <c r="B1883" i="2"/>
  <c r="S1882" i="2"/>
  <c r="P1882" i="2"/>
  <c r="M1882" i="2"/>
  <c r="L1882" i="2"/>
  <c r="K1882" i="2"/>
  <c r="G1882" i="2"/>
  <c r="E1882" i="2"/>
  <c r="B1882" i="2"/>
  <c r="S1881" i="2"/>
  <c r="P1881" i="2"/>
  <c r="M1881" i="2"/>
  <c r="L1881" i="2"/>
  <c r="K1881" i="2"/>
  <c r="G1881" i="2"/>
  <c r="E1881" i="2"/>
  <c r="B1881" i="2"/>
  <c r="S1880" i="2"/>
  <c r="P1880" i="2"/>
  <c r="M1880" i="2"/>
  <c r="L1880" i="2"/>
  <c r="K1880" i="2"/>
  <c r="G1880" i="2"/>
  <c r="E1880" i="2"/>
  <c r="B1880" i="2"/>
  <c r="S1879" i="2"/>
  <c r="P1879" i="2"/>
  <c r="M1879" i="2"/>
  <c r="L1879" i="2"/>
  <c r="K1879" i="2"/>
  <c r="G1879" i="2"/>
  <c r="E1879" i="2"/>
  <c r="B1879" i="2"/>
  <c r="S1878" i="2"/>
  <c r="P1878" i="2"/>
  <c r="M1878" i="2"/>
  <c r="L1878" i="2"/>
  <c r="K1878" i="2"/>
  <c r="G1878" i="2"/>
  <c r="E1878" i="2"/>
  <c r="B1878" i="2"/>
  <c r="S1877" i="2"/>
  <c r="P1877" i="2"/>
  <c r="M1877" i="2"/>
  <c r="L1877" i="2"/>
  <c r="K1877" i="2"/>
  <c r="G1877" i="2"/>
  <c r="E1877" i="2"/>
  <c r="B1877" i="2"/>
  <c r="S1876" i="2"/>
  <c r="P1876" i="2"/>
  <c r="M1876" i="2"/>
  <c r="L1876" i="2"/>
  <c r="K1876" i="2"/>
  <c r="G1876" i="2"/>
  <c r="E1876" i="2"/>
  <c r="B1876" i="2"/>
  <c r="S1875" i="2"/>
  <c r="P1875" i="2"/>
  <c r="M1875" i="2"/>
  <c r="L1875" i="2"/>
  <c r="K1875" i="2"/>
  <c r="G1875" i="2"/>
  <c r="E1875" i="2"/>
  <c r="B1875" i="2"/>
  <c r="S1874" i="2"/>
  <c r="P1874" i="2"/>
  <c r="M1874" i="2"/>
  <c r="L1874" i="2"/>
  <c r="K1874" i="2"/>
  <c r="G1874" i="2"/>
  <c r="E1874" i="2"/>
  <c r="B1874" i="2"/>
  <c r="S1873" i="2"/>
  <c r="P1873" i="2"/>
  <c r="M1873" i="2"/>
  <c r="L1873" i="2"/>
  <c r="K1873" i="2"/>
  <c r="G1873" i="2"/>
  <c r="E1873" i="2"/>
  <c r="B1873" i="2"/>
  <c r="S1872" i="2"/>
  <c r="P1872" i="2"/>
  <c r="M1872" i="2"/>
  <c r="L1872" i="2"/>
  <c r="K1872" i="2"/>
  <c r="G1872" i="2"/>
  <c r="E1872" i="2"/>
  <c r="B1872" i="2"/>
  <c r="S1871" i="2"/>
  <c r="P1871" i="2"/>
  <c r="M1871" i="2"/>
  <c r="L1871" i="2"/>
  <c r="K1871" i="2"/>
  <c r="G1871" i="2"/>
  <c r="E1871" i="2"/>
  <c r="B1871" i="2"/>
  <c r="S1870" i="2"/>
  <c r="P1870" i="2"/>
  <c r="M1870" i="2"/>
  <c r="L1870" i="2"/>
  <c r="K1870" i="2"/>
  <c r="G1870" i="2"/>
  <c r="E1870" i="2"/>
  <c r="B1870" i="2"/>
  <c r="S1869" i="2"/>
  <c r="P1869" i="2"/>
  <c r="M1869" i="2"/>
  <c r="L1869" i="2"/>
  <c r="K1869" i="2"/>
  <c r="G1869" i="2"/>
  <c r="E1869" i="2"/>
  <c r="B1869" i="2"/>
  <c r="S1868" i="2"/>
  <c r="P1868" i="2"/>
  <c r="M1868" i="2"/>
  <c r="L1868" i="2"/>
  <c r="K1868" i="2"/>
  <c r="G1868" i="2"/>
  <c r="E1868" i="2"/>
  <c r="B1868" i="2"/>
  <c r="S1867" i="2"/>
  <c r="P1867" i="2"/>
  <c r="M1867" i="2"/>
  <c r="L1867" i="2"/>
  <c r="K1867" i="2"/>
  <c r="G1867" i="2"/>
  <c r="E1867" i="2"/>
  <c r="B1867" i="2"/>
  <c r="S1866" i="2"/>
  <c r="P1866" i="2"/>
  <c r="M1866" i="2"/>
  <c r="L1866" i="2"/>
  <c r="K1866" i="2"/>
  <c r="G1866" i="2"/>
  <c r="E1866" i="2"/>
  <c r="B1866" i="2"/>
  <c r="S1865" i="2"/>
  <c r="P1865" i="2"/>
  <c r="M1865" i="2"/>
  <c r="L1865" i="2"/>
  <c r="K1865" i="2"/>
  <c r="G1865" i="2"/>
  <c r="E1865" i="2"/>
  <c r="B1865" i="2"/>
  <c r="S1864" i="2"/>
  <c r="P1864" i="2"/>
  <c r="M1864" i="2"/>
  <c r="L1864" i="2"/>
  <c r="K1864" i="2"/>
  <c r="G1864" i="2"/>
  <c r="E1864" i="2"/>
  <c r="B1864" i="2"/>
  <c r="S1863" i="2"/>
  <c r="P1863" i="2"/>
  <c r="M1863" i="2"/>
  <c r="L1863" i="2"/>
  <c r="K1863" i="2"/>
  <c r="G1863" i="2"/>
  <c r="E1863" i="2"/>
  <c r="B1863" i="2"/>
  <c r="S1862" i="2"/>
  <c r="P1862" i="2"/>
  <c r="M1862" i="2"/>
  <c r="L1862" i="2"/>
  <c r="K1862" i="2"/>
  <c r="G1862" i="2"/>
  <c r="E1862" i="2"/>
  <c r="B1862" i="2"/>
  <c r="S1861" i="2"/>
  <c r="P1861" i="2"/>
  <c r="M1861" i="2"/>
  <c r="L1861" i="2"/>
  <c r="K1861" i="2"/>
  <c r="G1861" i="2"/>
  <c r="E1861" i="2"/>
  <c r="B1861" i="2"/>
  <c r="S1860" i="2"/>
  <c r="P1860" i="2"/>
  <c r="M1860" i="2"/>
  <c r="L1860" i="2"/>
  <c r="K1860" i="2"/>
  <c r="G1860" i="2"/>
  <c r="E1860" i="2"/>
  <c r="B1860" i="2"/>
  <c r="S1859" i="2"/>
  <c r="P1859" i="2"/>
  <c r="M1859" i="2"/>
  <c r="L1859" i="2"/>
  <c r="K1859" i="2"/>
  <c r="G1859" i="2"/>
  <c r="E1859" i="2"/>
  <c r="B1859" i="2"/>
  <c r="S1858" i="2"/>
  <c r="P1858" i="2"/>
  <c r="M1858" i="2"/>
  <c r="L1858" i="2"/>
  <c r="K1858" i="2"/>
  <c r="G1858" i="2"/>
  <c r="E1858" i="2"/>
  <c r="B1858" i="2"/>
  <c r="S1857" i="2"/>
  <c r="P1857" i="2"/>
  <c r="M1857" i="2"/>
  <c r="L1857" i="2"/>
  <c r="K1857" i="2"/>
  <c r="G1857" i="2"/>
  <c r="E1857" i="2"/>
  <c r="B1857" i="2"/>
  <c r="S1856" i="2"/>
  <c r="P1856" i="2"/>
  <c r="M1856" i="2"/>
  <c r="L1856" i="2"/>
  <c r="K1856" i="2"/>
  <c r="G1856" i="2"/>
  <c r="E1856" i="2"/>
  <c r="B1856" i="2"/>
  <c r="S1855" i="2"/>
  <c r="P1855" i="2"/>
  <c r="M1855" i="2"/>
  <c r="L1855" i="2"/>
  <c r="K1855" i="2"/>
  <c r="G1855" i="2"/>
  <c r="E1855" i="2"/>
  <c r="B1855" i="2"/>
  <c r="S1854" i="2"/>
  <c r="P1854" i="2"/>
  <c r="M1854" i="2"/>
  <c r="L1854" i="2"/>
  <c r="K1854" i="2"/>
  <c r="G1854" i="2"/>
  <c r="E1854" i="2"/>
  <c r="B1854" i="2"/>
  <c r="S1853" i="2"/>
  <c r="P1853" i="2"/>
  <c r="M1853" i="2"/>
  <c r="L1853" i="2"/>
  <c r="K1853" i="2"/>
  <c r="G1853" i="2"/>
  <c r="E1853" i="2"/>
  <c r="B1853" i="2"/>
  <c r="S1852" i="2"/>
  <c r="P1852" i="2"/>
  <c r="M1852" i="2"/>
  <c r="L1852" i="2"/>
  <c r="K1852" i="2"/>
  <c r="G1852" i="2"/>
  <c r="E1852" i="2"/>
  <c r="B1852" i="2"/>
  <c r="S1851" i="2"/>
  <c r="P1851" i="2"/>
  <c r="M1851" i="2"/>
  <c r="L1851" i="2"/>
  <c r="K1851" i="2"/>
  <c r="G1851" i="2"/>
  <c r="E1851" i="2"/>
  <c r="B1851" i="2"/>
  <c r="S1850" i="2"/>
  <c r="P1850" i="2"/>
  <c r="M1850" i="2"/>
  <c r="L1850" i="2"/>
  <c r="K1850" i="2"/>
  <c r="G1850" i="2"/>
  <c r="E1850" i="2"/>
  <c r="B1850" i="2"/>
  <c r="S1849" i="2"/>
  <c r="P1849" i="2"/>
  <c r="M1849" i="2"/>
  <c r="L1849" i="2"/>
  <c r="K1849" i="2"/>
  <c r="G1849" i="2"/>
  <c r="E1849" i="2"/>
  <c r="B1849" i="2"/>
  <c r="S1848" i="2"/>
  <c r="P1848" i="2"/>
  <c r="M1848" i="2"/>
  <c r="L1848" i="2"/>
  <c r="K1848" i="2"/>
  <c r="G1848" i="2"/>
  <c r="E1848" i="2"/>
  <c r="B1848" i="2"/>
  <c r="S1847" i="2"/>
  <c r="P1847" i="2"/>
  <c r="M1847" i="2"/>
  <c r="L1847" i="2"/>
  <c r="K1847" i="2"/>
  <c r="G1847" i="2"/>
  <c r="E1847" i="2"/>
  <c r="B1847" i="2"/>
  <c r="S1846" i="2"/>
  <c r="P1846" i="2"/>
  <c r="M1846" i="2"/>
  <c r="L1846" i="2"/>
  <c r="K1846" i="2"/>
  <c r="G1846" i="2"/>
  <c r="E1846" i="2"/>
  <c r="B1846" i="2"/>
  <c r="S1845" i="2"/>
  <c r="P1845" i="2"/>
  <c r="M1845" i="2"/>
  <c r="L1845" i="2"/>
  <c r="K1845" i="2"/>
  <c r="G1845" i="2"/>
  <c r="E1845" i="2"/>
  <c r="B1845" i="2"/>
  <c r="S1844" i="2"/>
  <c r="P1844" i="2"/>
  <c r="M1844" i="2"/>
  <c r="L1844" i="2"/>
  <c r="K1844" i="2"/>
  <c r="G1844" i="2"/>
  <c r="E1844" i="2"/>
  <c r="B1844" i="2"/>
  <c r="S1843" i="2"/>
  <c r="P1843" i="2"/>
  <c r="M1843" i="2"/>
  <c r="L1843" i="2"/>
  <c r="K1843" i="2"/>
  <c r="G1843" i="2"/>
  <c r="E1843" i="2"/>
  <c r="B1843" i="2"/>
  <c r="S1842" i="2"/>
  <c r="P1842" i="2"/>
  <c r="M1842" i="2"/>
  <c r="L1842" i="2"/>
  <c r="K1842" i="2"/>
  <c r="G1842" i="2"/>
  <c r="E1842" i="2"/>
  <c r="B1842" i="2"/>
  <c r="S1841" i="2"/>
  <c r="P1841" i="2"/>
  <c r="M1841" i="2"/>
  <c r="L1841" i="2"/>
  <c r="K1841" i="2"/>
  <c r="G1841" i="2"/>
  <c r="E1841" i="2"/>
  <c r="B1841" i="2"/>
  <c r="S1840" i="2"/>
  <c r="P1840" i="2"/>
  <c r="M1840" i="2"/>
  <c r="L1840" i="2"/>
  <c r="K1840" i="2"/>
  <c r="G1840" i="2"/>
  <c r="E1840" i="2"/>
  <c r="B1840" i="2"/>
  <c r="S1839" i="2"/>
  <c r="P1839" i="2"/>
  <c r="M1839" i="2"/>
  <c r="L1839" i="2"/>
  <c r="K1839" i="2"/>
  <c r="G1839" i="2"/>
  <c r="E1839" i="2"/>
  <c r="B1839" i="2"/>
  <c r="S1838" i="2"/>
  <c r="P1838" i="2"/>
  <c r="M1838" i="2"/>
  <c r="L1838" i="2"/>
  <c r="K1838" i="2"/>
  <c r="G1838" i="2"/>
  <c r="E1838" i="2"/>
  <c r="B1838" i="2"/>
  <c r="S1837" i="2"/>
  <c r="P1837" i="2"/>
  <c r="M1837" i="2"/>
  <c r="L1837" i="2"/>
  <c r="K1837" i="2"/>
  <c r="G1837" i="2"/>
  <c r="E1837" i="2"/>
  <c r="B1837" i="2"/>
  <c r="S1836" i="2"/>
  <c r="P1836" i="2"/>
  <c r="M1836" i="2"/>
  <c r="L1836" i="2"/>
  <c r="K1836" i="2"/>
  <c r="G1836" i="2"/>
  <c r="E1836" i="2"/>
  <c r="B1836" i="2"/>
  <c r="S1835" i="2"/>
  <c r="P1835" i="2"/>
  <c r="M1835" i="2"/>
  <c r="L1835" i="2"/>
  <c r="K1835" i="2"/>
  <c r="G1835" i="2"/>
  <c r="E1835" i="2"/>
  <c r="B1835" i="2"/>
  <c r="S1834" i="2"/>
  <c r="P1834" i="2"/>
  <c r="M1834" i="2"/>
  <c r="L1834" i="2"/>
  <c r="K1834" i="2"/>
  <c r="G1834" i="2"/>
  <c r="E1834" i="2"/>
  <c r="B1834" i="2"/>
  <c r="S1833" i="2"/>
  <c r="P1833" i="2"/>
  <c r="M1833" i="2"/>
  <c r="L1833" i="2"/>
  <c r="K1833" i="2"/>
  <c r="G1833" i="2"/>
  <c r="E1833" i="2"/>
  <c r="B1833" i="2"/>
  <c r="S1832" i="2"/>
  <c r="P1832" i="2"/>
  <c r="M1832" i="2"/>
  <c r="L1832" i="2"/>
  <c r="K1832" i="2"/>
  <c r="G1832" i="2"/>
  <c r="E1832" i="2"/>
  <c r="B1832" i="2"/>
  <c r="S1831" i="2"/>
  <c r="P1831" i="2"/>
  <c r="M1831" i="2"/>
  <c r="L1831" i="2"/>
  <c r="K1831" i="2"/>
  <c r="G1831" i="2"/>
  <c r="E1831" i="2"/>
  <c r="B1831" i="2"/>
  <c r="S1830" i="2"/>
  <c r="P1830" i="2"/>
  <c r="M1830" i="2"/>
  <c r="L1830" i="2"/>
  <c r="K1830" i="2"/>
  <c r="G1830" i="2"/>
  <c r="E1830" i="2"/>
  <c r="B1830" i="2"/>
  <c r="S1829" i="2"/>
  <c r="P1829" i="2"/>
  <c r="M1829" i="2"/>
  <c r="L1829" i="2"/>
  <c r="K1829" i="2"/>
  <c r="G1829" i="2"/>
  <c r="E1829" i="2"/>
  <c r="B1829" i="2"/>
  <c r="S1828" i="2"/>
  <c r="P1828" i="2"/>
  <c r="M1828" i="2"/>
  <c r="L1828" i="2"/>
  <c r="K1828" i="2"/>
  <c r="G1828" i="2"/>
  <c r="E1828" i="2"/>
  <c r="B1828" i="2"/>
  <c r="S1827" i="2"/>
  <c r="P1827" i="2"/>
  <c r="M1827" i="2"/>
  <c r="L1827" i="2"/>
  <c r="K1827" i="2"/>
  <c r="G1827" i="2"/>
  <c r="E1827" i="2"/>
  <c r="B1827" i="2"/>
  <c r="S1826" i="2"/>
  <c r="P1826" i="2"/>
  <c r="M1826" i="2"/>
  <c r="L1826" i="2"/>
  <c r="K1826" i="2"/>
  <c r="G1826" i="2"/>
  <c r="E1826" i="2"/>
  <c r="B1826" i="2"/>
  <c r="S1825" i="2"/>
  <c r="P1825" i="2"/>
  <c r="M1825" i="2"/>
  <c r="L1825" i="2"/>
  <c r="K1825" i="2"/>
  <c r="G1825" i="2"/>
  <c r="E1825" i="2"/>
  <c r="B1825" i="2"/>
  <c r="S1824" i="2"/>
  <c r="P1824" i="2"/>
  <c r="M1824" i="2"/>
  <c r="L1824" i="2"/>
  <c r="K1824" i="2"/>
  <c r="G1824" i="2"/>
  <c r="E1824" i="2"/>
  <c r="B1824" i="2"/>
  <c r="S1823" i="2"/>
  <c r="P1823" i="2"/>
  <c r="M1823" i="2"/>
  <c r="L1823" i="2"/>
  <c r="K1823" i="2"/>
  <c r="G1823" i="2"/>
  <c r="E1823" i="2"/>
  <c r="B1823" i="2"/>
  <c r="S1822" i="2"/>
  <c r="P1822" i="2"/>
  <c r="M1822" i="2"/>
  <c r="L1822" i="2"/>
  <c r="K1822" i="2"/>
  <c r="G1822" i="2"/>
  <c r="E1822" i="2"/>
  <c r="B1822" i="2"/>
  <c r="S1821" i="2"/>
  <c r="P1821" i="2"/>
  <c r="M1821" i="2"/>
  <c r="L1821" i="2"/>
  <c r="K1821" i="2"/>
  <c r="G1821" i="2"/>
  <c r="E1821" i="2"/>
  <c r="B1821" i="2"/>
  <c r="S1820" i="2"/>
  <c r="P1820" i="2"/>
  <c r="M1820" i="2"/>
  <c r="L1820" i="2"/>
  <c r="K1820" i="2"/>
  <c r="G1820" i="2"/>
  <c r="E1820" i="2"/>
  <c r="B1820" i="2"/>
  <c r="S1819" i="2"/>
  <c r="P1819" i="2"/>
  <c r="M1819" i="2"/>
  <c r="L1819" i="2"/>
  <c r="K1819" i="2"/>
  <c r="G1819" i="2"/>
  <c r="E1819" i="2"/>
  <c r="B1819" i="2"/>
  <c r="S1818" i="2"/>
  <c r="P1818" i="2"/>
  <c r="M1818" i="2"/>
  <c r="L1818" i="2"/>
  <c r="K1818" i="2"/>
  <c r="G1818" i="2"/>
  <c r="E1818" i="2"/>
  <c r="B1818" i="2"/>
  <c r="S1817" i="2"/>
  <c r="P1817" i="2"/>
  <c r="M1817" i="2"/>
  <c r="L1817" i="2"/>
  <c r="K1817" i="2"/>
  <c r="G1817" i="2"/>
  <c r="E1817" i="2"/>
  <c r="B1817" i="2"/>
  <c r="S1816" i="2"/>
  <c r="P1816" i="2"/>
  <c r="M1816" i="2"/>
  <c r="L1816" i="2"/>
  <c r="K1816" i="2"/>
  <c r="G1816" i="2"/>
  <c r="E1816" i="2"/>
  <c r="B1816" i="2"/>
  <c r="S1815" i="2"/>
  <c r="P1815" i="2"/>
  <c r="M1815" i="2"/>
  <c r="L1815" i="2"/>
  <c r="K1815" i="2"/>
  <c r="G1815" i="2"/>
  <c r="E1815" i="2"/>
  <c r="B1815" i="2"/>
  <c r="S1814" i="2"/>
  <c r="P1814" i="2"/>
  <c r="M1814" i="2"/>
  <c r="L1814" i="2"/>
  <c r="K1814" i="2"/>
  <c r="G1814" i="2"/>
  <c r="E1814" i="2"/>
  <c r="B1814" i="2"/>
  <c r="S1813" i="2"/>
  <c r="P1813" i="2"/>
  <c r="M1813" i="2"/>
  <c r="L1813" i="2"/>
  <c r="K1813" i="2"/>
  <c r="G1813" i="2"/>
  <c r="E1813" i="2"/>
  <c r="B1813" i="2"/>
  <c r="S1812" i="2"/>
  <c r="P1812" i="2"/>
  <c r="M1812" i="2"/>
  <c r="L1812" i="2"/>
  <c r="K1812" i="2"/>
  <c r="G1812" i="2"/>
  <c r="E1812" i="2"/>
  <c r="B1812" i="2"/>
  <c r="S1811" i="2"/>
  <c r="P1811" i="2"/>
  <c r="M1811" i="2"/>
  <c r="L1811" i="2"/>
  <c r="K1811" i="2"/>
  <c r="G1811" i="2"/>
  <c r="E1811" i="2"/>
  <c r="B1811" i="2"/>
  <c r="S1810" i="2"/>
  <c r="P1810" i="2"/>
  <c r="M1810" i="2"/>
  <c r="L1810" i="2"/>
  <c r="K1810" i="2"/>
  <c r="G1810" i="2"/>
  <c r="E1810" i="2"/>
  <c r="B1810" i="2"/>
  <c r="S1809" i="2"/>
  <c r="P1809" i="2"/>
  <c r="M1809" i="2"/>
  <c r="L1809" i="2"/>
  <c r="K1809" i="2"/>
  <c r="G1809" i="2"/>
  <c r="E1809" i="2"/>
  <c r="B1809" i="2"/>
  <c r="S1808" i="2"/>
  <c r="P1808" i="2"/>
  <c r="M1808" i="2"/>
  <c r="L1808" i="2"/>
  <c r="K1808" i="2"/>
  <c r="G1808" i="2"/>
  <c r="E1808" i="2"/>
  <c r="B1808" i="2"/>
  <c r="S1807" i="2"/>
  <c r="P1807" i="2"/>
  <c r="M1807" i="2"/>
  <c r="L1807" i="2"/>
  <c r="K1807" i="2"/>
  <c r="G1807" i="2"/>
  <c r="E1807" i="2"/>
  <c r="B1807" i="2"/>
  <c r="S1806" i="2"/>
  <c r="P1806" i="2"/>
  <c r="M1806" i="2"/>
  <c r="L1806" i="2"/>
  <c r="K1806" i="2"/>
  <c r="G1806" i="2"/>
  <c r="E1806" i="2"/>
  <c r="B1806" i="2"/>
  <c r="S1805" i="2"/>
  <c r="P1805" i="2"/>
  <c r="M1805" i="2"/>
  <c r="L1805" i="2"/>
  <c r="K1805" i="2"/>
  <c r="G1805" i="2"/>
  <c r="E1805" i="2"/>
  <c r="B1805" i="2"/>
  <c r="S1804" i="2"/>
  <c r="P1804" i="2"/>
  <c r="M1804" i="2"/>
  <c r="L1804" i="2"/>
  <c r="K1804" i="2"/>
  <c r="G1804" i="2"/>
  <c r="E1804" i="2"/>
  <c r="B1804" i="2"/>
  <c r="S1803" i="2"/>
  <c r="P1803" i="2"/>
  <c r="M1803" i="2"/>
  <c r="L1803" i="2"/>
  <c r="K1803" i="2"/>
  <c r="G1803" i="2"/>
  <c r="E1803" i="2"/>
  <c r="B1803" i="2"/>
  <c r="S1802" i="2"/>
  <c r="P1802" i="2"/>
  <c r="M1802" i="2"/>
  <c r="L1802" i="2"/>
  <c r="K1802" i="2"/>
  <c r="G1802" i="2"/>
  <c r="E1802" i="2"/>
  <c r="B1802" i="2"/>
  <c r="S1801" i="2"/>
  <c r="P1801" i="2"/>
  <c r="M1801" i="2"/>
  <c r="L1801" i="2"/>
  <c r="K1801" i="2"/>
  <c r="G1801" i="2"/>
  <c r="E1801" i="2"/>
  <c r="B1801" i="2"/>
  <c r="S1800" i="2"/>
  <c r="P1800" i="2"/>
  <c r="M1800" i="2"/>
  <c r="L1800" i="2"/>
  <c r="K1800" i="2"/>
  <c r="G1800" i="2"/>
  <c r="E1800" i="2"/>
  <c r="B1800" i="2"/>
  <c r="S1799" i="2"/>
  <c r="P1799" i="2"/>
  <c r="M1799" i="2"/>
  <c r="L1799" i="2"/>
  <c r="K1799" i="2"/>
  <c r="G1799" i="2"/>
  <c r="E1799" i="2"/>
  <c r="B1799" i="2"/>
  <c r="S1798" i="2"/>
  <c r="P1798" i="2"/>
  <c r="M1798" i="2"/>
  <c r="L1798" i="2"/>
  <c r="K1798" i="2"/>
  <c r="G1798" i="2"/>
  <c r="E1798" i="2"/>
  <c r="B1798" i="2"/>
  <c r="S1797" i="2"/>
  <c r="P1797" i="2"/>
  <c r="M1797" i="2"/>
  <c r="L1797" i="2"/>
  <c r="K1797" i="2"/>
  <c r="G1797" i="2"/>
  <c r="E1797" i="2"/>
  <c r="B1797" i="2"/>
  <c r="S1796" i="2"/>
  <c r="P1796" i="2"/>
  <c r="M1796" i="2"/>
  <c r="L1796" i="2"/>
  <c r="K1796" i="2"/>
  <c r="G1796" i="2"/>
  <c r="E1796" i="2"/>
  <c r="B1796" i="2"/>
  <c r="S1795" i="2"/>
  <c r="P1795" i="2"/>
  <c r="M1795" i="2"/>
  <c r="L1795" i="2"/>
  <c r="K1795" i="2"/>
  <c r="G1795" i="2"/>
  <c r="E1795" i="2"/>
  <c r="B1795" i="2"/>
  <c r="S1794" i="2"/>
  <c r="P1794" i="2"/>
  <c r="M1794" i="2"/>
  <c r="L1794" i="2"/>
  <c r="K1794" i="2"/>
  <c r="G1794" i="2"/>
  <c r="E1794" i="2"/>
  <c r="B1794" i="2"/>
  <c r="S1793" i="2"/>
  <c r="P1793" i="2"/>
  <c r="M1793" i="2"/>
  <c r="L1793" i="2"/>
  <c r="K1793" i="2"/>
  <c r="G1793" i="2"/>
  <c r="E1793" i="2"/>
  <c r="B1793" i="2"/>
  <c r="S1792" i="2"/>
  <c r="P1792" i="2"/>
  <c r="M1792" i="2"/>
  <c r="L1792" i="2"/>
  <c r="K1792" i="2"/>
  <c r="G1792" i="2"/>
  <c r="E1792" i="2"/>
  <c r="B1792" i="2"/>
  <c r="S1791" i="2"/>
  <c r="P1791" i="2"/>
  <c r="M1791" i="2"/>
  <c r="L1791" i="2"/>
  <c r="K1791" i="2"/>
  <c r="G1791" i="2"/>
  <c r="E1791" i="2"/>
  <c r="B1791" i="2"/>
  <c r="S1790" i="2"/>
  <c r="P1790" i="2"/>
  <c r="M1790" i="2"/>
  <c r="L1790" i="2"/>
  <c r="K1790" i="2"/>
  <c r="G1790" i="2"/>
  <c r="E1790" i="2"/>
  <c r="B1790" i="2"/>
  <c r="S1789" i="2"/>
  <c r="P1789" i="2"/>
  <c r="M1789" i="2"/>
  <c r="L1789" i="2"/>
  <c r="K1789" i="2"/>
  <c r="G1789" i="2"/>
  <c r="E1789" i="2"/>
  <c r="B1789" i="2"/>
  <c r="S1788" i="2"/>
  <c r="P1788" i="2"/>
  <c r="M1788" i="2"/>
  <c r="L1788" i="2"/>
  <c r="K1788" i="2"/>
  <c r="G1788" i="2"/>
  <c r="E1788" i="2"/>
  <c r="B1788" i="2"/>
  <c r="S1787" i="2"/>
  <c r="P1787" i="2"/>
  <c r="M1787" i="2"/>
  <c r="L1787" i="2"/>
  <c r="K1787" i="2"/>
  <c r="G1787" i="2"/>
  <c r="E1787" i="2"/>
  <c r="B1787" i="2"/>
  <c r="S1786" i="2"/>
  <c r="P1786" i="2"/>
  <c r="M1786" i="2"/>
  <c r="L1786" i="2"/>
  <c r="K1786" i="2"/>
  <c r="G1786" i="2"/>
  <c r="E1786" i="2"/>
  <c r="B1786" i="2"/>
  <c r="S1785" i="2"/>
  <c r="P1785" i="2"/>
  <c r="M1785" i="2"/>
  <c r="L1785" i="2"/>
  <c r="K1785" i="2"/>
  <c r="G1785" i="2"/>
  <c r="E1785" i="2"/>
  <c r="B1785" i="2"/>
  <c r="S1784" i="2"/>
  <c r="P1784" i="2"/>
  <c r="M1784" i="2"/>
  <c r="L1784" i="2"/>
  <c r="K1784" i="2"/>
  <c r="G1784" i="2"/>
  <c r="E1784" i="2"/>
  <c r="B1784" i="2"/>
  <c r="S1783" i="2"/>
  <c r="P1783" i="2"/>
  <c r="M1783" i="2"/>
  <c r="L1783" i="2"/>
  <c r="K1783" i="2"/>
  <c r="G1783" i="2"/>
  <c r="E1783" i="2"/>
  <c r="B1783" i="2"/>
  <c r="S1782" i="2"/>
  <c r="P1782" i="2"/>
  <c r="M1782" i="2"/>
  <c r="L1782" i="2"/>
  <c r="K1782" i="2"/>
  <c r="G1782" i="2"/>
  <c r="E1782" i="2"/>
  <c r="B1782" i="2"/>
  <c r="S1781" i="2"/>
  <c r="P1781" i="2"/>
  <c r="M1781" i="2"/>
  <c r="L1781" i="2"/>
  <c r="K1781" i="2"/>
  <c r="G1781" i="2"/>
  <c r="E1781" i="2"/>
  <c r="B1781" i="2"/>
  <c r="S1780" i="2"/>
  <c r="P1780" i="2"/>
  <c r="M1780" i="2"/>
  <c r="L1780" i="2"/>
  <c r="K1780" i="2"/>
  <c r="G1780" i="2"/>
  <c r="E1780" i="2"/>
  <c r="B1780" i="2"/>
  <c r="S1779" i="2"/>
  <c r="P1779" i="2"/>
  <c r="M1779" i="2"/>
  <c r="L1779" i="2"/>
  <c r="K1779" i="2"/>
  <c r="G1779" i="2"/>
  <c r="E1779" i="2"/>
  <c r="B1779" i="2"/>
  <c r="S1778" i="2"/>
  <c r="P1778" i="2"/>
  <c r="M1778" i="2"/>
  <c r="L1778" i="2"/>
  <c r="K1778" i="2"/>
  <c r="G1778" i="2"/>
  <c r="E1778" i="2"/>
  <c r="B1778" i="2"/>
  <c r="S1777" i="2"/>
  <c r="P1777" i="2"/>
  <c r="M1777" i="2"/>
  <c r="L1777" i="2"/>
  <c r="K1777" i="2"/>
  <c r="G1777" i="2"/>
  <c r="E1777" i="2"/>
  <c r="B1777" i="2"/>
  <c r="S1776" i="2"/>
  <c r="P1776" i="2"/>
  <c r="M1776" i="2"/>
  <c r="L1776" i="2"/>
  <c r="K1776" i="2"/>
  <c r="G1776" i="2"/>
  <c r="E1776" i="2"/>
  <c r="B1776" i="2"/>
  <c r="S1775" i="2"/>
  <c r="P1775" i="2"/>
  <c r="M1775" i="2"/>
  <c r="L1775" i="2"/>
  <c r="K1775" i="2"/>
  <c r="G1775" i="2"/>
  <c r="E1775" i="2"/>
  <c r="B1775" i="2"/>
  <c r="S1774" i="2"/>
  <c r="P1774" i="2"/>
  <c r="M1774" i="2"/>
  <c r="L1774" i="2"/>
  <c r="K1774" i="2"/>
  <c r="G1774" i="2"/>
  <c r="E1774" i="2"/>
  <c r="B1774" i="2"/>
  <c r="S1773" i="2"/>
  <c r="P1773" i="2"/>
  <c r="M1773" i="2"/>
  <c r="L1773" i="2"/>
  <c r="K1773" i="2"/>
  <c r="G1773" i="2"/>
  <c r="E1773" i="2"/>
  <c r="B1773" i="2"/>
  <c r="S1772" i="2"/>
  <c r="P1772" i="2"/>
  <c r="M1772" i="2"/>
  <c r="L1772" i="2"/>
  <c r="K1772" i="2"/>
  <c r="G1772" i="2"/>
  <c r="E1772" i="2"/>
  <c r="B1772" i="2"/>
  <c r="S1771" i="2"/>
  <c r="P1771" i="2"/>
  <c r="M1771" i="2"/>
  <c r="L1771" i="2"/>
  <c r="K1771" i="2"/>
  <c r="G1771" i="2"/>
  <c r="E1771" i="2"/>
  <c r="B1771" i="2"/>
  <c r="S1770" i="2"/>
  <c r="P1770" i="2"/>
  <c r="M1770" i="2"/>
  <c r="L1770" i="2"/>
  <c r="K1770" i="2"/>
  <c r="G1770" i="2"/>
  <c r="E1770" i="2"/>
  <c r="B1770" i="2"/>
  <c r="S1769" i="2"/>
  <c r="P1769" i="2"/>
  <c r="M1769" i="2"/>
  <c r="L1769" i="2"/>
  <c r="K1769" i="2"/>
  <c r="G1769" i="2"/>
  <c r="E1769" i="2"/>
  <c r="B1769" i="2"/>
  <c r="S1768" i="2"/>
  <c r="P1768" i="2"/>
  <c r="M1768" i="2"/>
  <c r="L1768" i="2"/>
  <c r="K1768" i="2"/>
  <c r="G1768" i="2"/>
  <c r="E1768" i="2"/>
  <c r="B1768" i="2"/>
  <c r="S1767" i="2"/>
  <c r="P1767" i="2"/>
  <c r="M1767" i="2"/>
  <c r="L1767" i="2"/>
  <c r="K1767" i="2"/>
  <c r="G1767" i="2"/>
  <c r="E1767" i="2"/>
  <c r="B1767" i="2"/>
  <c r="S1766" i="2"/>
  <c r="P1766" i="2"/>
  <c r="M1766" i="2"/>
  <c r="L1766" i="2"/>
  <c r="K1766" i="2"/>
  <c r="G1766" i="2"/>
  <c r="E1766" i="2"/>
  <c r="B1766" i="2"/>
  <c r="S1765" i="2"/>
  <c r="P1765" i="2"/>
  <c r="M1765" i="2"/>
  <c r="L1765" i="2"/>
  <c r="K1765" i="2"/>
  <c r="G1765" i="2"/>
  <c r="E1765" i="2"/>
  <c r="B1765" i="2"/>
  <c r="S1764" i="2"/>
  <c r="P1764" i="2"/>
  <c r="M1764" i="2"/>
  <c r="L1764" i="2"/>
  <c r="K1764" i="2"/>
  <c r="G1764" i="2"/>
  <c r="E1764" i="2"/>
  <c r="B1764" i="2"/>
  <c r="S1763" i="2"/>
  <c r="P1763" i="2"/>
  <c r="M1763" i="2"/>
  <c r="L1763" i="2"/>
  <c r="K1763" i="2"/>
  <c r="G1763" i="2"/>
  <c r="E1763" i="2"/>
  <c r="B1763" i="2"/>
  <c r="S1762" i="2"/>
  <c r="P1762" i="2"/>
  <c r="M1762" i="2"/>
  <c r="L1762" i="2"/>
  <c r="K1762" i="2"/>
  <c r="G1762" i="2"/>
  <c r="E1762" i="2"/>
  <c r="B1762" i="2"/>
  <c r="S1761" i="2"/>
  <c r="P1761" i="2"/>
  <c r="M1761" i="2"/>
  <c r="L1761" i="2"/>
  <c r="K1761" i="2"/>
  <c r="G1761" i="2"/>
  <c r="E1761" i="2"/>
  <c r="B1761" i="2"/>
  <c r="S1760" i="2"/>
  <c r="P1760" i="2"/>
  <c r="M1760" i="2"/>
  <c r="L1760" i="2"/>
  <c r="K1760" i="2"/>
  <c r="G1760" i="2"/>
  <c r="E1760" i="2"/>
  <c r="B1760" i="2"/>
  <c r="S1759" i="2"/>
  <c r="P1759" i="2"/>
  <c r="M1759" i="2"/>
  <c r="L1759" i="2"/>
  <c r="K1759" i="2"/>
  <c r="G1759" i="2"/>
  <c r="E1759" i="2"/>
  <c r="B1759" i="2"/>
  <c r="S1758" i="2"/>
  <c r="P1758" i="2"/>
  <c r="M1758" i="2"/>
  <c r="L1758" i="2"/>
  <c r="K1758" i="2"/>
  <c r="G1758" i="2"/>
  <c r="E1758" i="2"/>
  <c r="B1758" i="2"/>
  <c r="S1757" i="2"/>
  <c r="P1757" i="2"/>
  <c r="M1757" i="2"/>
  <c r="L1757" i="2"/>
  <c r="K1757" i="2"/>
  <c r="G1757" i="2"/>
  <c r="E1757" i="2"/>
  <c r="B1757" i="2"/>
  <c r="S1756" i="2"/>
  <c r="P1756" i="2"/>
  <c r="M1756" i="2"/>
  <c r="L1756" i="2"/>
  <c r="K1756" i="2"/>
  <c r="G1756" i="2"/>
  <c r="E1756" i="2"/>
  <c r="B1756" i="2"/>
  <c r="S1755" i="2"/>
  <c r="P1755" i="2"/>
  <c r="M1755" i="2"/>
  <c r="L1755" i="2"/>
  <c r="K1755" i="2"/>
  <c r="G1755" i="2"/>
  <c r="E1755" i="2"/>
  <c r="B1755" i="2"/>
  <c r="S1754" i="2"/>
  <c r="P1754" i="2"/>
  <c r="M1754" i="2"/>
  <c r="L1754" i="2"/>
  <c r="K1754" i="2"/>
  <c r="G1754" i="2"/>
  <c r="E1754" i="2"/>
  <c r="B1754" i="2"/>
  <c r="S1753" i="2"/>
  <c r="P1753" i="2"/>
  <c r="M1753" i="2"/>
  <c r="L1753" i="2"/>
  <c r="K1753" i="2"/>
  <c r="G1753" i="2"/>
  <c r="E1753" i="2"/>
  <c r="B1753" i="2"/>
  <c r="S1752" i="2"/>
  <c r="P1752" i="2"/>
  <c r="M1752" i="2"/>
  <c r="L1752" i="2"/>
  <c r="K1752" i="2"/>
  <c r="G1752" i="2"/>
  <c r="E1752" i="2"/>
  <c r="B1752" i="2"/>
  <c r="S1751" i="2"/>
  <c r="P1751" i="2"/>
  <c r="M1751" i="2"/>
  <c r="L1751" i="2"/>
  <c r="K1751" i="2"/>
  <c r="G1751" i="2"/>
  <c r="E1751" i="2"/>
  <c r="B1751" i="2"/>
  <c r="S1750" i="2"/>
  <c r="P1750" i="2"/>
  <c r="M1750" i="2"/>
  <c r="L1750" i="2"/>
  <c r="K1750" i="2"/>
  <c r="G1750" i="2"/>
  <c r="E1750" i="2"/>
  <c r="B1750" i="2"/>
  <c r="S1749" i="2"/>
  <c r="P1749" i="2"/>
  <c r="M1749" i="2"/>
  <c r="L1749" i="2"/>
  <c r="K1749" i="2"/>
  <c r="G1749" i="2"/>
  <c r="E1749" i="2"/>
  <c r="B1749" i="2"/>
  <c r="S1748" i="2"/>
  <c r="P1748" i="2"/>
  <c r="M1748" i="2"/>
  <c r="L1748" i="2"/>
  <c r="K1748" i="2"/>
  <c r="G1748" i="2"/>
  <c r="E1748" i="2"/>
  <c r="B1748" i="2"/>
  <c r="S1747" i="2"/>
  <c r="P1747" i="2"/>
  <c r="M1747" i="2"/>
  <c r="L1747" i="2"/>
  <c r="K1747" i="2"/>
  <c r="G1747" i="2"/>
  <c r="E1747" i="2"/>
  <c r="B1747" i="2"/>
  <c r="S1746" i="2"/>
  <c r="P1746" i="2"/>
  <c r="M1746" i="2"/>
  <c r="L1746" i="2"/>
  <c r="K1746" i="2"/>
  <c r="G1746" i="2"/>
  <c r="E1746" i="2"/>
  <c r="B1746" i="2"/>
  <c r="S1745" i="2"/>
  <c r="P1745" i="2"/>
  <c r="M1745" i="2"/>
  <c r="L1745" i="2"/>
  <c r="K1745" i="2"/>
  <c r="G1745" i="2"/>
  <c r="E1745" i="2"/>
  <c r="B1745" i="2"/>
  <c r="S1744" i="2"/>
  <c r="P1744" i="2"/>
  <c r="M1744" i="2"/>
  <c r="L1744" i="2"/>
  <c r="K1744" i="2"/>
  <c r="G1744" i="2"/>
  <c r="E1744" i="2"/>
  <c r="B1744" i="2"/>
  <c r="S1743" i="2"/>
  <c r="P1743" i="2"/>
  <c r="M1743" i="2"/>
  <c r="L1743" i="2"/>
  <c r="K1743" i="2"/>
  <c r="G1743" i="2"/>
  <c r="E1743" i="2"/>
  <c r="B1743" i="2"/>
  <c r="S1742" i="2"/>
  <c r="P1742" i="2"/>
  <c r="M1742" i="2"/>
  <c r="L1742" i="2"/>
  <c r="K1742" i="2"/>
  <c r="G1742" i="2"/>
  <c r="E1742" i="2"/>
  <c r="B1742" i="2"/>
  <c r="S1741" i="2"/>
  <c r="P1741" i="2"/>
  <c r="M1741" i="2"/>
  <c r="L1741" i="2"/>
  <c r="K1741" i="2"/>
  <c r="G1741" i="2"/>
  <c r="E1741" i="2"/>
  <c r="B1741" i="2"/>
  <c r="S1740" i="2"/>
  <c r="P1740" i="2"/>
  <c r="M1740" i="2"/>
  <c r="L1740" i="2"/>
  <c r="K1740" i="2"/>
  <c r="G1740" i="2"/>
  <c r="E1740" i="2"/>
  <c r="B1740" i="2"/>
  <c r="S1739" i="2"/>
  <c r="P1739" i="2"/>
  <c r="M1739" i="2"/>
  <c r="L1739" i="2"/>
  <c r="K1739" i="2"/>
  <c r="G1739" i="2"/>
  <c r="E1739" i="2"/>
  <c r="B1739" i="2"/>
  <c r="S1738" i="2"/>
  <c r="P1738" i="2"/>
  <c r="M1738" i="2"/>
  <c r="L1738" i="2"/>
  <c r="K1738" i="2"/>
  <c r="G1738" i="2"/>
  <c r="E1738" i="2"/>
  <c r="B1738" i="2"/>
  <c r="S1737" i="2"/>
  <c r="P1737" i="2"/>
  <c r="M1737" i="2"/>
  <c r="L1737" i="2"/>
  <c r="K1737" i="2"/>
  <c r="G1737" i="2"/>
  <c r="E1737" i="2"/>
  <c r="B1737" i="2"/>
  <c r="S1736" i="2"/>
  <c r="P1736" i="2"/>
  <c r="M1736" i="2"/>
  <c r="L1736" i="2"/>
  <c r="K1736" i="2"/>
  <c r="G1736" i="2"/>
  <c r="E1736" i="2"/>
  <c r="B1736" i="2"/>
  <c r="S1735" i="2"/>
  <c r="P1735" i="2"/>
  <c r="M1735" i="2"/>
  <c r="L1735" i="2"/>
  <c r="K1735" i="2"/>
  <c r="G1735" i="2"/>
  <c r="E1735" i="2"/>
  <c r="B1735" i="2"/>
  <c r="S1734" i="2"/>
  <c r="P1734" i="2"/>
  <c r="M1734" i="2"/>
  <c r="L1734" i="2"/>
  <c r="K1734" i="2"/>
  <c r="G1734" i="2"/>
  <c r="E1734" i="2"/>
  <c r="B1734" i="2"/>
  <c r="S1733" i="2"/>
  <c r="P1733" i="2"/>
  <c r="M1733" i="2"/>
  <c r="L1733" i="2"/>
  <c r="K1733" i="2"/>
  <c r="G1733" i="2"/>
  <c r="E1733" i="2"/>
  <c r="B1733" i="2"/>
  <c r="S1732" i="2"/>
  <c r="P1732" i="2"/>
  <c r="M1732" i="2"/>
  <c r="L1732" i="2"/>
  <c r="K1732" i="2"/>
  <c r="G1732" i="2"/>
  <c r="E1732" i="2"/>
  <c r="B1732" i="2"/>
  <c r="S1731" i="2"/>
  <c r="P1731" i="2"/>
  <c r="M1731" i="2"/>
  <c r="L1731" i="2"/>
  <c r="K1731" i="2"/>
  <c r="G1731" i="2"/>
  <c r="E1731" i="2"/>
  <c r="B1731" i="2"/>
  <c r="S1730" i="2"/>
  <c r="P1730" i="2"/>
  <c r="M1730" i="2"/>
  <c r="L1730" i="2"/>
  <c r="K1730" i="2"/>
  <c r="G1730" i="2"/>
  <c r="E1730" i="2"/>
  <c r="B1730" i="2"/>
  <c r="S1729" i="2"/>
  <c r="P1729" i="2"/>
  <c r="M1729" i="2"/>
  <c r="L1729" i="2"/>
  <c r="K1729" i="2"/>
  <c r="G1729" i="2"/>
  <c r="E1729" i="2"/>
  <c r="B1729" i="2"/>
  <c r="S1728" i="2"/>
  <c r="P1728" i="2"/>
  <c r="M1728" i="2"/>
  <c r="L1728" i="2"/>
  <c r="K1728" i="2"/>
  <c r="G1728" i="2"/>
  <c r="E1728" i="2"/>
  <c r="B1728" i="2"/>
  <c r="S1727" i="2"/>
  <c r="P1727" i="2"/>
  <c r="M1727" i="2"/>
  <c r="L1727" i="2"/>
  <c r="K1727" i="2"/>
  <c r="G1727" i="2"/>
  <c r="E1727" i="2"/>
  <c r="B1727" i="2"/>
  <c r="S1726" i="2"/>
  <c r="P1726" i="2"/>
  <c r="M1726" i="2"/>
  <c r="L1726" i="2"/>
  <c r="K1726" i="2"/>
  <c r="G1726" i="2"/>
  <c r="E1726" i="2"/>
  <c r="B1726" i="2"/>
  <c r="S1725" i="2"/>
  <c r="P1725" i="2"/>
  <c r="M1725" i="2"/>
  <c r="L1725" i="2"/>
  <c r="K1725" i="2"/>
  <c r="G1725" i="2"/>
  <c r="E1725" i="2"/>
  <c r="B1725" i="2"/>
  <c r="S1724" i="2"/>
  <c r="P1724" i="2"/>
  <c r="M1724" i="2"/>
  <c r="L1724" i="2"/>
  <c r="K1724" i="2"/>
  <c r="G1724" i="2"/>
  <c r="E1724" i="2"/>
  <c r="B1724" i="2"/>
  <c r="S1723" i="2"/>
  <c r="P1723" i="2"/>
  <c r="M1723" i="2"/>
  <c r="L1723" i="2"/>
  <c r="K1723" i="2"/>
  <c r="G1723" i="2"/>
  <c r="E1723" i="2"/>
  <c r="B1723" i="2"/>
  <c r="S1722" i="2"/>
  <c r="P1722" i="2"/>
  <c r="M1722" i="2"/>
  <c r="L1722" i="2"/>
  <c r="K1722" i="2"/>
  <c r="G1722" i="2"/>
  <c r="E1722" i="2"/>
  <c r="B1722" i="2"/>
  <c r="S1721" i="2"/>
  <c r="P1721" i="2"/>
  <c r="M1721" i="2"/>
  <c r="L1721" i="2"/>
  <c r="K1721" i="2"/>
  <c r="G1721" i="2"/>
  <c r="E1721" i="2"/>
  <c r="B1721" i="2"/>
  <c r="S1720" i="2"/>
  <c r="P1720" i="2"/>
  <c r="M1720" i="2"/>
  <c r="L1720" i="2"/>
  <c r="K1720" i="2"/>
  <c r="G1720" i="2"/>
  <c r="E1720" i="2"/>
  <c r="B1720" i="2"/>
  <c r="S1719" i="2"/>
  <c r="P1719" i="2"/>
  <c r="M1719" i="2"/>
  <c r="L1719" i="2"/>
  <c r="K1719" i="2"/>
  <c r="G1719" i="2"/>
  <c r="E1719" i="2"/>
  <c r="B1719" i="2"/>
  <c r="S1718" i="2"/>
  <c r="P1718" i="2"/>
  <c r="M1718" i="2"/>
  <c r="L1718" i="2"/>
  <c r="K1718" i="2"/>
  <c r="G1718" i="2"/>
  <c r="E1718" i="2"/>
  <c r="B1718" i="2"/>
  <c r="S1717" i="2"/>
  <c r="P1717" i="2"/>
  <c r="M1717" i="2"/>
  <c r="L1717" i="2"/>
  <c r="K1717" i="2"/>
  <c r="G1717" i="2"/>
  <c r="E1717" i="2"/>
  <c r="B1717" i="2"/>
  <c r="S1716" i="2"/>
  <c r="P1716" i="2"/>
  <c r="M1716" i="2"/>
  <c r="L1716" i="2"/>
  <c r="K1716" i="2"/>
  <c r="G1716" i="2"/>
  <c r="E1716" i="2"/>
  <c r="B1716" i="2"/>
  <c r="S1715" i="2"/>
  <c r="P1715" i="2"/>
  <c r="M1715" i="2"/>
  <c r="L1715" i="2"/>
  <c r="K1715" i="2"/>
  <c r="G1715" i="2"/>
  <c r="E1715" i="2"/>
  <c r="B1715" i="2"/>
  <c r="S1714" i="2"/>
  <c r="P1714" i="2"/>
  <c r="M1714" i="2"/>
  <c r="L1714" i="2"/>
  <c r="K1714" i="2"/>
  <c r="G1714" i="2"/>
  <c r="E1714" i="2"/>
  <c r="B1714" i="2"/>
  <c r="S1713" i="2"/>
  <c r="P1713" i="2"/>
  <c r="M1713" i="2"/>
  <c r="L1713" i="2"/>
  <c r="K1713" i="2"/>
  <c r="G1713" i="2"/>
  <c r="E1713" i="2"/>
  <c r="B1713" i="2"/>
  <c r="S1712" i="2"/>
  <c r="P1712" i="2"/>
  <c r="M1712" i="2"/>
  <c r="L1712" i="2"/>
  <c r="K1712" i="2"/>
  <c r="G1712" i="2"/>
  <c r="E1712" i="2"/>
  <c r="B1712" i="2"/>
  <c r="S1711" i="2"/>
  <c r="P1711" i="2"/>
  <c r="M1711" i="2"/>
  <c r="L1711" i="2"/>
  <c r="K1711" i="2"/>
  <c r="G1711" i="2"/>
  <c r="E1711" i="2"/>
  <c r="B1711" i="2"/>
  <c r="S1710" i="2"/>
  <c r="P1710" i="2"/>
  <c r="M1710" i="2"/>
  <c r="L1710" i="2"/>
  <c r="K1710" i="2"/>
  <c r="G1710" i="2"/>
  <c r="E1710" i="2"/>
  <c r="B1710" i="2"/>
  <c r="S1709" i="2"/>
  <c r="P1709" i="2"/>
  <c r="M1709" i="2"/>
  <c r="L1709" i="2"/>
  <c r="K1709" i="2"/>
  <c r="G1709" i="2"/>
  <c r="E1709" i="2"/>
  <c r="B1709" i="2"/>
  <c r="S1708" i="2"/>
  <c r="P1708" i="2"/>
  <c r="M1708" i="2"/>
  <c r="L1708" i="2"/>
  <c r="K1708" i="2"/>
  <c r="G1708" i="2"/>
  <c r="E1708" i="2"/>
  <c r="B1708" i="2"/>
  <c r="S1707" i="2"/>
  <c r="P1707" i="2"/>
  <c r="M1707" i="2"/>
  <c r="L1707" i="2"/>
  <c r="K1707" i="2"/>
  <c r="G1707" i="2"/>
  <c r="E1707" i="2"/>
  <c r="B1707" i="2"/>
  <c r="S1706" i="2"/>
  <c r="P1706" i="2"/>
  <c r="M1706" i="2"/>
  <c r="L1706" i="2"/>
  <c r="K1706" i="2"/>
  <c r="G1706" i="2"/>
  <c r="E1706" i="2"/>
  <c r="B1706" i="2"/>
  <c r="S1705" i="2"/>
  <c r="P1705" i="2"/>
  <c r="M1705" i="2"/>
  <c r="L1705" i="2"/>
  <c r="K1705" i="2"/>
  <c r="G1705" i="2"/>
  <c r="E1705" i="2"/>
  <c r="B1705" i="2"/>
  <c r="S1704" i="2"/>
  <c r="P1704" i="2"/>
  <c r="M1704" i="2"/>
  <c r="L1704" i="2"/>
  <c r="K1704" i="2"/>
  <c r="G1704" i="2"/>
  <c r="E1704" i="2"/>
  <c r="B1704" i="2"/>
  <c r="S1703" i="2"/>
  <c r="P1703" i="2"/>
  <c r="M1703" i="2"/>
  <c r="L1703" i="2"/>
  <c r="K1703" i="2"/>
  <c r="G1703" i="2"/>
  <c r="E1703" i="2"/>
  <c r="B1703" i="2"/>
  <c r="S1702" i="2"/>
  <c r="P1702" i="2"/>
  <c r="M1702" i="2"/>
  <c r="L1702" i="2"/>
  <c r="K1702" i="2"/>
  <c r="G1702" i="2"/>
  <c r="E1702" i="2"/>
  <c r="B1702" i="2"/>
  <c r="S1701" i="2"/>
  <c r="P1701" i="2"/>
  <c r="M1701" i="2"/>
  <c r="L1701" i="2"/>
  <c r="K1701" i="2"/>
  <c r="G1701" i="2"/>
  <c r="E1701" i="2"/>
  <c r="B1701" i="2"/>
  <c r="S1700" i="2"/>
  <c r="P1700" i="2"/>
  <c r="M1700" i="2"/>
  <c r="L1700" i="2"/>
  <c r="K1700" i="2"/>
  <c r="G1700" i="2"/>
  <c r="E1700" i="2"/>
  <c r="B1700" i="2"/>
  <c r="S1699" i="2"/>
  <c r="P1699" i="2"/>
  <c r="M1699" i="2"/>
  <c r="L1699" i="2"/>
  <c r="K1699" i="2"/>
  <c r="G1699" i="2"/>
  <c r="E1699" i="2"/>
  <c r="B1699" i="2"/>
  <c r="S1698" i="2"/>
  <c r="P1698" i="2"/>
  <c r="M1698" i="2"/>
  <c r="L1698" i="2"/>
  <c r="K1698" i="2"/>
  <c r="G1698" i="2"/>
  <c r="E1698" i="2"/>
  <c r="B1698" i="2"/>
  <c r="S1697" i="2"/>
  <c r="P1697" i="2"/>
  <c r="M1697" i="2"/>
  <c r="L1697" i="2"/>
  <c r="K1697" i="2"/>
  <c r="G1697" i="2"/>
  <c r="E1697" i="2"/>
  <c r="B1697" i="2"/>
  <c r="S1696" i="2"/>
  <c r="P1696" i="2"/>
  <c r="M1696" i="2"/>
  <c r="L1696" i="2"/>
  <c r="K1696" i="2"/>
  <c r="G1696" i="2"/>
  <c r="E1696" i="2"/>
  <c r="B1696" i="2"/>
  <c r="S1695" i="2"/>
  <c r="P1695" i="2"/>
  <c r="M1695" i="2"/>
  <c r="L1695" i="2"/>
  <c r="K1695" i="2"/>
  <c r="G1695" i="2"/>
  <c r="E1695" i="2"/>
  <c r="B1695" i="2"/>
  <c r="S1694" i="2"/>
  <c r="P1694" i="2"/>
  <c r="M1694" i="2"/>
  <c r="L1694" i="2"/>
  <c r="K1694" i="2"/>
  <c r="G1694" i="2"/>
  <c r="E1694" i="2"/>
  <c r="B1694" i="2"/>
  <c r="S1693" i="2"/>
  <c r="P1693" i="2"/>
  <c r="M1693" i="2"/>
  <c r="L1693" i="2"/>
  <c r="K1693" i="2"/>
  <c r="G1693" i="2"/>
  <c r="E1693" i="2"/>
  <c r="B1693" i="2"/>
  <c r="S1692" i="2"/>
  <c r="P1692" i="2"/>
  <c r="M1692" i="2"/>
  <c r="L1692" i="2"/>
  <c r="K1692" i="2"/>
  <c r="G1692" i="2"/>
  <c r="E1692" i="2"/>
  <c r="B1692" i="2"/>
  <c r="S1691" i="2"/>
  <c r="P1691" i="2"/>
  <c r="M1691" i="2"/>
  <c r="L1691" i="2"/>
  <c r="K1691" i="2"/>
  <c r="G1691" i="2"/>
  <c r="E1691" i="2"/>
  <c r="B1691" i="2"/>
  <c r="S1690" i="2"/>
  <c r="P1690" i="2"/>
  <c r="M1690" i="2"/>
  <c r="L1690" i="2"/>
  <c r="K1690" i="2"/>
  <c r="G1690" i="2"/>
  <c r="E1690" i="2"/>
  <c r="B1690" i="2"/>
  <c r="S1689" i="2"/>
  <c r="P1689" i="2"/>
  <c r="M1689" i="2"/>
  <c r="L1689" i="2"/>
  <c r="K1689" i="2"/>
  <c r="G1689" i="2"/>
  <c r="E1689" i="2"/>
  <c r="B1689" i="2"/>
  <c r="S1688" i="2"/>
  <c r="P1688" i="2"/>
  <c r="M1688" i="2"/>
  <c r="L1688" i="2"/>
  <c r="K1688" i="2"/>
  <c r="G1688" i="2"/>
  <c r="E1688" i="2"/>
  <c r="B1688" i="2"/>
  <c r="S1687" i="2"/>
  <c r="P1687" i="2"/>
  <c r="M1687" i="2"/>
  <c r="L1687" i="2"/>
  <c r="K1687" i="2"/>
  <c r="G1687" i="2"/>
  <c r="E1687" i="2"/>
  <c r="B1687" i="2"/>
  <c r="S1686" i="2"/>
  <c r="P1686" i="2"/>
  <c r="M1686" i="2"/>
  <c r="L1686" i="2"/>
  <c r="K1686" i="2"/>
  <c r="G1686" i="2"/>
  <c r="E1686" i="2"/>
  <c r="B1686" i="2"/>
  <c r="S1685" i="2"/>
  <c r="P1685" i="2"/>
  <c r="M1685" i="2"/>
  <c r="L1685" i="2"/>
  <c r="K1685" i="2"/>
  <c r="G1685" i="2"/>
  <c r="E1685" i="2"/>
  <c r="B1685" i="2"/>
  <c r="S1684" i="2"/>
  <c r="P1684" i="2"/>
  <c r="M1684" i="2"/>
  <c r="L1684" i="2"/>
  <c r="K1684" i="2"/>
  <c r="G1684" i="2"/>
  <c r="E1684" i="2"/>
  <c r="B1684" i="2"/>
  <c r="S1683" i="2"/>
  <c r="P1683" i="2"/>
  <c r="M1683" i="2"/>
  <c r="L1683" i="2"/>
  <c r="K1683" i="2"/>
  <c r="G1683" i="2"/>
  <c r="E1683" i="2"/>
  <c r="B1683" i="2"/>
  <c r="S1682" i="2"/>
  <c r="P1682" i="2"/>
  <c r="M1682" i="2"/>
  <c r="L1682" i="2"/>
  <c r="K1682" i="2"/>
  <c r="G1682" i="2"/>
  <c r="E1682" i="2"/>
  <c r="B1682" i="2"/>
  <c r="S1681" i="2"/>
  <c r="P1681" i="2"/>
  <c r="M1681" i="2"/>
  <c r="L1681" i="2"/>
  <c r="K1681" i="2"/>
  <c r="G1681" i="2"/>
  <c r="E1681" i="2"/>
  <c r="B1681" i="2"/>
  <c r="S1680" i="2"/>
  <c r="P1680" i="2"/>
  <c r="M1680" i="2"/>
  <c r="L1680" i="2"/>
  <c r="K1680" i="2"/>
  <c r="G1680" i="2"/>
  <c r="E1680" i="2"/>
  <c r="B1680" i="2"/>
  <c r="S1679" i="2"/>
  <c r="P1679" i="2"/>
  <c r="M1679" i="2"/>
  <c r="L1679" i="2"/>
  <c r="K1679" i="2"/>
  <c r="G1679" i="2"/>
  <c r="E1679" i="2"/>
  <c r="B1679" i="2"/>
  <c r="S1678" i="2"/>
  <c r="P1678" i="2"/>
  <c r="M1678" i="2"/>
  <c r="L1678" i="2"/>
  <c r="K1678" i="2"/>
  <c r="G1678" i="2"/>
  <c r="E1678" i="2"/>
  <c r="B1678" i="2"/>
  <c r="S1677" i="2"/>
  <c r="P1677" i="2"/>
  <c r="M1677" i="2"/>
  <c r="L1677" i="2"/>
  <c r="K1677" i="2"/>
  <c r="G1677" i="2"/>
  <c r="E1677" i="2"/>
  <c r="B1677" i="2"/>
  <c r="S1676" i="2"/>
  <c r="P1676" i="2"/>
  <c r="M1676" i="2"/>
  <c r="L1676" i="2"/>
  <c r="K1676" i="2"/>
  <c r="G1676" i="2"/>
  <c r="E1676" i="2"/>
  <c r="B1676" i="2"/>
  <c r="S1675" i="2"/>
  <c r="P1675" i="2"/>
  <c r="M1675" i="2"/>
  <c r="L1675" i="2"/>
  <c r="K1675" i="2"/>
  <c r="G1675" i="2"/>
  <c r="E1675" i="2"/>
  <c r="B1675" i="2"/>
  <c r="S1674" i="2"/>
  <c r="P1674" i="2"/>
  <c r="M1674" i="2"/>
  <c r="L1674" i="2"/>
  <c r="K1674" i="2"/>
  <c r="G1674" i="2"/>
  <c r="E1674" i="2"/>
  <c r="B1674" i="2"/>
  <c r="S1673" i="2"/>
  <c r="P1673" i="2"/>
  <c r="M1673" i="2"/>
  <c r="L1673" i="2"/>
  <c r="K1673" i="2"/>
  <c r="G1673" i="2"/>
  <c r="E1673" i="2"/>
  <c r="B1673" i="2"/>
  <c r="S1672" i="2"/>
  <c r="P1672" i="2"/>
  <c r="M1672" i="2"/>
  <c r="L1672" i="2"/>
  <c r="K1672" i="2"/>
  <c r="G1672" i="2"/>
  <c r="E1672" i="2"/>
  <c r="B1672" i="2"/>
  <c r="S1671" i="2"/>
  <c r="P1671" i="2"/>
  <c r="M1671" i="2"/>
  <c r="L1671" i="2"/>
  <c r="K1671" i="2"/>
  <c r="G1671" i="2"/>
  <c r="E1671" i="2"/>
  <c r="B1671" i="2"/>
  <c r="S1670" i="2"/>
  <c r="P1670" i="2"/>
  <c r="M1670" i="2"/>
  <c r="L1670" i="2"/>
  <c r="K1670" i="2"/>
  <c r="G1670" i="2"/>
  <c r="E1670" i="2"/>
  <c r="B1670" i="2"/>
  <c r="S1669" i="2"/>
  <c r="P1669" i="2"/>
  <c r="M1669" i="2"/>
  <c r="L1669" i="2"/>
  <c r="K1669" i="2"/>
  <c r="G1669" i="2"/>
  <c r="E1669" i="2"/>
  <c r="B1669" i="2"/>
  <c r="S1668" i="2"/>
  <c r="P1668" i="2"/>
  <c r="M1668" i="2"/>
  <c r="L1668" i="2"/>
  <c r="K1668" i="2"/>
  <c r="G1668" i="2"/>
  <c r="E1668" i="2"/>
  <c r="B1668" i="2"/>
  <c r="S1667" i="2"/>
  <c r="P1667" i="2"/>
  <c r="M1667" i="2"/>
  <c r="L1667" i="2"/>
  <c r="K1667" i="2"/>
  <c r="G1667" i="2"/>
  <c r="E1667" i="2"/>
  <c r="B1667" i="2"/>
  <c r="S1666" i="2"/>
  <c r="P1666" i="2"/>
  <c r="M1666" i="2"/>
  <c r="L1666" i="2"/>
  <c r="K1666" i="2"/>
  <c r="G1666" i="2"/>
  <c r="E1666" i="2"/>
  <c r="B1666" i="2"/>
  <c r="S1665" i="2"/>
  <c r="P1665" i="2"/>
  <c r="M1665" i="2"/>
  <c r="L1665" i="2"/>
  <c r="K1665" i="2"/>
  <c r="G1665" i="2"/>
  <c r="E1665" i="2"/>
  <c r="B1665" i="2"/>
  <c r="S1664" i="2"/>
  <c r="P1664" i="2"/>
  <c r="M1664" i="2"/>
  <c r="L1664" i="2"/>
  <c r="K1664" i="2"/>
  <c r="G1664" i="2"/>
  <c r="E1664" i="2"/>
  <c r="B1664" i="2"/>
  <c r="S1663" i="2"/>
  <c r="P1663" i="2"/>
  <c r="M1663" i="2"/>
  <c r="L1663" i="2"/>
  <c r="K1663" i="2"/>
  <c r="G1663" i="2"/>
  <c r="E1663" i="2"/>
  <c r="B1663" i="2"/>
  <c r="S1662" i="2"/>
  <c r="P1662" i="2"/>
  <c r="M1662" i="2"/>
  <c r="L1662" i="2"/>
  <c r="K1662" i="2"/>
  <c r="G1662" i="2"/>
  <c r="E1662" i="2"/>
  <c r="B1662" i="2"/>
  <c r="S1661" i="2"/>
  <c r="P1661" i="2"/>
  <c r="M1661" i="2"/>
  <c r="L1661" i="2"/>
  <c r="K1661" i="2"/>
  <c r="G1661" i="2"/>
  <c r="E1661" i="2"/>
  <c r="B1661" i="2"/>
  <c r="S1660" i="2"/>
  <c r="P1660" i="2"/>
  <c r="M1660" i="2"/>
  <c r="L1660" i="2"/>
  <c r="K1660" i="2"/>
  <c r="G1660" i="2"/>
  <c r="E1660" i="2"/>
  <c r="B1660" i="2"/>
  <c r="S1659" i="2"/>
  <c r="P1659" i="2"/>
  <c r="M1659" i="2"/>
  <c r="L1659" i="2"/>
  <c r="K1659" i="2"/>
  <c r="G1659" i="2"/>
  <c r="E1659" i="2"/>
  <c r="B1659" i="2"/>
  <c r="S1658" i="2"/>
  <c r="P1658" i="2"/>
  <c r="M1658" i="2"/>
  <c r="L1658" i="2"/>
  <c r="K1658" i="2"/>
  <c r="G1658" i="2"/>
  <c r="E1658" i="2"/>
  <c r="B1658" i="2"/>
  <c r="S1657" i="2"/>
  <c r="P1657" i="2"/>
  <c r="M1657" i="2"/>
  <c r="L1657" i="2"/>
  <c r="K1657" i="2"/>
  <c r="G1657" i="2"/>
  <c r="E1657" i="2"/>
  <c r="B1657" i="2"/>
  <c r="S1656" i="2"/>
  <c r="P1656" i="2"/>
  <c r="M1656" i="2"/>
  <c r="L1656" i="2"/>
  <c r="K1656" i="2"/>
  <c r="G1656" i="2"/>
  <c r="E1656" i="2"/>
  <c r="B1656" i="2"/>
  <c r="S1655" i="2"/>
  <c r="P1655" i="2"/>
  <c r="M1655" i="2"/>
  <c r="L1655" i="2"/>
  <c r="K1655" i="2"/>
  <c r="G1655" i="2"/>
  <c r="E1655" i="2"/>
  <c r="B1655" i="2"/>
  <c r="S1654" i="2"/>
  <c r="P1654" i="2"/>
  <c r="M1654" i="2"/>
  <c r="L1654" i="2"/>
  <c r="K1654" i="2"/>
  <c r="G1654" i="2"/>
  <c r="E1654" i="2"/>
  <c r="B1654" i="2"/>
  <c r="S1653" i="2"/>
  <c r="P1653" i="2"/>
  <c r="M1653" i="2"/>
  <c r="L1653" i="2"/>
  <c r="K1653" i="2"/>
  <c r="G1653" i="2"/>
  <c r="E1653" i="2"/>
  <c r="B1653" i="2"/>
  <c r="S1652" i="2"/>
  <c r="P1652" i="2"/>
  <c r="M1652" i="2"/>
  <c r="L1652" i="2"/>
  <c r="K1652" i="2"/>
  <c r="G1652" i="2"/>
  <c r="E1652" i="2"/>
  <c r="B1652" i="2"/>
  <c r="S1651" i="2"/>
  <c r="P1651" i="2"/>
  <c r="M1651" i="2"/>
  <c r="L1651" i="2"/>
  <c r="K1651" i="2"/>
  <c r="G1651" i="2"/>
  <c r="E1651" i="2"/>
  <c r="B1651" i="2"/>
  <c r="S1650" i="2"/>
  <c r="P1650" i="2"/>
  <c r="M1650" i="2"/>
  <c r="L1650" i="2"/>
  <c r="K1650" i="2"/>
  <c r="G1650" i="2"/>
  <c r="E1650" i="2"/>
  <c r="B1650" i="2"/>
  <c r="S1649" i="2"/>
  <c r="P1649" i="2"/>
  <c r="M1649" i="2"/>
  <c r="L1649" i="2"/>
  <c r="K1649" i="2"/>
  <c r="G1649" i="2"/>
  <c r="E1649" i="2"/>
  <c r="B1649" i="2"/>
  <c r="S1648" i="2"/>
  <c r="P1648" i="2"/>
  <c r="M1648" i="2"/>
  <c r="L1648" i="2"/>
  <c r="K1648" i="2"/>
  <c r="G1648" i="2"/>
  <c r="E1648" i="2"/>
  <c r="B1648" i="2"/>
  <c r="S1647" i="2"/>
  <c r="P1647" i="2"/>
  <c r="M1647" i="2"/>
  <c r="L1647" i="2"/>
  <c r="K1647" i="2"/>
  <c r="G1647" i="2"/>
  <c r="E1647" i="2"/>
  <c r="B1647" i="2"/>
  <c r="S1646" i="2"/>
  <c r="P1646" i="2"/>
  <c r="M1646" i="2"/>
  <c r="L1646" i="2"/>
  <c r="K1646" i="2"/>
  <c r="G1646" i="2"/>
  <c r="E1646" i="2"/>
  <c r="B1646" i="2"/>
  <c r="S1645" i="2"/>
  <c r="P1645" i="2"/>
  <c r="M1645" i="2"/>
  <c r="L1645" i="2"/>
  <c r="K1645" i="2"/>
  <c r="G1645" i="2"/>
  <c r="E1645" i="2"/>
  <c r="B1645" i="2"/>
  <c r="S1644" i="2"/>
  <c r="P1644" i="2"/>
  <c r="M1644" i="2"/>
  <c r="L1644" i="2"/>
  <c r="K1644" i="2"/>
  <c r="G1644" i="2"/>
  <c r="E1644" i="2"/>
  <c r="B1644" i="2"/>
  <c r="S1643" i="2"/>
  <c r="P1643" i="2"/>
  <c r="M1643" i="2"/>
  <c r="L1643" i="2"/>
  <c r="K1643" i="2"/>
  <c r="G1643" i="2"/>
  <c r="E1643" i="2"/>
  <c r="B1643" i="2"/>
  <c r="S1642" i="2"/>
  <c r="P1642" i="2"/>
  <c r="M1642" i="2"/>
  <c r="L1642" i="2"/>
  <c r="K1642" i="2"/>
  <c r="G1642" i="2"/>
  <c r="E1642" i="2"/>
  <c r="B1642" i="2"/>
  <c r="S1641" i="2"/>
  <c r="P1641" i="2"/>
  <c r="M1641" i="2"/>
  <c r="L1641" i="2"/>
  <c r="K1641" i="2"/>
  <c r="H1641" i="2"/>
  <c r="G1641" i="2"/>
  <c r="E1641" i="2"/>
  <c r="B1641" i="2"/>
  <c r="S1640" i="2"/>
  <c r="P1640" i="2"/>
  <c r="M1640" i="2"/>
  <c r="L1640" i="2"/>
  <c r="K1640" i="2"/>
  <c r="G1640" i="2"/>
  <c r="E1640" i="2"/>
  <c r="B1640" i="2"/>
  <c r="S1639" i="2"/>
  <c r="P1639" i="2"/>
  <c r="M1639" i="2"/>
  <c r="L1639" i="2"/>
  <c r="K1639" i="2"/>
  <c r="G1639" i="2"/>
  <c r="E1639" i="2"/>
  <c r="B1639" i="2"/>
  <c r="S1638" i="2"/>
  <c r="P1638" i="2"/>
  <c r="M1638" i="2"/>
  <c r="L1638" i="2"/>
  <c r="K1638" i="2"/>
  <c r="G1638" i="2"/>
  <c r="E1638" i="2"/>
  <c r="B1638" i="2"/>
  <c r="S1637" i="2"/>
  <c r="P1637" i="2"/>
  <c r="M1637" i="2"/>
  <c r="L1637" i="2"/>
  <c r="K1637" i="2"/>
  <c r="G1637" i="2"/>
  <c r="E1637" i="2"/>
  <c r="B1637" i="2"/>
  <c r="S1636" i="2"/>
  <c r="P1636" i="2"/>
  <c r="M1636" i="2"/>
  <c r="L1636" i="2"/>
  <c r="K1636" i="2"/>
  <c r="G1636" i="2"/>
  <c r="E1636" i="2"/>
  <c r="B1636" i="2"/>
  <c r="S1635" i="2"/>
  <c r="P1635" i="2"/>
  <c r="M1635" i="2"/>
  <c r="L1635" i="2"/>
  <c r="K1635" i="2"/>
  <c r="G1635" i="2"/>
  <c r="E1635" i="2"/>
  <c r="B1635" i="2"/>
  <c r="S1634" i="2"/>
  <c r="P1634" i="2"/>
  <c r="M1634" i="2"/>
  <c r="L1634" i="2"/>
  <c r="K1634" i="2"/>
  <c r="G1634" i="2"/>
  <c r="E1634" i="2"/>
  <c r="B1634" i="2"/>
  <c r="S1633" i="2"/>
  <c r="P1633" i="2"/>
  <c r="M1633" i="2"/>
  <c r="L1633" i="2"/>
  <c r="K1633" i="2"/>
  <c r="G1633" i="2"/>
  <c r="E1633" i="2"/>
  <c r="B1633" i="2"/>
  <c r="S1632" i="2"/>
  <c r="P1632" i="2"/>
  <c r="M1632" i="2"/>
  <c r="L1632" i="2"/>
  <c r="K1632" i="2"/>
  <c r="G1632" i="2"/>
  <c r="E1632" i="2"/>
  <c r="B1632" i="2"/>
  <c r="S1631" i="2"/>
  <c r="P1631" i="2"/>
  <c r="M1631" i="2"/>
  <c r="L1631" i="2"/>
  <c r="K1631" i="2"/>
  <c r="G1631" i="2"/>
  <c r="E1631" i="2"/>
  <c r="B1631" i="2"/>
  <c r="S1630" i="2"/>
  <c r="P1630" i="2"/>
  <c r="M1630" i="2"/>
  <c r="L1630" i="2"/>
  <c r="K1630" i="2"/>
  <c r="G1630" i="2"/>
  <c r="E1630" i="2"/>
  <c r="B1630" i="2"/>
  <c r="S1629" i="2"/>
  <c r="P1629" i="2"/>
  <c r="M1629" i="2"/>
  <c r="L1629" i="2"/>
  <c r="K1629" i="2"/>
  <c r="G1629" i="2"/>
  <c r="E1629" i="2"/>
  <c r="B1629" i="2"/>
  <c r="S1628" i="2"/>
  <c r="P1628" i="2"/>
  <c r="M1628" i="2"/>
  <c r="L1628" i="2"/>
  <c r="K1628" i="2"/>
  <c r="G1628" i="2"/>
  <c r="E1628" i="2"/>
  <c r="B1628" i="2"/>
  <c r="S1627" i="2"/>
  <c r="P1627" i="2"/>
  <c r="M1627" i="2"/>
  <c r="L1627" i="2"/>
  <c r="K1627" i="2"/>
  <c r="G1627" i="2"/>
  <c r="E1627" i="2"/>
  <c r="B1627" i="2"/>
  <c r="S1626" i="2"/>
  <c r="P1626" i="2"/>
  <c r="M1626" i="2"/>
  <c r="L1626" i="2"/>
  <c r="K1626" i="2"/>
  <c r="G1626" i="2"/>
  <c r="E1626" i="2"/>
  <c r="B1626" i="2"/>
  <c r="S1625" i="2"/>
  <c r="P1625" i="2"/>
  <c r="M1625" i="2"/>
  <c r="L1625" i="2"/>
  <c r="K1625" i="2"/>
  <c r="G1625" i="2"/>
  <c r="E1625" i="2"/>
  <c r="B1625" i="2"/>
  <c r="S1624" i="2"/>
  <c r="P1624" i="2"/>
  <c r="M1624" i="2"/>
  <c r="L1624" i="2"/>
  <c r="K1624" i="2"/>
  <c r="G1624" i="2"/>
  <c r="E1624" i="2"/>
  <c r="B1624" i="2"/>
  <c r="S1623" i="2"/>
  <c r="P1623" i="2"/>
  <c r="M1623" i="2"/>
  <c r="L1623" i="2"/>
  <c r="K1623" i="2"/>
  <c r="G1623" i="2"/>
  <c r="E1623" i="2"/>
  <c r="B1623" i="2"/>
  <c r="S1622" i="2"/>
  <c r="P1622" i="2"/>
  <c r="M1622" i="2"/>
  <c r="L1622" i="2"/>
  <c r="K1622" i="2"/>
  <c r="G1622" i="2"/>
  <c r="E1622" i="2"/>
  <c r="B1622" i="2"/>
  <c r="S1621" i="2"/>
  <c r="P1621" i="2"/>
  <c r="M1621" i="2"/>
  <c r="L1621" i="2"/>
  <c r="K1621" i="2"/>
  <c r="G1621" i="2"/>
  <c r="E1621" i="2"/>
  <c r="B1621" i="2"/>
  <c r="S1620" i="2"/>
  <c r="P1620" i="2"/>
  <c r="M1620" i="2"/>
  <c r="L1620" i="2"/>
  <c r="K1620" i="2"/>
  <c r="G1620" i="2"/>
  <c r="E1620" i="2"/>
  <c r="B1620" i="2"/>
  <c r="S1619" i="2"/>
  <c r="P1619" i="2"/>
  <c r="M1619" i="2"/>
  <c r="L1619" i="2"/>
  <c r="K1619" i="2"/>
  <c r="G1619" i="2"/>
  <c r="E1619" i="2"/>
  <c r="B1619" i="2"/>
  <c r="S1618" i="2"/>
  <c r="P1618" i="2"/>
  <c r="M1618" i="2"/>
  <c r="L1618" i="2"/>
  <c r="K1618" i="2"/>
  <c r="G1618" i="2"/>
  <c r="E1618" i="2"/>
  <c r="B1618" i="2"/>
  <c r="S1617" i="2"/>
  <c r="P1617" i="2"/>
  <c r="M1617" i="2"/>
  <c r="L1617" i="2"/>
  <c r="K1617" i="2"/>
  <c r="G1617" i="2"/>
  <c r="E1617" i="2"/>
  <c r="B1617" i="2"/>
  <c r="S1616" i="2"/>
  <c r="P1616" i="2"/>
  <c r="M1616" i="2"/>
  <c r="L1616" i="2"/>
  <c r="K1616" i="2"/>
  <c r="G1616" i="2"/>
  <c r="E1616" i="2"/>
  <c r="B1616" i="2"/>
  <c r="S1615" i="2"/>
  <c r="P1615" i="2"/>
  <c r="M1615" i="2"/>
  <c r="L1615" i="2"/>
  <c r="K1615" i="2"/>
  <c r="G1615" i="2"/>
  <c r="E1615" i="2"/>
  <c r="B1615" i="2"/>
  <c r="S1614" i="2"/>
  <c r="P1614" i="2"/>
  <c r="M1614" i="2"/>
  <c r="L1614" i="2"/>
  <c r="K1614" i="2"/>
  <c r="G1614" i="2"/>
  <c r="E1614" i="2"/>
  <c r="B1614" i="2"/>
  <c r="S1613" i="2"/>
  <c r="P1613" i="2"/>
  <c r="M1613" i="2"/>
  <c r="L1613" i="2"/>
  <c r="K1613" i="2"/>
  <c r="G1613" i="2"/>
  <c r="E1613" i="2"/>
  <c r="B1613" i="2"/>
  <c r="S1612" i="2"/>
  <c r="P1612" i="2"/>
  <c r="M1612" i="2"/>
  <c r="L1612" i="2"/>
  <c r="K1612" i="2"/>
  <c r="G1612" i="2"/>
  <c r="E1612" i="2"/>
  <c r="B1612" i="2"/>
  <c r="S1611" i="2"/>
  <c r="P1611" i="2"/>
  <c r="M1611" i="2"/>
  <c r="L1611" i="2"/>
  <c r="K1611" i="2"/>
  <c r="G1611" i="2"/>
  <c r="E1611" i="2"/>
  <c r="B1611" i="2"/>
  <c r="S1610" i="2"/>
  <c r="P1610" i="2"/>
  <c r="M1610" i="2"/>
  <c r="L1610" i="2"/>
  <c r="K1610" i="2"/>
  <c r="G1610" i="2"/>
  <c r="E1610" i="2"/>
  <c r="B1610" i="2"/>
  <c r="S1609" i="2"/>
  <c r="P1609" i="2"/>
  <c r="M1609" i="2"/>
  <c r="L1609" i="2"/>
  <c r="K1609" i="2"/>
  <c r="G1609" i="2"/>
  <c r="E1609" i="2"/>
  <c r="B1609" i="2"/>
  <c r="S1608" i="2"/>
  <c r="P1608" i="2"/>
  <c r="M1608" i="2"/>
  <c r="L1608" i="2"/>
  <c r="K1608" i="2"/>
  <c r="G1608" i="2"/>
  <c r="E1608" i="2"/>
  <c r="B1608" i="2"/>
  <c r="S1607" i="2"/>
  <c r="P1607" i="2"/>
  <c r="M1607" i="2"/>
  <c r="L1607" i="2"/>
  <c r="K1607" i="2"/>
  <c r="G1607" i="2"/>
  <c r="E1607" i="2"/>
  <c r="B1607" i="2"/>
  <c r="S1606" i="2"/>
  <c r="P1606" i="2"/>
  <c r="M1606" i="2"/>
  <c r="L1606" i="2"/>
  <c r="K1606" i="2"/>
  <c r="G1606" i="2"/>
  <c r="E1606" i="2"/>
  <c r="B1606" i="2"/>
  <c r="S1605" i="2"/>
  <c r="P1605" i="2"/>
  <c r="M1605" i="2"/>
  <c r="L1605" i="2"/>
  <c r="K1605" i="2"/>
  <c r="G1605" i="2"/>
  <c r="E1605" i="2"/>
  <c r="B1605" i="2"/>
  <c r="S1604" i="2"/>
  <c r="P1604" i="2"/>
  <c r="M1604" i="2"/>
  <c r="L1604" i="2"/>
  <c r="K1604" i="2"/>
  <c r="G1604" i="2"/>
  <c r="E1604" i="2"/>
  <c r="B1604" i="2"/>
  <c r="S1603" i="2"/>
  <c r="P1603" i="2"/>
  <c r="M1603" i="2"/>
  <c r="L1603" i="2"/>
  <c r="K1603" i="2"/>
  <c r="G1603" i="2"/>
  <c r="E1603" i="2"/>
  <c r="B1603" i="2"/>
  <c r="S1602" i="2"/>
  <c r="P1602" i="2"/>
  <c r="M1602" i="2"/>
  <c r="L1602" i="2"/>
  <c r="K1602" i="2"/>
  <c r="G1602" i="2"/>
  <c r="E1602" i="2"/>
  <c r="B1602" i="2"/>
  <c r="S1601" i="2"/>
  <c r="P1601" i="2"/>
  <c r="M1601" i="2"/>
  <c r="L1601" i="2"/>
  <c r="K1601" i="2"/>
  <c r="G1601" i="2"/>
  <c r="E1601" i="2"/>
  <c r="B1601" i="2"/>
  <c r="S1600" i="2"/>
  <c r="P1600" i="2"/>
  <c r="M1600" i="2"/>
  <c r="L1600" i="2"/>
  <c r="K1600" i="2"/>
  <c r="G1600" i="2"/>
  <c r="E1600" i="2"/>
  <c r="B1600" i="2"/>
  <c r="S1599" i="2"/>
  <c r="P1599" i="2"/>
  <c r="M1599" i="2"/>
  <c r="L1599" i="2"/>
  <c r="K1599" i="2"/>
  <c r="G1599" i="2"/>
  <c r="E1599" i="2"/>
  <c r="B1599" i="2"/>
  <c r="S1598" i="2"/>
  <c r="P1598" i="2"/>
  <c r="M1598" i="2"/>
  <c r="L1598" i="2"/>
  <c r="K1598" i="2"/>
  <c r="G1598" i="2"/>
  <c r="E1598" i="2"/>
  <c r="B1598" i="2"/>
  <c r="S1597" i="2"/>
  <c r="P1597" i="2"/>
  <c r="M1597" i="2"/>
  <c r="L1597" i="2"/>
  <c r="K1597" i="2"/>
  <c r="G1597" i="2"/>
  <c r="E1597" i="2"/>
  <c r="B1597" i="2"/>
  <c r="S1596" i="2"/>
  <c r="P1596" i="2"/>
  <c r="M1596" i="2"/>
  <c r="L1596" i="2"/>
  <c r="K1596" i="2"/>
  <c r="G1596" i="2"/>
  <c r="E1596" i="2"/>
  <c r="B1596" i="2"/>
  <c r="S1595" i="2"/>
  <c r="P1595" i="2"/>
  <c r="M1595" i="2"/>
  <c r="L1595" i="2"/>
  <c r="K1595" i="2"/>
  <c r="G1595" i="2"/>
  <c r="E1595" i="2"/>
  <c r="B1595" i="2"/>
  <c r="S1594" i="2"/>
  <c r="P1594" i="2"/>
  <c r="M1594" i="2"/>
  <c r="L1594" i="2"/>
  <c r="K1594" i="2"/>
  <c r="H1594" i="2"/>
  <c r="G1594" i="2"/>
  <c r="E1594" i="2"/>
  <c r="B1594" i="2"/>
  <c r="S1593" i="2"/>
  <c r="P1593" i="2"/>
  <c r="M1593" i="2"/>
  <c r="L1593" i="2"/>
  <c r="K1593" i="2"/>
  <c r="H1593" i="2"/>
  <c r="G1593" i="2"/>
  <c r="E1593" i="2"/>
  <c r="B1593" i="2"/>
  <c r="S1592" i="2"/>
  <c r="P1592" i="2"/>
  <c r="M1592" i="2"/>
  <c r="L1592" i="2"/>
  <c r="K1592" i="2"/>
  <c r="H1592" i="2"/>
  <c r="G1592" i="2"/>
  <c r="E1592" i="2"/>
  <c r="B1592" i="2"/>
  <c r="S1591" i="2"/>
  <c r="P1591" i="2"/>
  <c r="M1591" i="2"/>
  <c r="L1591" i="2"/>
  <c r="K1591" i="2"/>
  <c r="H1591" i="2"/>
  <c r="G1591" i="2"/>
  <c r="E1591" i="2"/>
  <c r="B1591" i="2"/>
  <c r="S1590" i="2"/>
  <c r="P1590" i="2"/>
  <c r="M1590" i="2"/>
  <c r="L1590" i="2"/>
  <c r="K1590" i="2"/>
  <c r="H1590" i="2"/>
  <c r="G1590" i="2"/>
  <c r="E1590" i="2"/>
  <c r="B1590" i="2"/>
  <c r="S1589" i="2"/>
  <c r="P1589" i="2"/>
  <c r="M1589" i="2"/>
  <c r="L1589" i="2"/>
  <c r="K1589" i="2"/>
  <c r="H1589" i="2"/>
  <c r="G1589" i="2"/>
  <c r="E1589" i="2"/>
  <c r="B1589" i="2"/>
  <c r="S1588" i="2"/>
  <c r="P1588" i="2"/>
  <c r="M1588" i="2"/>
  <c r="L1588" i="2"/>
  <c r="K1588" i="2"/>
  <c r="H1588" i="2"/>
  <c r="G1588" i="2"/>
  <c r="E1588" i="2"/>
  <c r="B1588" i="2"/>
  <c r="S1587" i="2"/>
  <c r="P1587" i="2"/>
  <c r="M1587" i="2"/>
  <c r="L1587" i="2"/>
  <c r="K1587" i="2"/>
  <c r="G1587" i="2"/>
  <c r="E1587" i="2"/>
  <c r="B1587" i="2"/>
  <c r="S1586" i="2"/>
  <c r="P1586" i="2"/>
  <c r="M1586" i="2"/>
  <c r="L1586" i="2"/>
  <c r="K1586" i="2"/>
  <c r="H1586" i="2"/>
  <c r="G1586" i="2"/>
  <c r="E1586" i="2"/>
  <c r="B1586" i="2"/>
  <c r="S1585" i="2"/>
  <c r="P1585" i="2"/>
  <c r="M1585" i="2"/>
  <c r="L1585" i="2"/>
  <c r="K1585" i="2"/>
  <c r="G1585" i="2"/>
  <c r="E1585" i="2"/>
  <c r="B1585" i="2"/>
  <c r="S1584" i="2"/>
  <c r="P1584" i="2"/>
  <c r="M1584" i="2"/>
  <c r="L1584" i="2"/>
  <c r="K1584" i="2"/>
  <c r="G1584" i="2"/>
  <c r="E1584" i="2"/>
  <c r="B1584" i="2"/>
  <c r="S1583" i="2"/>
  <c r="P1583" i="2"/>
  <c r="M1583" i="2"/>
  <c r="L1583" i="2"/>
  <c r="K1583" i="2"/>
  <c r="G1583" i="2"/>
  <c r="E1583" i="2"/>
  <c r="B1583" i="2"/>
  <c r="S1582" i="2"/>
  <c r="P1582" i="2"/>
  <c r="M1582" i="2"/>
  <c r="L1582" i="2"/>
  <c r="K1582" i="2"/>
  <c r="G1582" i="2"/>
  <c r="E1582" i="2"/>
  <c r="B1582" i="2"/>
  <c r="S1581" i="2"/>
  <c r="P1581" i="2"/>
  <c r="M1581" i="2"/>
  <c r="L1581" i="2"/>
  <c r="K1581" i="2"/>
  <c r="G1581" i="2"/>
  <c r="E1581" i="2"/>
  <c r="B1581" i="2"/>
  <c r="S1580" i="2"/>
  <c r="P1580" i="2"/>
  <c r="M1580" i="2"/>
  <c r="L1580" i="2"/>
  <c r="K1580" i="2"/>
  <c r="G1580" i="2"/>
  <c r="E1580" i="2"/>
  <c r="B1580" i="2"/>
  <c r="S1579" i="2"/>
  <c r="P1579" i="2"/>
  <c r="M1579" i="2"/>
  <c r="L1579" i="2"/>
  <c r="K1579" i="2"/>
  <c r="G1579" i="2"/>
  <c r="E1579" i="2"/>
  <c r="B1579" i="2"/>
  <c r="S1578" i="2"/>
  <c r="P1578" i="2"/>
  <c r="M1578" i="2"/>
  <c r="L1578" i="2"/>
  <c r="K1578" i="2"/>
  <c r="G1578" i="2"/>
  <c r="E1578" i="2"/>
  <c r="B1578" i="2"/>
  <c r="S1577" i="2"/>
  <c r="P1577" i="2"/>
  <c r="M1577" i="2"/>
  <c r="L1577" i="2"/>
  <c r="K1577" i="2"/>
  <c r="G1577" i="2"/>
  <c r="E1577" i="2"/>
  <c r="B1577" i="2"/>
  <c r="S1576" i="2"/>
  <c r="P1576" i="2"/>
  <c r="M1576" i="2"/>
  <c r="L1576" i="2"/>
  <c r="K1576" i="2"/>
  <c r="G1576" i="2"/>
  <c r="E1576" i="2"/>
  <c r="B1576" i="2"/>
  <c r="S1575" i="2"/>
  <c r="P1575" i="2"/>
  <c r="M1575" i="2"/>
  <c r="L1575" i="2"/>
  <c r="K1575" i="2"/>
  <c r="G1575" i="2"/>
  <c r="E1575" i="2"/>
  <c r="B1575" i="2"/>
  <c r="S1574" i="2"/>
  <c r="P1574" i="2"/>
  <c r="M1574" i="2"/>
  <c r="L1574" i="2"/>
  <c r="K1574" i="2"/>
  <c r="G1574" i="2"/>
  <c r="E1574" i="2"/>
  <c r="B1574" i="2"/>
  <c r="S1573" i="2"/>
  <c r="P1573" i="2"/>
  <c r="M1573" i="2"/>
  <c r="L1573" i="2"/>
  <c r="K1573" i="2"/>
  <c r="G1573" i="2"/>
  <c r="E1573" i="2"/>
  <c r="B1573" i="2"/>
  <c r="S1572" i="2"/>
  <c r="P1572" i="2"/>
  <c r="M1572" i="2"/>
  <c r="L1572" i="2"/>
  <c r="K1572" i="2"/>
  <c r="G1572" i="2"/>
  <c r="E1572" i="2"/>
  <c r="B1572" i="2"/>
  <c r="S1571" i="2"/>
  <c r="P1571" i="2"/>
  <c r="M1571" i="2"/>
  <c r="L1571" i="2"/>
  <c r="K1571" i="2"/>
  <c r="G1571" i="2"/>
  <c r="E1571" i="2"/>
  <c r="B1571" i="2"/>
  <c r="S1570" i="2"/>
  <c r="P1570" i="2"/>
  <c r="M1570" i="2"/>
  <c r="L1570" i="2"/>
  <c r="K1570" i="2"/>
  <c r="G1570" i="2"/>
  <c r="E1570" i="2"/>
  <c r="B1570" i="2"/>
  <c r="S1569" i="2"/>
  <c r="P1569" i="2"/>
  <c r="M1569" i="2"/>
  <c r="L1569" i="2"/>
  <c r="K1569" i="2"/>
  <c r="G1569" i="2"/>
  <c r="E1569" i="2"/>
  <c r="B1569" i="2"/>
  <c r="S1568" i="2"/>
  <c r="P1568" i="2"/>
  <c r="M1568" i="2"/>
  <c r="L1568" i="2"/>
  <c r="K1568" i="2"/>
  <c r="G1568" i="2"/>
  <c r="E1568" i="2"/>
  <c r="B1568" i="2"/>
  <c r="S1567" i="2"/>
  <c r="P1567" i="2"/>
  <c r="M1567" i="2"/>
  <c r="L1567" i="2"/>
  <c r="K1567" i="2"/>
  <c r="G1567" i="2"/>
  <c r="E1567" i="2"/>
  <c r="B1567" i="2"/>
  <c r="S1566" i="2"/>
  <c r="P1566" i="2"/>
  <c r="M1566" i="2"/>
  <c r="L1566" i="2"/>
  <c r="K1566" i="2"/>
  <c r="G1566" i="2"/>
  <c r="E1566" i="2"/>
  <c r="B1566" i="2"/>
  <c r="S1565" i="2"/>
  <c r="P1565" i="2"/>
  <c r="M1565" i="2"/>
  <c r="L1565" i="2"/>
  <c r="K1565" i="2"/>
  <c r="G1565" i="2"/>
  <c r="E1565" i="2"/>
  <c r="B1565" i="2"/>
  <c r="S1564" i="2"/>
  <c r="P1564" i="2"/>
  <c r="M1564" i="2"/>
  <c r="L1564" i="2"/>
  <c r="K1564" i="2"/>
  <c r="G1564" i="2"/>
  <c r="E1564" i="2"/>
  <c r="B1564" i="2"/>
  <c r="S1563" i="2"/>
  <c r="P1563" i="2"/>
  <c r="M1563" i="2"/>
  <c r="L1563" i="2"/>
  <c r="K1563" i="2"/>
  <c r="G1563" i="2"/>
  <c r="E1563" i="2"/>
  <c r="B1563" i="2"/>
  <c r="S1562" i="2"/>
  <c r="P1562" i="2"/>
  <c r="M1562" i="2"/>
  <c r="L1562" i="2"/>
  <c r="K1562" i="2"/>
  <c r="G1562" i="2"/>
  <c r="E1562" i="2"/>
  <c r="B1562" i="2"/>
  <c r="S1561" i="2"/>
  <c r="P1561" i="2"/>
  <c r="M1561" i="2"/>
  <c r="L1561" i="2"/>
  <c r="K1561" i="2"/>
  <c r="G1561" i="2"/>
  <c r="E1561" i="2"/>
  <c r="B1561" i="2"/>
  <c r="S1560" i="2"/>
  <c r="P1560" i="2"/>
  <c r="M1560" i="2"/>
  <c r="L1560" i="2"/>
  <c r="K1560" i="2"/>
  <c r="G1560" i="2"/>
  <c r="E1560" i="2"/>
  <c r="B1560" i="2"/>
  <c r="S1559" i="2"/>
  <c r="P1559" i="2"/>
  <c r="M1559" i="2"/>
  <c r="L1559" i="2"/>
  <c r="K1559" i="2"/>
  <c r="G1559" i="2"/>
  <c r="E1559" i="2"/>
  <c r="B1559" i="2"/>
  <c r="S1558" i="2"/>
  <c r="P1558" i="2"/>
  <c r="M1558" i="2"/>
  <c r="L1558" i="2"/>
  <c r="K1558" i="2"/>
  <c r="G1558" i="2"/>
  <c r="E1558" i="2"/>
  <c r="B1558" i="2"/>
  <c r="S1557" i="2"/>
  <c r="P1557" i="2"/>
  <c r="M1557" i="2"/>
  <c r="L1557" i="2"/>
  <c r="K1557" i="2"/>
  <c r="G1557" i="2"/>
  <c r="E1557" i="2"/>
  <c r="B1557" i="2"/>
  <c r="S1556" i="2"/>
  <c r="P1556" i="2"/>
  <c r="M1556" i="2"/>
  <c r="L1556" i="2"/>
  <c r="K1556" i="2"/>
  <c r="G1556" i="2"/>
  <c r="E1556" i="2"/>
  <c r="B1556" i="2"/>
  <c r="S1555" i="2"/>
  <c r="P1555" i="2"/>
  <c r="M1555" i="2"/>
  <c r="L1555" i="2"/>
  <c r="K1555" i="2"/>
  <c r="G1555" i="2"/>
  <c r="E1555" i="2"/>
  <c r="B1555" i="2"/>
  <c r="S1554" i="2"/>
  <c r="P1554" i="2"/>
  <c r="M1554" i="2"/>
  <c r="L1554" i="2"/>
  <c r="K1554" i="2"/>
  <c r="G1554" i="2"/>
  <c r="E1554" i="2"/>
  <c r="B1554" i="2"/>
  <c r="S1553" i="2"/>
  <c r="P1553" i="2"/>
  <c r="M1553" i="2"/>
  <c r="L1553" i="2"/>
  <c r="K1553" i="2"/>
  <c r="G1553" i="2"/>
  <c r="E1553" i="2"/>
  <c r="B1553" i="2"/>
  <c r="S1552" i="2"/>
  <c r="P1552" i="2"/>
  <c r="M1552" i="2"/>
  <c r="L1552" i="2"/>
  <c r="K1552" i="2"/>
  <c r="G1552" i="2"/>
  <c r="E1552" i="2"/>
  <c r="B1552" i="2"/>
  <c r="S1551" i="2"/>
  <c r="P1551" i="2"/>
  <c r="M1551" i="2"/>
  <c r="L1551" i="2"/>
  <c r="K1551" i="2"/>
  <c r="G1551" i="2"/>
  <c r="E1551" i="2"/>
  <c r="B1551" i="2"/>
  <c r="S1550" i="2"/>
  <c r="P1550" i="2"/>
  <c r="M1550" i="2"/>
  <c r="L1550" i="2"/>
  <c r="K1550" i="2"/>
  <c r="G1550" i="2"/>
  <c r="E1550" i="2"/>
  <c r="B1550" i="2"/>
  <c r="S1549" i="2"/>
  <c r="P1549" i="2"/>
  <c r="M1549" i="2"/>
  <c r="L1549" i="2"/>
  <c r="K1549" i="2"/>
  <c r="G1549" i="2"/>
  <c r="E1549" i="2"/>
  <c r="B1549" i="2"/>
  <c r="S1548" i="2"/>
  <c r="P1548" i="2"/>
  <c r="M1548" i="2"/>
  <c r="L1548" i="2"/>
  <c r="K1548" i="2"/>
  <c r="G1548" i="2"/>
  <c r="E1548" i="2"/>
  <c r="B1548" i="2"/>
  <c r="S1547" i="2"/>
  <c r="P1547" i="2"/>
  <c r="M1547" i="2"/>
  <c r="L1547" i="2"/>
  <c r="K1547" i="2"/>
  <c r="G1547" i="2"/>
  <c r="E1547" i="2"/>
  <c r="B1547" i="2"/>
  <c r="S1546" i="2"/>
  <c r="P1546" i="2"/>
  <c r="M1546" i="2"/>
  <c r="L1546" i="2"/>
  <c r="K1546" i="2"/>
  <c r="G1546" i="2"/>
  <c r="E1546" i="2"/>
  <c r="B1546" i="2"/>
  <c r="S1545" i="2"/>
  <c r="P1545" i="2"/>
  <c r="M1545" i="2"/>
  <c r="L1545" i="2"/>
  <c r="K1545" i="2"/>
  <c r="G1545" i="2"/>
  <c r="E1545" i="2"/>
  <c r="B1545" i="2"/>
  <c r="S1544" i="2"/>
  <c r="P1544" i="2"/>
  <c r="M1544" i="2"/>
  <c r="L1544" i="2"/>
  <c r="K1544" i="2"/>
  <c r="G1544" i="2"/>
  <c r="E1544" i="2"/>
  <c r="B1544" i="2"/>
  <c r="S1543" i="2"/>
  <c r="P1543" i="2"/>
  <c r="M1543" i="2"/>
  <c r="L1543" i="2"/>
  <c r="K1543" i="2"/>
  <c r="G1543" i="2"/>
  <c r="E1543" i="2"/>
  <c r="B1543" i="2"/>
  <c r="S1542" i="2"/>
  <c r="P1542" i="2"/>
  <c r="M1542" i="2"/>
  <c r="L1542" i="2"/>
  <c r="K1542" i="2"/>
  <c r="G1542" i="2"/>
  <c r="E1542" i="2"/>
  <c r="B1542" i="2"/>
  <c r="S1541" i="2"/>
  <c r="P1541" i="2"/>
  <c r="M1541" i="2"/>
  <c r="L1541" i="2"/>
  <c r="K1541" i="2"/>
  <c r="G1541" i="2"/>
  <c r="E1541" i="2"/>
  <c r="B1541" i="2"/>
  <c r="S1540" i="2"/>
  <c r="P1540" i="2"/>
  <c r="M1540" i="2"/>
  <c r="L1540" i="2"/>
  <c r="K1540" i="2"/>
  <c r="G1540" i="2"/>
  <c r="E1540" i="2"/>
  <c r="B1540" i="2"/>
  <c r="S1539" i="2"/>
  <c r="P1539" i="2"/>
  <c r="M1539" i="2"/>
  <c r="L1539" i="2"/>
  <c r="K1539" i="2"/>
  <c r="G1539" i="2"/>
  <c r="E1539" i="2"/>
  <c r="B1539" i="2"/>
  <c r="S1538" i="2"/>
  <c r="P1538" i="2"/>
  <c r="M1538" i="2"/>
  <c r="L1538" i="2"/>
  <c r="K1538" i="2"/>
  <c r="G1538" i="2"/>
  <c r="E1538" i="2"/>
  <c r="B1538" i="2"/>
  <c r="S1537" i="2"/>
  <c r="P1537" i="2"/>
  <c r="M1537" i="2"/>
  <c r="L1537" i="2"/>
  <c r="K1537" i="2"/>
  <c r="G1537" i="2"/>
  <c r="E1537" i="2"/>
  <c r="B1537" i="2"/>
  <c r="S1536" i="2"/>
  <c r="P1536" i="2"/>
  <c r="M1536" i="2"/>
  <c r="L1536" i="2"/>
  <c r="K1536" i="2"/>
  <c r="G1536" i="2"/>
  <c r="E1536" i="2"/>
  <c r="B1536" i="2"/>
  <c r="S1535" i="2"/>
  <c r="P1535" i="2"/>
  <c r="M1535" i="2"/>
  <c r="L1535" i="2"/>
  <c r="K1535" i="2"/>
  <c r="G1535" i="2"/>
  <c r="E1535" i="2"/>
  <c r="B1535" i="2"/>
  <c r="S1534" i="2"/>
  <c r="P1534" i="2"/>
  <c r="M1534" i="2"/>
  <c r="L1534" i="2"/>
  <c r="K1534" i="2"/>
  <c r="G1534" i="2"/>
  <c r="E1534" i="2"/>
  <c r="B1534" i="2"/>
  <c r="S1533" i="2"/>
  <c r="P1533" i="2"/>
  <c r="M1533" i="2"/>
  <c r="L1533" i="2"/>
  <c r="K1533" i="2"/>
  <c r="G1533" i="2"/>
  <c r="E1533" i="2"/>
  <c r="B1533" i="2"/>
  <c r="S1532" i="2"/>
  <c r="P1532" i="2"/>
  <c r="M1532" i="2"/>
  <c r="L1532" i="2"/>
  <c r="K1532" i="2"/>
  <c r="G1532" i="2"/>
  <c r="E1532" i="2"/>
  <c r="B1532" i="2"/>
  <c r="S1531" i="2"/>
  <c r="P1531" i="2"/>
  <c r="M1531" i="2"/>
  <c r="L1531" i="2"/>
  <c r="K1531" i="2"/>
  <c r="G1531" i="2"/>
  <c r="E1531" i="2"/>
  <c r="B1531" i="2"/>
  <c r="S1530" i="2"/>
  <c r="P1530" i="2"/>
  <c r="M1530" i="2"/>
  <c r="L1530" i="2"/>
  <c r="K1530" i="2"/>
  <c r="G1530" i="2"/>
  <c r="E1530" i="2"/>
  <c r="B1530" i="2"/>
  <c r="S1529" i="2"/>
  <c r="P1529" i="2"/>
  <c r="M1529" i="2"/>
  <c r="L1529" i="2"/>
  <c r="K1529" i="2"/>
  <c r="G1529" i="2"/>
  <c r="E1529" i="2"/>
  <c r="B1529" i="2"/>
  <c r="S1528" i="2"/>
  <c r="P1528" i="2"/>
  <c r="M1528" i="2"/>
  <c r="L1528" i="2"/>
  <c r="K1528" i="2"/>
  <c r="G1528" i="2"/>
  <c r="E1528" i="2"/>
  <c r="B1528" i="2"/>
  <c r="S1527" i="2"/>
  <c r="P1527" i="2"/>
  <c r="M1527" i="2"/>
  <c r="L1527" i="2"/>
  <c r="K1527" i="2"/>
  <c r="G1527" i="2"/>
  <c r="E1527" i="2"/>
  <c r="B1527" i="2"/>
  <c r="S1526" i="2"/>
  <c r="P1526" i="2"/>
  <c r="M1526" i="2"/>
  <c r="L1526" i="2"/>
  <c r="K1526" i="2"/>
  <c r="G1526" i="2"/>
  <c r="E1526" i="2"/>
  <c r="B1526" i="2"/>
  <c r="S1525" i="2"/>
  <c r="P1525" i="2"/>
  <c r="M1525" i="2"/>
  <c r="L1525" i="2"/>
  <c r="K1525" i="2"/>
  <c r="G1525" i="2"/>
  <c r="E1525" i="2"/>
  <c r="B1525" i="2"/>
  <c r="S1524" i="2"/>
  <c r="P1524" i="2"/>
  <c r="M1524" i="2"/>
  <c r="L1524" i="2"/>
  <c r="K1524" i="2"/>
  <c r="G1524" i="2"/>
  <c r="E1524" i="2"/>
  <c r="B1524" i="2"/>
  <c r="S1523" i="2"/>
  <c r="P1523" i="2"/>
  <c r="M1523" i="2"/>
  <c r="L1523" i="2"/>
  <c r="K1523" i="2"/>
  <c r="G1523" i="2"/>
  <c r="E1523" i="2"/>
  <c r="B1523" i="2"/>
  <c r="S1522" i="2"/>
  <c r="P1522" i="2"/>
  <c r="M1522" i="2"/>
  <c r="L1522" i="2"/>
  <c r="K1522" i="2"/>
  <c r="G1522" i="2"/>
  <c r="E1522" i="2"/>
  <c r="B1522" i="2"/>
  <c r="S1521" i="2"/>
  <c r="P1521" i="2"/>
  <c r="M1521" i="2"/>
  <c r="L1521" i="2"/>
  <c r="K1521" i="2"/>
  <c r="G1521" i="2"/>
  <c r="E1521" i="2"/>
  <c r="B1521" i="2"/>
  <c r="S1520" i="2"/>
  <c r="P1520" i="2"/>
  <c r="M1520" i="2"/>
  <c r="L1520" i="2"/>
  <c r="K1520" i="2"/>
  <c r="G1520" i="2"/>
  <c r="E1520" i="2"/>
  <c r="B1520" i="2"/>
  <c r="S1519" i="2"/>
  <c r="P1519" i="2"/>
  <c r="M1519" i="2"/>
  <c r="L1519" i="2"/>
  <c r="K1519" i="2"/>
  <c r="G1519" i="2"/>
  <c r="E1519" i="2"/>
  <c r="B1519" i="2"/>
  <c r="S1518" i="2"/>
  <c r="P1518" i="2"/>
  <c r="M1518" i="2"/>
  <c r="L1518" i="2"/>
  <c r="K1518" i="2"/>
  <c r="G1518" i="2"/>
  <c r="E1518" i="2"/>
  <c r="B1518" i="2"/>
  <c r="S1517" i="2"/>
  <c r="P1517" i="2"/>
  <c r="M1517" i="2"/>
  <c r="L1517" i="2"/>
  <c r="K1517" i="2"/>
  <c r="G1517" i="2"/>
  <c r="E1517" i="2"/>
  <c r="B1517" i="2"/>
  <c r="S1516" i="2"/>
  <c r="P1516" i="2"/>
  <c r="M1516" i="2"/>
  <c r="L1516" i="2"/>
  <c r="K1516" i="2"/>
  <c r="G1516" i="2"/>
  <c r="E1516" i="2"/>
  <c r="B1516" i="2"/>
  <c r="S1515" i="2"/>
  <c r="P1515" i="2"/>
  <c r="M1515" i="2"/>
  <c r="L1515" i="2"/>
  <c r="K1515" i="2"/>
  <c r="G1515" i="2"/>
  <c r="E1515" i="2"/>
  <c r="B1515" i="2"/>
  <c r="S1514" i="2"/>
  <c r="P1514" i="2"/>
  <c r="M1514" i="2"/>
  <c r="L1514" i="2"/>
  <c r="K1514" i="2"/>
  <c r="G1514" i="2"/>
  <c r="E1514" i="2"/>
  <c r="B1514" i="2"/>
  <c r="S1513" i="2"/>
  <c r="P1513" i="2"/>
  <c r="M1513" i="2"/>
  <c r="L1513" i="2"/>
  <c r="K1513" i="2"/>
  <c r="G1513" i="2"/>
  <c r="E1513" i="2"/>
  <c r="B1513" i="2"/>
  <c r="S1512" i="2"/>
  <c r="P1512" i="2"/>
  <c r="M1512" i="2"/>
  <c r="L1512" i="2"/>
  <c r="K1512" i="2"/>
  <c r="G1512" i="2"/>
  <c r="E1512" i="2"/>
  <c r="B1512" i="2"/>
  <c r="S1511" i="2"/>
  <c r="P1511" i="2"/>
  <c r="M1511" i="2"/>
  <c r="L1511" i="2"/>
  <c r="K1511" i="2"/>
  <c r="G1511" i="2"/>
  <c r="E1511" i="2"/>
  <c r="B1511" i="2"/>
  <c r="S1510" i="2"/>
  <c r="P1510" i="2"/>
  <c r="M1510" i="2"/>
  <c r="L1510" i="2"/>
  <c r="K1510" i="2"/>
  <c r="G1510" i="2"/>
  <c r="E1510" i="2"/>
  <c r="B1510" i="2"/>
  <c r="S1509" i="2"/>
  <c r="P1509" i="2"/>
  <c r="M1509" i="2"/>
  <c r="L1509" i="2"/>
  <c r="K1509" i="2"/>
  <c r="G1509" i="2"/>
  <c r="E1509" i="2"/>
  <c r="B1509" i="2"/>
  <c r="S1508" i="2"/>
  <c r="P1508" i="2"/>
  <c r="M1508" i="2"/>
  <c r="L1508" i="2"/>
  <c r="K1508" i="2"/>
  <c r="G1508" i="2"/>
  <c r="E1508" i="2"/>
  <c r="B1508" i="2"/>
  <c r="S1507" i="2"/>
  <c r="P1507" i="2"/>
  <c r="M1507" i="2"/>
  <c r="L1507" i="2"/>
  <c r="K1507" i="2"/>
  <c r="G1507" i="2"/>
  <c r="E1507" i="2"/>
  <c r="B1507" i="2"/>
  <c r="S1506" i="2"/>
  <c r="P1506" i="2"/>
  <c r="M1506" i="2"/>
  <c r="L1506" i="2"/>
  <c r="K1506" i="2"/>
  <c r="G1506" i="2"/>
  <c r="E1506" i="2"/>
  <c r="B1506" i="2"/>
  <c r="S1505" i="2"/>
  <c r="P1505" i="2"/>
  <c r="M1505" i="2"/>
  <c r="L1505" i="2"/>
  <c r="K1505" i="2"/>
  <c r="H1505" i="2"/>
  <c r="G1505" i="2"/>
  <c r="E1505" i="2"/>
  <c r="B1505" i="2"/>
  <c r="S1504" i="2"/>
  <c r="P1504" i="2"/>
  <c r="M1504" i="2"/>
  <c r="L1504" i="2"/>
  <c r="K1504" i="2"/>
  <c r="G1504" i="2"/>
  <c r="E1504" i="2"/>
  <c r="B1504" i="2"/>
  <c r="S1503" i="2"/>
  <c r="P1503" i="2"/>
  <c r="M1503" i="2"/>
  <c r="L1503" i="2"/>
  <c r="K1503" i="2"/>
  <c r="G1503" i="2"/>
  <c r="E1503" i="2"/>
  <c r="B1503" i="2"/>
  <c r="S1502" i="2"/>
  <c r="P1502" i="2"/>
  <c r="M1502" i="2"/>
  <c r="L1502" i="2"/>
  <c r="K1502" i="2"/>
  <c r="G1502" i="2"/>
  <c r="E1502" i="2"/>
  <c r="B1502" i="2"/>
  <c r="S1501" i="2"/>
  <c r="P1501" i="2"/>
  <c r="M1501" i="2"/>
  <c r="L1501" i="2"/>
  <c r="K1501" i="2"/>
  <c r="H1501" i="2"/>
  <c r="G1501" i="2"/>
  <c r="E1501" i="2"/>
  <c r="B1501" i="2"/>
  <c r="S1500" i="2"/>
  <c r="P1500" i="2"/>
  <c r="M1500" i="2"/>
  <c r="L1500" i="2"/>
  <c r="K1500" i="2"/>
  <c r="G1500" i="2"/>
  <c r="E1500" i="2"/>
  <c r="B1500" i="2"/>
  <c r="S1499" i="2"/>
  <c r="P1499" i="2"/>
  <c r="M1499" i="2"/>
  <c r="L1499" i="2"/>
  <c r="K1499" i="2"/>
  <c r="G1499" i="2"/>
  <c r="E1499" i="2"/>
  <c r="B1499" i="2"/>
  <c r="S1498" i="2"/>
  <c r="P1498" i="2"/>
  <c r="M1498" i="2"/>
  <c r="L1498" i="2"/>
  <c r="K1498" i="2"/>
  <c r="G1498" i="2"/>
  <c r="E1498" i="2"/>
  <c r="B1498" i="2"/>
  <c r="S1497" i="2"/>
  <c r="P1497" i="2"/>
  <c r="M1497" i="2"/>
  <c r="L1497" i="2"/>
  <c r="K1497" i="2"/>
  <c r="G1497" i="2"/>
  <c r="E1497" i="2"/>
  <c r="B1497" i="2"/>
  <c r="S1496" i="2"/>
  <c r="P1496" i="2"/>
  <c r="M1496" i="2"/>
  <c r="L1496" i="2"/>
  <c r="K1496" i="2"/>
  <c r="G1496" i="2"/>
  <c r="E1496" i="2"/>
  <c r="B1496" i="2"/>
  <c r="S1495" i="2"/>
  <c r="P1495" i="2"/>
  <c r="M1495" i="2"/>
  <c r="L1495" i="2"/>
  <c r="K1495" i="2"/>
  <c r="G1495" i="2"/>
  <c r="E1495" i="2"/>
  <c r="B1495" i="2"/>
  <c r="S1494" i="2"/>
  <c r="P1494" i="2"/>
  <c r="M1494" i="2"/>
  <c r="L1494" i="2"/>
  <c r="K1494" i="2"/>
  <c r="G1494" i="2"/>
  <c r="E1494" i="2"/>
  <c r="B1494" i="2"/>
  <c r="S1493" i="2"/>
  <c r="P1493" i="2"/>
  <c r="M1493" i="2"/>
  <c r="L1493" i="2"/>
  <c r="K1493" i="2"/>
  <c r="G1493" i="2"/>
  <c r="E1493" i="2"/>
  <c r="B1493" i="2"/>
  <c r="S1492" i="2"/>
  <c r="P1492" i="2"/>
  <c r="M1492" i="2"/>
  <c r="L1492" i="2"/>
  <c r="K1492" i="2"/>
  <c r="G1492" i="2"/>
  <c r="E1492" i="2"/>
  <c r="B1492" i="2"/>
  <c r="S1491" i="2"/>
  <c r="P1491" i="2"/>
  <c r="M1491" i="2"/>
  <c r="L1491" i="2"/>
  <c r="K1491" i="2"/>
  <c r="G1491" i="2"/>
  <c r="E1491" i="2"/>
  <c r="B1491" i="2"/>
  <c r="S1490" i="2"/>
  <c r="P1490" i="2"/>
  <c r="M1490" i="2"/>
  <c r="L1490" i="2"/>
  <c r="K1490" i="2"/>
  <c r="G1490" i="2"/>
  <c r="E1490" i="2"/>
  <c r="B1490" i="2"/>
  <c r="S1489" i="2"/>
  <c r="P1489" i="2"/>
  <c r="M1489" i="2"/>
  <c r="L1489" i="2"/>
  <c r="K1489" i="2"/>
  <c r="G1489" i="2"/>
  <c r="E1489" i="2"/>
  <c r="B1489" i="2"/>
  <c r="S1488" i="2"/>
  <c r="P1488" i="2"/>
  <c r="M1488" i="2"/>
  <c r="L1488" i="2"/>
  <c r="K1488" i="2"/>
  <c r="G1488" i="2"/>
  <c r="E1488" i="2"/>
  <c r="B1488" i="2"/>
  <c r="S1487" i="2"/>
  <c r="P1487" i="2"/>
  <c r="M1487" i="2"/>
  <c r="L1487" i="2"/>
  <c r="K1487" i="2"/>
  <c r="G1487" i="2"/>
  <c r="E1487" i="2"/>
  <c r="B1487" i="2"/>
  <c r="S1486" i="2"/>
  <c r="P1486" i="2"/>
  <c r="M1486" i="2"/>
  <c r="L1486" i="2"/>
  <c r="K1486" i="2"/>
  <c r="G1486" i="2"/>
  <c r="E1486" i="2"/>
  <c r="B1486" i="2"/>
  <c r="S1485" i="2"/>
  <c r="P1485" i="2"/>
  <c r="M1485" i="2"/>
  <c r="L1485" i="2"/>
  <c r="K1485" i="2"/>
  <c r="G1485" i="2"/>
  <c r="E1485" i="2"/>
  <c r="B1485" i="2"/>
  <c r="S1484" i="2"/>
  <c r="P1484" i="2"/>
  <c r="M1484" i="2"/>
  <c r="L1484" i="2"/>
  <c r="K1484" i="2"/>
  <c r="G1484" i="2"/>
  <c r="E1484" i="2"/>
  <c r="B1484" i="2"/>
  <c r="S1483" i="2"/>
  <c r="P1483" i="2"/>
  <c r="M1483" i="2"/>
  <c r="L1483" i="2"/>
  <c r="K1483" i="2"/>
  <c r="G1483" i="2"/>
  <c r="E1483" i="2"/>
  <c r="B1483" i="2"/>
  <c r="S1482" i="2"/>
  <c r="P1482" i="2"/>
  <c r="M1482" i="2"/>
  <c r="L1482" i="2"/>
  <c r="K1482" i="2"/>
  <c r="G1482" i="2"/>
  <c r="E1482" i="2"/>
  <c r="B1482" i="2"/>
  <c r="S1481" i="2"/>
  <c r="P1481" i="2"/>
  <c r="M1481" i="2"/>
  <c r="L1481" i="2"/>
  <c r="K1481" i="2"/>
  <c r="G1481" i="2"/>
  <c r="E1481" i="2"/>
  <c r="B1481" i="2"/>
  <c r="S1480" i="2"/>
  <c r="P1480" i="2"/>
  <c r="M1480" i="2"/>
  <c r="L1480" i="2"/>
  <c r="K1480" i="2"/>
  <c r="G1480" i="2"/>
  <c r="E1480" i="2"/>
  <c r="B1480" i="2"/>
  <c r="S1479" i="2"/>
  <c r="P1479" i="2"/>
  <c r="M1479" i="2"/>
  <c r="L1479" i="2"/>
  <c r="K1479" i="2"/>
  <c r="G1479" i="2"/>
  <c r="E1479" i="2"/>
  <c r="B1479" i="2"/>
  <c r="S1478" i="2"/>
  <c r="P1478" i="2"/>
  <c r="M1478" i="2"/>
  <c r="L1478" i="2"/>
  <c r="K1478" i="2"/>
  <c r="G1478" i="2"/>
  <c r="E1478" i="2"/>
  <c r="B1478" i="2"/>
  <c r="S1477" i="2"/>
  <c r="P1477" i="2"/>
  <c r="M1477" i="2"/>
  <c r="L1477" i="2"/>
  <c r="K1477" i="2"/>
  <c r="G1477" i="2"/>
  <c r="E1477" i="2"/>
  <c r="B1477" i="2"/>
  <c r="S1476" i="2"/>
  <c r="P1476" i="2"/>
  <c r="M1476" i="2"/>
  <c r="L1476" i="2"/>
  <c r="K1476" i="2"/>
  <c r="G1476" i="2"/>
  <c r="E1476" i="2"/>
  <c r="B1476" i="2"/>
  <c r="S1475" i="2"/>
  <c r="P1475" i="2"/>
  <c r="M1475" i="2"/>
  <c r="L1475" i="2"/>
  <c r="K1475" i="2"/>
  <c r="G1475" i="2"/>
  <c r="E1475" i="2"/>
  <c r="B1475" i="2"/>
  <c r="S1474" i="2"/>
  <c r="P1474" i="2"/>
  <c r="M1474" i="2"/>
  <c r="L1474" i="2"/>
  <c r="K1474" i="2"/>
  <c r="G1474" i="2"/>
  <c r="E1474" i="2"/>
  <c r="B1474" i="2"/>
  <c r="S1473" i="2"/>
  <c r="P1473" i="2"/>
  <c r="M1473" i="2"/>
  <c r="L1473" i="2"/>
  <c r="K1473" i="2"/>
  <c r="G1473" i="2"/>
  <c r="E1473" i="2"/>
  <c r="B1473" i="2"/>
  <c r="S1472" i="2"/>
  <c r="P1472" i="2"/>
  <c r="M1472" i="2"/>
  <c r="L1472" i="2"/>
  <c r="K1472" i="2"/>
  <c r="G1472" i="2"/>
  <c r="E1472" i="2"/>
  <c r="B1472" i="2"/>
  <c r="S1471" i="2"/>
  <c r="P1471" i="2"/>
  <c r="M1471" i="2"/>
  <c r="L1471" i="2"/>
  <c r="K1471" i="2"/>
  <c r="G1471" i="2"/>
  <c r="E1471" i="2"/>
  <c r="B1471" i="2"/>
  <c r="S1470" i="2"/>
  <c r="P1470" i="2"/>
  <c r="M1470" i="2"/>
  <c r="L1470" i="2"/>
  <c r="K1470" i="2"/>
  <c r="G1470" i="2"/>
  <c r="E1470" i="2"/>
  <c r="B1470" i="2"/>
  <c r="S1469" i="2"/>
  <c r="P1469" i="2"/>
  <c r="M1469" i="2"/>
  <c r="L1469" i="2"/>
  <c r="K1469" i="2"/>
  <c r="G1469" i="2"/>
  <c r="E1469" i="2"/>
  <c r="B1469" i="2"/>
  <c r="S1468" i="2"/>
  <c r="P1468" i="2"/>
  <c r="M1468" i="2"/>
  <c r="L1468" i="2"/>
  <c r="K1468" i="2"/>
  <c r="G1468" i="2"/>
  <c r="E1468" i="2"/>
  <c r="B1468" i="2"/>
  <c r="S1467" i="2"/>
  <c r="P1467" i="2"/>
  <c r="M1467" i="2"/>
  <c r="L1467" i="2"/>
  <c r="K1467" i="2"/>
  <c r="G1467" i="2"/>
  <c r="E1467" i="2"/>
  <c r="B1467" i="2"/>
  <c r="S1466" i="2"/>
  <c r="P1466" i="2"/>
  <c r="M1466" i="2"/>
  <c r="L1466" i="2"/>
  <c r="K1466" i="2"/>
  <c r="G1466" i="2"/>
  <c r="E1466" i="2"/>
  <c r="B1466" i="2"/>
  <c r="S1465" i="2"/>
  <c r="P1465" i="2"/>
  <c r="M1465" i="2"/>
  <c r="L1465" i="2"/>
  <c r="K1465" i="2"/>
  <c r="G1465" i="2"/>
  <c r="E1465" i="2"/>
  <c r="B1465" i="2"/>
  <c r="S1464" i="2"/>
  <c r="P1464" i="2"/>
  <c r="M1464" i="2"/>
  <c r="L1464" i="2"/>
  <c r="K1464" i="2"/>
  <c r="G1464" i="2"/>
  <c r="E1464" i="2"/>
  <c r="B1464" i="2"/>
  <c r="S1463" i="2"/>
  <c r="P1463" i="2"/>
  <c r="M1463" i="2"/>
  <c r="L1463" i="2"/>
  <c r="K1463" i="2"/>
  <c r="G1463" i="2"/>
  <c r="E1463" i="2"/>
  <c r="B1463" i="2"/>
  <c r="S1462" i="2"/>
  <c r="P1462" i="2"/>
  <c r="M1462" i="2"/>
  <c r="L1462" i="2"/>
  <c r="K1462" i="2"/>
  <c r="G1462" i="2"/>
  <c r="E1462" i="2"/>
  <c r="B1462" i="2"/>
  <c r="S1461" i="2"/>
  <c r="P1461" i="2"/>
  <c r="M1461" i="2"/>
  <c r="L1461" i="2"/>
  <c r="K1461" i="2"/>
  <c r="G1461" i="2"/>
  <c r="E1461" i="2"/>
  <c r="B1461" i="2"/>
  <c r="S1460" i="2"/>
  <c r="P1460" i="2"/>
  <c r="M1460" i="2"/>
  <c r="L1460" i="2"/>
  <c r="K1460" i="2"/>
  <c r="G1460" i="2"/>
  <c r="E1460" i="2"/>
  <c r="B1460" i="2"/>
  <c r="S1459" i="2"/>
  <c r="P1459" i="2"/>
  <c r="M1459" i="2"/>
  <c r="L1459" i="2"/>
  <c r="K1459" i="2"/>
  <c r="G1459" i="2"/>
  <c r="E1459" i="2"/>
  <c r="B1459" i="2"/>
  <c r="S1458" i="2"/>
  <c r="P1458" i="2"/>
  <c r="M1458" i="2"/>
  <c r="L1458" i="2"/>
  <c r="K1458" i="2"/>
  <c r="G1458" i="2"/>
  <c r="E1458" i="2"/>
  <c r="B1458" i="2"/>
  <c r="S1457" i="2"/>
  <c r="P1457" i="2"/>
  <c r="M1457" i="2"/>
  <c r="L1457" i="2"/>
  <c r="K1457" i="2"/>
  <c r="G1457" i="2"/>
  <c r="E1457" i="2"/>
  <c r="B1457" i="2"/>
  <c r="S1456" i="2"/>
  <c r="P1456" i="2"/>
  <c r="M1456" i="2"/>
  <c r="L1456" i="2"/>
  <c r="K1456" i="2"/>
  <c r="G1456" i="2"/>
  <c r="E1456" i="2"/>
  <c r="B1456" i="2"/>
  <c r="S1455" i="2"/>
  <c r="P1455" i="2"/>
  <c r="M1455" i="2"/>
  <c r="L1455" i="2"/>
  <c r="K1455" i="2"/>
  <c r="G1455" i="2"/>
  <c r="E1455" i="2"/>
  <c r="B1455" i="2"/>
  <c r="S1454" i="2"/>
  <c r="P1454" i="2"/>
  <c r="M1454" i="2"/>
  <c r="L1454" i="2"/>
  <c r="K1454" i="2"/>
  <c r="G1454" i="2"/>
  <c r="E1454" i="2"/>
  <c r="B1454" i="2"/>
  <c r="S1453" i="2"/>
  <c r="P1453" i="2"/>
  <c r="M1453" i="2"/>
  <c r="L1453" i="2"/>
  <c r="K1453" i="2"/>
  <c r="G1453" i="2"/>
  <c r="E1453" i="2"/>
  <c r="B1453" i="2"/>
  <c r="S1452" i="2"/>
  <c r="P1452" i="2"/>
  <c r="M1452" i="2"/>
  <c r="L1452" i="2"/>
  <c r="K1452" i="2"/>
  <c r="G1452" i="2"/>
  <c r="E1452" i="2"/>
  <c r="B1452" i="2"/>
  <c r="S1451" i="2"/>
  <c r="P1451" i="2"/>
  <c r="M1451" i="2"/>
  <c r="L1451" i="2"/>
  <c r="K1451" i="2"/>
  <c r="G1451" i="2"/>
  <c r="E1451" i="2"/>
  <c r="B1451" i="2"/>
  <c r="S1450" i="2"/>
  <c r="P1450" i="2"/>
  <c r="M1450" i="2"/>
  <c r="L1450" i="2"/>
  <c r="K1450" i="2"/>
  <c r="G1450" i="2"/>
  <c r="E1450" i="2"/>
  <c r="B1450" i="2"/>
  <c r="S1449" i="2"/>
  <c r="P1449" i="2"/>
  <c r="M1449" i="2"/>
  <c r="L1449" i="2"/>
  <c r="K1449" i="2"/>
  <c r="G1449" i="2"/>
  <c r="E1449" i="2"/>
  <c r="B1449" i="2"/>
  <c r="S1448" i="2"/>
  <c r="P1448" i="2"/>
  <c r="M1448" i="2"/>
  <c r="L1448" i="2"/>
  <c r="K1448" i="2"/>
  <c r="G1448" i="2"/>
  <c r="E1448" i="2"/>
  <c r="B1448" i="2"/>
  <c r="S1447" i="2"/>
  <c r="P1447" i="2"/>
  <c r="M1447" i="2"/>
  <c r="L1447" i="2"/>
  <c r="K1447" i="2"/>
  <c r="G1447" i="2"/>
  <c r="E1447" i="2"/>
  <c r="B1447" i="2"/>
  <c r="S1446" i="2"/>
  <c r="P1446" i="2"/>
  <c r="M1446" i="2"/>
  <c r="L1446" i="2"/>
  <c r="K1446" i="2"/>
  <c r="G1446" i="2"/>
  <c r="E1446" i="2"/>
  <c r="B1446" i="2"/>
  <c r="S1445" i="2"/>
  <c r="P1445" i="2"/>
  <c r="M1445" i="2"/>
  <c r="L1445" i="2"/>
  <c r="K1445" i="2"/>
  <c r="G1445" i="2"/>
  <c r="E1445" i="2"/>
  <c r="B1445" i="2"/>
  <c r="S1444" i="2"/>
  <c r="P1444" i="2"/>
  <c r="M1444" i="2"/>
  <c r="L1444" i="2"/>
  <c r="K1444" i="2"/>
  <c r="G1444" i="2"/>
  <c r="E1444" i="2"/>
  <c r="B1444" i="2"/>
  <c r="S1443" i="2"/>
  <c r="P1443" i="2"/>
  <c r="M1443" i="2"/>
  <c r="L1443" i="2"/>
  <c r="K1443" i="2"/>
  <c r="G1443" i="2"/>
  <c r="E1443" i="2"/>
  <c r="B1443" i="2"/>
  <c r="S1442" i="2"/>
  <c r="P1442" i="2"/>
  <c r="M1442" i="2"/>
  <c r="L1442" i="2"/>
  <c r="K1442" i="2"/>
  <c r="G1442" i="2"/>
  <c r="E1442" i="2"/>
  <c r="B1442" i="2"/>
  <c r="S1441" i="2"/>
  <c r="P1441" i="2"/>
  <c r="M1441" i="2"/>
  <c r="L1441" i="2"/>
  <c r="K1441" i="2"/>
  <c r="G1441" i="2"/>
  <c r="E1441" i="2"/>
  <c r="B1441" i="2"/>
  <c r="S1440" i="2"/>
  <c r="P1440" i="2"/>
  <c r="M1440" i="2"/>
  <c r="L1440" i="2"/>
  <c r="K1440" i="2"/>
  <c r="G1440" i="2"/>
  <c r="E1440" i="2"/>
  <c r="B1440" i="2"/>
  <c r="S1439" i="2"/>
  <c r="P1439" i="2"/>
  <c r="M1439" i="2"/>
  <c r="L1439" i="2"/>
  <c r="K1439" i="2"/>
  <c r="G1439" i="2"/>
  <c r="E1439" i="2"/>
  <c r="B1439" i="2"/>
  <c r="S1438" i="2"/>
  <c r="P1438" i="2"/>
  <c r="M1438" i="2"/>
  <c r="L1438" i="2"/>
  <c r="K1438" i="2"/>
  <c r="G1438" i="2"/>
  <c r="E1438" i="2"/>
  <c r="B1438" i="2"/>
  <c r="S1437" i="2"/>
  <c r="P1437" i="2"/>
  <c r="M1437" i="2"/>
  <c r="L1437" i="2"/>
  <c r="K1437" i="2"/>
  <c r="G1437" i="2"/>
  <c r="E1437" i="2"/>
  <c r="B1437" i="2"/>
  <c r="S1436" i="2"/>
  <c r="P1436" i="2"/>
  <c r="M1436" i="2"/>
  <c r="L1436" i="2"/>
  <c r="K1436" i="2"/>
  <c r="G1436" i="2"/>
  <c r="E1436" i="2"/>
  <c r="B1436" i="2"/>
  <c r="S1435" i="2"/>
  <c r="P1435" i="2"/>
  <c r="M1435" i="2"/>
  <c r="L1435" i="2"/>
  <c r="K1435" i="2"/>
  <c r="G1435" i="2"/>
  <c r="E1435" i="2"/>
  <c r="B1435" i="2"/>
  <c r="S1434" i="2"/>
  <c r="P1434" i="2"/>
  <c r="M1434" i="2"/>
  <c r="L1434" i="2"/>
  <c r="K1434" i="2"/>
  <c r="G1434" i="2"/>
  <c r="E1434" i="2"/>
  <c r="B1434" i="2"/>
  <c r="S1433" i="2"/>
  <c r="P1433" i="2"/>
  <c r="M1433" i="2"/>
  <c r="L1433" i="2"/>
  <c r="K1433" i="2"/>
  <c r="G1433" i="2"/>
  <c r="E1433" i="2"/>
  <c r="B1433" i="2"/>
  <c r="S1432" i="2"/>
  <c r="P1432" i="2"/>
  <c r="M1432" i="2"/>
  <c r="L1432" i="2"/>
  <c r="K1432" i="2"/>
  <c r="G1432" i="2"/>
  <c r="E1432" i="2"/>
  <c r="B1432" i="2"/>
  <c r="S1431" i="2"/>
  <c r="P1431" i="2"/>
  <c r="M1431" i="2"/>
  <c r="L1431" i="2"/>
  <c r="K1431" i="2"/>
  <c r="G1431" i="2"/>
  <c r="E1431" i="2"/>
  <c r="B1431" i="2"/>
  <c r="S1430" i="2"/>
  <c r="P1430" i="2"/>
  <c r="M1430" i="2"/>
  <c r="L1430" i="2"/>
  <c r="K1430" i="2"/>
  <c r="G1430" i="2"/>
  <c r="E1430" i="2"/>
  <c r="B1430" i="2"/>
  <c r="S1429" i="2"/>
  <c r="P1429" i="2"/>
  <c r="M1429" i="2"/>
  <c r="L1429" i="2"/>
  <c r="K1429" i="2"/>
  <c r="G1429" i="2"/>
  <c r="E1429" i="2"/>
  <c r="B1429" i="2"/>
  <c r="S1428" i="2"/>
  <c r="P1428" i="2"/>
  <c r="M1428" i="2"/>
  <c r="L1428" i="2"/>
  <c r="K1428" i="2"/>
  <c r="G1428" i="2"/>
  <c r="E1428" i="2"/>
  <c r="B1428" i="2"/>
  <c r="S1427" i="2"/>
  <c r="P1427" i="2"/>
  <c r="M1427" i="2"/>
  <c r="L1427" i="2"/>
  <c r="K1427" i="2"/>
  <c r="G1427" i="2"/>
  <c r="E1427" i="2"/>
  <c r="B1427" i="2"/>
  <c r="S1426" i="2"/>
  <c r="P1426" i="2"/>
  <c r="M1426" i="2"/>
  <c r="L1426" i="2"/>
  <c r="K1426" i="2"/>
  <c r="G1426" i="2"/>
  <c r="E1426" i="2"/>
  <c r="B1426" i="2"/>
  <c r="S1425" i="2"/>
  <c r="P1425" i="2"/>
  <c r="M1425" i="2"/>
  <c r="L1425" i="2"/>
  <c r="K1425" i="2"/>
  <c r="G1425" i="2"/>
  <c r="E1425" i="2"/>
  <c r="B1425" i="2"/>
  <c r="S1424" i="2"/>
  <c r="P1424" i="2"/>
  <c r="M1424" i="2"/>
  <c r="L1424" i="2"/>
  <c r="K1424" i="2"/>
  <c r="G1424" i="2"/>
  <c r="E1424" i="2"/>
  <c r="B1424" i="2"/>
  <c r="S1423" i="2"/>
  <c r="P1423" i="2"/>
  <c r="M1423" i="2"/>
  <c r="L1423" i="2"/>
  <c r="K1423" i="2"/>
  <c r="G1423" i="2"/>
  <c r="E1423" i="2"/>
  <c r="B1423" i="2"/>
  <c r="S1422" i="2"/>
  <c r="P1422" i="2"/>
  <c r="M1422" i="2"/>
  <c r="L1422" i="2"/>
  <c r="K1422" i="2"/>
  <c r="G1422" i="2"/>
  <c r="E1422" i="2"/>
  <c r="B1422" i="2"/>
  <c r="S1421" i="2"/>
  <c r="P1421" i="2"/>
  <c r="M1421" i="2"/>
  <c r="L1421" i="2"/>
  <c r="K1421" i="2"/>
  <c r="G1421" i="2"/>
  <c r="E1421" i="2"/>
  <c r="B1421" i="2"/>
  <c r="S1420" i="2"/>
  <c r="P1420" i="2"/>
  <c r="M1420" i="2"/>
  <c r="L1420" i="2"/>
  <c r="K1420" i="2"/>
  <c r="G1420" i="2"/>
  <c r="E1420" i="2"/>
  <c r="B1420" i="2"/>
  <c r="S1419" i="2"/>
  <c r="P1419" i="2"/>
  <c r="M1419" i="2"/>
  <c r="L1419" i="2"/>
  <c r="K1419" i="2"/>
  <c r="G1419" i="2"/>
  <c r="E1419" i="2"/>
  <c r="B1419" i="2"/>
  <c r="S1418" i="2"/>
  <c r="P1418" i="2"/>
  <c r="M1418" i="2"/>
  <c r="L1418" i="2"/>
  <c r="K1418" i="2"/>
  <c r="G1418" i="2"/>
  <c r="E1418" i="2"/>
  <c r="B1418" i="2"/>
  <c r="S1417" i="2"/>
  <c r="P1417" i="2"/>
  <c r="M1417" i="2"/>
  <c r="L1417" i="2"/>
  <c r="K1417" i="2"/>
  <c r="G1417" i="2"/>
  <c r="E1417" i="2"/>
  <c r="B1417" i="2"/>
  <c r="S1416" i="2"/>
  <c r="P1416" i="2"/>
  <c r="M1416" i="2"/>
  <c r="L1416" i="2"/>
  <c r="K1416" i="2"/>
  <c r="G1416" i="2"/>
  <c r="E1416" i="2"/>
  <c r="B1416" i="2"/>
  <c r="S1415" i="2"/>
  <c r="P1415" i="2"/>
  <c r="M1415" i="2"/>
  <c r="L1415" i="2"/>
  <c r="K1415" i="2"/>
  <c r="G1415" i="2"/>
  <c r="E1415" i="2"/>
  <c r="B1415" i="2"/>
  <c r="S1414" i="2"/>
  <c r="P1414" i="2"/>
  <c r="M1414" i="2"/>
  <c r="L1414" i="2"/>
  <c r="K1414" i="2"/>
  <c r="G1414" i="2"/>
  <c r="E1414" i="2"/>
  <c r="B1414" i="2"/>
  <c r="S1413" i="2"/>
  <c r="P1413" i="2"/>
  <c r="M1413" i="2"/>
  <c r="L1413" i="2"/>
  <c r="K1413" i="2"/>
  <c r="G1413" i="2"/>
  <c r="E1413" i="2"/>
  <c r="B1413" i="2"/>
  <c r="S1412" i="2"/>
  <c r="P1412" i="2"/>
  <c r="M1412" i="2"/>
  <c r="L1412" i="2"/>
  <c r="K1412" i="2"/>
  <c r="G1412" i="2"/>
  <c r="E1412" i="2"/>
  <c r="B1412" i="2"/>
  <c r="S1411" i="2"/>
  <c r="P1411" i="2"/>
  <c r="M1411" i="2"/>
  <c r="L1411" i="2"/>
  <c r="K1411" i="2"/>
  <c r="G1411" i="2"/>
  <c r="E1411" i="2"/>
  <c r="B1411" i="2"/>
  <c r="S1410" i="2"/>
  <c r="P1410" i="2"/>
  <c r="M1410" i="2"/>
  <c r="L1410" i="2"/>
  <c r="K1410" i="2"/>
  <c r="G1410" i="2"/>
  <c r="E1410" i="2"/>
  <c r="B1410" i="2"/>
  <c r="S1409" i="2"/>
  <c r="P1409" i="2"/>
  <c r="M1409" i="2"/>
  <c r="L1409" i="2"/>
  <c r="K1409" i="2"/>
  <c r="G1409" i="2"/>
  <c r="E1409" i="2"/>
  <c r="B1409" i="2"/>
  <c r="S1408" i="2"/>
  <c r="P1408" i="2"/>
  <c r="M1408" i="2"/>
  <c r="L1408" i="2"/>
  <c r="K1408" i="2"/>
  <c r="G1408" i="2"/>
  <c r="E1408" i="2"/>
  <c r="B1408" i="2"/>
  <c r="S1407" i="2"/>
  <c r="P1407" i="2"/>
  <c r="M1407" i="2"/>
  <c r="L1407" i="2"/>
  <c r="K1407" i="2"/>
  <c r="G1407" i="2"/>
  <c r="E1407" i="2"/>
  <c r="B1407" i="2"/>
  <c r="S1406" i="2"/>
  <c r="P1406" i="2"/>
  <c r="M1406" i="2"/>
  <c r="L1406" i="2"/>
  <c r="K1406" i="2"/>
  <c r="G1406" i="2"/>
  <c r="E1406" i="2"/>
  <c r="B1406" i="2"/>
  <c r="S1405" i="2"/>
  <c r="P1405" i="2"/>
  <c r="M1405" i="2"/>
  <c r="L1405" i="2"/>
  <c r="K1405" i="2"/>
  <c r="G1405" i="2"/>
  <c r="E1405" i="2"/>
  <c r="B1405" i="2"/>
  <c r="S1404" i="2"/>
  <c r="P1404" i="2"/>
  <c r="M1404" i="2"/>
  <c r="L1404" i="2"/>
  <c r="K1404" i="2"/>
  <c r="G1404" i="2"/>
  <c r="E1404" i="2"/>
  <c r="B1404" i="2"/>
  <c r="S1403" i="2"/>
  <c r="P1403" i="2"/>
  <c r="M1403" i="2"/>
  <c r="L1403" i="2"/>
  <c r="K1403" i="2"/>
  <c r="G1403" i="2"/>
  <c r="E1403" i="2"/>
  <c r="B1403" i="2"/>
  <c r="S1402" i="2"/>
  <c r="P1402" i="2"/>
  <c r="M1402" i="2"/>
  <c r="L1402" i="2"/>
  <c r="K1402" i="2"/>
  <c r="G1402" i="2"/>
  <c r="E1402" i="2"/>
  <c r="B1402" i="2"/>
  <c r="S1401" i="2"/>
  <c r="P1401" i="2"/>
  <c r="M1401" i="2"/>
  <c r="L1401" i="2"/>
  <c r="K1401" i="2"/>
  <c r="G1401" i="2"/>
  <c r="E1401" i="2"/>
  <c r="B1401" i="2"/>
  <c r="S1400" i="2"/>
  <c r="P1400" i="2"/>
  <c r="M1400" i="2"/>
  <c r="L1400" i="2"/>
  <c r="K1400" i="2"/>
  <c r="G1400" i="2"/>
  <c r="E1400" i="2"/>
  <c r="B1400" i="2"/>
  <c r="S1399" i="2"/>
  <c r="P1399" i="2"/>
  <c r="M1399" i="2"/>
  <c r="L1399" i="2"/>
  <c r="K1399" i="2"/>
  <c r="G1399" i="2"/>
  <c r="E1399" i="2"/>
  <c r="B1399" i="2"/>
  <c r="S1398" i="2"/>
  <c r="P1398" i="2"/>
  <c r="M1398" i="2"/>
  <c r="L1398" i="2"/>
  <c r="K1398" i="2"/>
  <c r="G1398" i="2"/>
  <c r="E1398" i="2"/>
  <c r="B1398" i="2"/>
  <c r="S1397" i="2"/>
  <c r="P1397" i="2"/>
  <c r="M1397" i="2"/>
  <c r="L1397" i="2"/>
  <c r="K1397" i="2"/>
  <c r="G1397" i="2"/>
  <c r="E1397" i="2"/>
  <c r="B1397" i="2"/>
  <c r="S1396" i="2"/>
  <c r="P1396" i="2"/>
  <c r="M1396" i="2"/>
  <c r="L1396" i="2"/>
  <c r="K1396" i="2"/>
  <c r="G1396" i="2"/>
  <c r="E1396" i="2"/>
  <c r="B1396" i="2"/>
  <c r="S1395" i="2"/>
  <c r="P1395" i="2"/>
  <c r="M1395" i="2"/>
  <c r="L1395" i="2"/>
  <c r="K1395" i="2"/>
  <c r="G1395" i="2"/>
  <c r="E1395" i="2"/>
  <c r="B1395" i="2"/>
  <c r="S1394" i="2"/>
  <c r="P1394" i="2"/>
  <c r="M1394" i="2"/>
  <c r="L1394" i="2"/>
  <c r="K1394" i="2"/>
  <c r="G1394" i="2"/>
  <c r="E1394" i="2"/>
  <c r="B1394" i="2"/>
  <c r="S1393" i="2"/>
  <c r="P1393" i="2"/>
  <c r="M1393" i="2"/>
  <c r="L1393" i="2"/>
  <c r="K1393" i="2"/>
  <c r="G1393" i="2"/>
  <c r="E1393" i="2"/>
  <c r="B1393" i="2"/>
  <c r="S1392" i="2"/>
  <c r="P1392" i="2"/>
  <c r="M1392" i="2"/>
  <c r="L1392" i="2"/>
  <c r="K1392" i="2"/>
  <c r="G1392" i="2"/>
  <c r="E1392" i="2"/>
  <c r="B1392" i="2"/>
  <c r="S1391" i="2"/>
  <c r="P1391" i="2"/>
  <c r="M1391" i="2"/>
  <c r="L1391" i="2"/>
  <c r="K1391" i="2"/>
  <c r="G1391" i="2"/>
  <c r="E1391" i="2"/>
  <c r="B1391" i="2"/>
  <c r="S1390" i="2"/>
  <c r="P1390" i="2"/>
  <c r="M1390" i="2"/>
  <c r="L1390" i="2"/>
  <c r="K1390" i="2"/>
  <c r="G1390" i="2"/>
  <c r="E1390" i="2"/>
  <c r="B1390" i="2"/>
  <c r="S1389" i="2"/>
  <c r="P1389" i="2"/>
  <c r="M1389" i="2"/>
  <c r="L1389" i="2"/>
  <c r="K1389" i="2"/>
  <c r="G1389" i="2"/>
  <c r="E1389" i="2"/>
  <c r="B1389" i="2"/>
  <c r="S1388" i="2"/>
  <c r="P1388" i="2"/>
  <c r="M1388" i="2"/>
  <c r="L1388" i="2"/>
  <c r="K1388" i="2"/>
  <c r="G1388" i="2"/>
  <c r="E1388" i="2"/>
  <c r="B1388" i="2"/>
  <c r="S1387" i="2"/>
  <c r="P1387" i="2"/>
  <c r="M1387" i="2"/>
  <c r="L1387" i="2"/>
  <c r="K1387" i="2"/>
  <c r="G1387" i="2"/>
  <c r="E1387" i="2"/>
  <c r="B1387" i="2"/>
  <c r="S1386" i="2"/>
  <c r="P1386" i="2"/>
  <c r="M1386" i="2"/>
  <c r="L1386" i="2"/>
  <c r="K1386" i="2"/>
  <c r="G1386" i="2"/>
  <c r="E1386" i="2"/>
  <c r="B1386" i="2"/>
  <c r="S1385" i="2"/>
  <c r="P1385" i="2"/>
  <c r="M1385" i="2"/>
  <c r="L1385" i="2"/>
  <c r="K1385" i="2"/>
  <c r="G1385" i="2"/>
  <c r="E1385" i="2"/>
  <c r="B1385" i="2"/>
  <c r="S1384" i="2"/>
  <c r="P1384" i="2"/>
  <c r="M1384" i="2"/>
  <c r="L1384" i="2"/>
  <c r="K1384" i="2"/>
  <c r="G1384" i="2"/>
  <c r="E1384" i="2"/>
  <c r="B1384" i="2"/>
  <c r="S1383" i="2"/>
  <c r="P1383" i="2"/>
  <c r="M1383" i="2"/>
  <c r="L1383" i="2"/>
  <c r="K1383" i="2"/>
  <c r="G1383" i="2"/>
  <c r="E1383" i="2"/>
  <c r="B1383" i="2"/>
  <c r="S1382" i="2"/>
  <c r="P1382" i="2"/>
  <c r="M1382" i="2"/>
  <c r="L1382" i="2"/>
  <c r="K1382" i="2"/>
  <c r="G1382" i="2"/>
  <c r="E1382" i="2"/>
  <c r="B1382" i="2"/>
  <c r="S1381" i="2"/>
  <c r="P1381" i="2"/>
  <c r="M1381" i="2"/>
  <c r="L1381" i="2"/>
  <c r="K1381" i="2"/>
  <c r="G1381" i="2"/>
  <c r="E1381" i="2"/>
  <c r="B1381" i="2"/>
  <c r="S1380" i="2"/>
  <c r="P1380" i="2"/>
  <c r="M1380" i="2"/>
  <c r="L1380" i="2"/>
  <c r="K1380" i="2"/>
  <c r="G1380" i="2"/>
  <c r="E1380" i="2"/>
  <c r="B1380" i="2"/>
  <c r="S1379" i="2"/>
  <c r="P1379" i="2"/>
  <c r="M1379" i="2"/>
  <c r="L1379" i="2"/>
  <c r="K1379" i="2"/>
  <c r="G1379" i="2"/>
  <c r="E1379" i="2"/>
  <c r="B1379" i="2"/>
  <c r="S1378" i="2"/>
  <c r="P1378" i="2"/>
  <c r="M1378" i="2"/>
  <c r="L1378" i="2"/>
  <c r="K1378" i="2"/>
  <c r="G1378" i="2"/>
  <c r="E1378" i="2"/>
  <c r="B1378" i="2"/>
  <c r="S1377" i="2"/>
  <c r="P1377" i="2"/>
  <c r="M1377" i="2"/>
  <c r="L1377" i="2"/>
  <c r="K1377" i="2"/>
  <c r="G1377" i="2"/>
  <c r="E1377" i="2"/>
  <c r="B1377" i="2"/>
  <c r="S1376" i="2"/>
  <c r="P1376" i="2"/>
  <c r="M1376" i="2"/>
  <c r="L1376" i="2"/>
  <c r="K1376" i="2"/>
  <c r="G1376" i="2"/>
  <c r="E1376" i="2"/>
  <c r="B1376" i="2"/>
  <c r="S1375" i="2"/>
  <c r="P1375" i="2"/>
  <c r="M1375" i="2"/>
  <c r="L1375" i="2"/>
  <c r="K1375" i="2"/>
  <c r="G1375" i="2"/>
  <c r="E1375" i="2"/>
  <c r="B1375" i="2"/>
  <c r="S1374" i="2"/>
  <c r="P1374" i="2"/>
  <c r="M1374" i="2"/>
  <c r="L1374" i="2"/>
  <c r="K1374" i="2"/>
  <c r="G1374" i="2"/>
  <c r="E1374" i="2"/>
  <c r="B1374" i="2"/>
  <c r="S1373" i="2"/>
  <c r="P1373" i="2"/>
  <c r="M1373" i="2"/>
  <c r="L1373" i="2"/>
  <c r="K1373" i="2"/>
  <c r="G1373" i="2"/>
  <c r="E1373" i="2"/>
  <c r="B1373" i="2"/>
  <c r="S1372" i="2"/>
  <c r="P1372" i="2"/>
  <c r="M1372" i="2"/>
  <c r="L1372" i="2"/>
  <c r="K1372" i="2"/>
  <c r="G1372" i="2"/>
  <c r="E1372" i="2"/>
  <c r="B1372" i="2"/>
  <c r="S1371" i="2"/>
  <c r="P1371" i="2"/>
  <c r="M1371" i="2"/>
  <c r="L1371" i="2"/>
  <c r="K1371" i="2"/>
  <c r="G1371" i="2"/>
  <c r="E1371" i="2"/>
  <c r="B1371" i="2"/>
  <c r="S1370" i="2"/>
  <c r="P1370" i="2"/>
  <c r="M1370" i="2"/>
  <c r="L1370" i="2"/>
  <c r="K1370" i="2"/>
  <c r="G1370" i="2"/>
  <c r="E1370" i="2"/>
  <c r="B1370" i="2"/>
  <c r="S1369" i="2"/>
  <c r="P1369" i="2"/>
  <c r="M1369" i="2"/>
  <c r="L1369" i="2"/>
  <c r="K1369" i="2"/>
  <c r="G1369" i="2"/>
  <c r="E1369" i="2"/>
  <c r="B1369" i="2"/>
  <c r="S1368" i="2"/>
  <c r="P1368" i="2"/>
  <c r="M1368" i="2"/>
  <c r="L1368" i="2"/>
  <c r="K1368" i="2"/>
  <c r="G1368" i="2"/>
  <c r="E1368" i="2"/>
  <c r="B1368" i="2"/>
  <c r="S1367" i="2"/>
  <c r="P1367" i="2"/>
  <c r="M1367" i="2"/>
  <c r="L1367" i="2"/>
  <c r="K1367" i="2"/>
  <c r="G1367" i="2"/>
  <c r="E1367" i="2"/>
  <c r="B1367" i="2"/>
  <c r="S1366" i="2"/>
  <c r="P1366" i="2"/>
  <c r="M1366" i="2"/>
  <c r="L1366" i="2"/>
  <c r="K1366" i="2"/>
  <c r="G1366" i="2"/>
  <c r="E1366" i="2"/>
  <c r="B1366" i="2"/>
  <c r="S1365" i="2"/>
  <c r="P1365" i="2"/>
  <c r="M1365" i="2"/>
  <c r="L1365" i="2"/>
  <c r="K1365" i="2"/>
  <c r="G1365" i="2"/>
  <c r="E1365" i="2"/>
  <c r="B1365" i="2"/>
  <c r="S1364" i="2"/>
  <c r="P1364" i="2"/>
  <c r="M1364" i="2"/>
  <c r="L1364" i="2"/>
  <c r="K1364" i="2"/>
  <c r="G1364" i="2"/>
  <c r="E1364" i="2"/>
  <c r="B1364" i="2"/>
  <c r="S1363" i="2"/>
  <c r="P1363" i="2"/>
  <c r="M1363" i="2"/>
  <c r="L1363" i="2"/>
  <c r="K1363" i="2"/>
  <c r="G1363" i="2"/>
  <c r="E1363" i="2"/>
  <c r="B1363" i="2"/>
  <c r="S1362" i="2"/>
  <c r="P1362" i="2"/>
  <c r="M1362" i="2"/>
  <c r="L1362" i="2"/>
  <c r="K1362" i="2"/>
  <c r="G1362" i="2"/>
  <c r="E1362" i="2"/>
  <c r="B1362" i="2"/>
  <c r="S1361" i="2"/>
  <c r="P1361" i="2"/>
  <c r="M1361" i="2"/>
  <c r="L1361" i="2"/>
  <c r="K1361" i="2"/>
  <c r="G1361" i="2"/>
  <c r="E1361" i="2"/>
  <c r="B1361" i="2"/>
  <c r="S1360" i="2"/>
  <c r="P1360" i="2"/>
  <c r="M1360" i="2"/>
  <c r="L1360" i="2"/>
  <c r="K1360" i="2"/>
  <c r="G1360" i="2"/>
  <c r="E1360" i="2"/>
  <c r="B1360" i="2"/>
  <c r="S1359" i="2"/>
  <c r="P1359" i="2"/>
  <c r="M1359" i="2"/>
  <c r="L1359" i="2"/>
  <c r="K1359" i="2"/>
  <c r="G1359" i="2"/>
  <c r="E1359" i="2"/>
  <c r="B1359" i="2"/>
  <c r="S1358" i="2"/>
  <c r="P1358" i="2"/>
  <c r="M1358" i="2"/>
  <c r="L1358" i="2"/>
  <c r="K1358" i="2"/>
  <c r="G1358" i="2"/>
  <c r="E1358" i="2"/>
  <c r="B1358" i="2"/>
  <c r="S1357" i="2"/>
  <c r="P1357" i="2"/>
  <c r="M1357" i="2"/>
  <c r="L1357" i="2"/>
  <c r="K1357" i="2"/>
  <c r="G1357" i="2"/>
  <c r="E1357" i="2"/>
  <c r="B1357" i="2"/>
  <c r="S1356" i="2"/>
  <c r="P1356" i="2"/>
  <c r="M1356" i="2"/>
  <c r="L1356" i="2"/>
  <c r="K1356" i="2"/>
  <c r="G1356" i="2"/>
  <c r="E1356" i="2"/>
  <c r="B1356" i="2"/>
  <c r="S1355" i="2"/>
  <c r="P1355" i="2"/>
  <c r="M1355" i="2"/>
  <c r="L1355" i="2"/>
  <c r="K1355" i="2"/>
  <c r="G1355" i="2"/>
  <c r="E1355" i="2"/>
  <c r="B1355" i="2"/>
  <c r="S1354" i="2"/>
  <c r="P1354" i="2"/>
  <c r="M1354" i="2"/>
  <c r="L1354" i="2"/>
  <c r="K1354" i="2"/>
  <c r="G1354" i="2"/>
  <c r="E1354" i="2"/>
  <c r="B1354" i="2"/>
  <c r="S1353" i="2"/>
  <c r="P1353" i="2"/>
  <c r="M1353" i="2"/>
  <c r="L1353" i="2"/>
  <c r="K1353" i="2"/>
  <c r="G1353" i="2"/>
  <c r="E1353" i="2"/>
  <c r="B1353" i="2"/>
  <c r="S1352" i="2"/>
  <c r="P1352" i="2"/>
  <c r="M1352" i="2"/>
  <c r="L1352" i="2"/>
  <c r="K1352" i="2"/>
  <c r="G1352" i="2"/>
  <c r="E1352" i="2"/>
  <c r="B1352" i="2"/>
  <c r="S1351" i="2"/>
  <c r="P1351" i="2"/>
  <c r="M1351" i="2"/>
  <c r="L1351" i="2"/>
  <c r="K1351" i="2"/>
  <c r="G1351" i="2"/>
  <c r="E1351" i="2"/>
  <c r="B1351" i="2"/>
  <c r="S1350" i="2"/>
  <c r="P1350" i="2"/>
  <c r="M1350" i="2"/>
  <c r="L1350" i="2"/>
  <c r="K1350" i="2"/>
  <c r="G1350" i="2"/>
  <c r="E1350" i="2"/>
  <c r="B1350" i="2"/>
  <c r="S1349" i="2"/>
  <c r="P1349" i="2"/>
  <c r="M1349" i="2"/>
  <c r="L1349" i="2"/>
  <c r="K1349" i="2"/>
  <c r="G1349" i="2"/>
  <c r="E1349" i="2"/>
  <c r="B1349" i="2"/>
  <c r="S1348" i="2"/>
  <c r="P1348" i="2"/>
  <c r="M1348" i="2"/>
  <c r="L1348" i="2"/>
  <c r="K1348" i="2"/>
  <c r="G1348" i="2"/>
  <c r="E1348" i="2"/>
  <c r="B1348" i="2"/>
  <c r="S1347" i="2"/>
  <c r="P1347" i="2"/>
  <c r="M1347" i="2"/>
  <c r="L1347" i="2"/>
  <c r="K1347" i="2"/>
  <c r="G1347" i="2"/>
  <c r="E1347" i="2"/>
  <c r="B1347" i="2"/>
  <c r="S1346" i="2"/>
  <c r="P1346" i="2"/>
  <c r="M1346" i="2"/>
  <c r="L1346" i="2"/>
  <c r="K1346" i="2"/>
  <c r="G1346" i="2"/>
  <c r="E1346" i="2"/>
  <c r="B1346" i="2"/>
  <c r="S1345" i="2"/>
  <c r="P1345" i="2"/>
  <c r="M1345" i="2"/>
  <c r="L1345" i="2"/>
  <c r="K1345" i="2"/>
  <c r="G1345" i="2"/>
  <c r="E1345" i="2"/>
  <c r="B1345" i="2"/>
  <c r="S1344" i="2"/>
  <c r="P1344" i="2"/>
  <c r="M1344" i="2"/>
  <c r="L1344" i="2"/>
  <c r="K1344" i="2"/>
  <c r="G1344" i="2"/>
  <c r="E1344" i="2"/>
  <c r="B1344" i="2"/>
  <c r="S1343" i="2"/>
  <c r="P1343" i="2"/>
  <c r="M1343" i="2"/>
  <c r="L1343" i="2"/>
  <c r="K1343" i="2"/>
  <c r="G1343" i="2"/>
  <c r="E1343" i="2"/>
  <c r="B1343" i="2"/>
  <c r="S1342" i="2"/>
  <c r="P1342" i="2"/>
  <c r="M1342" i="2"/>
  <c r="L1342" i="2"/>
  <c r="K1342" i="2"/>
  <c r="G1342" i="2"/>
  <c r="E1342" i="2"/>
  <c r="B1342" i="2"/>
  <c r="S1341" i="2"/>
  <c r="P1341" i="2"/>
  <c r="M1341" i="2"/>
  <c r="L1341" i="2"/>
  <c r="K1341" i="2"/>
  <c r="G1341" i="2"/>
  <c r="E1341" i="2"/>
  <c r="B1341" i="2"/>
  <c r="S1340" i="2"/>
  <c r="P1340" i="2"/>
  <c r="M1340" i="2"/>
  <c r="L1340" i="2"/>
  <c r="K1340" i="2"/>
  <c r="G1340" i="2"/>
  <c r="E1340" i="2"/>
  <c r="B1340" i="2"/>
  <c r="S1339" i="2"/>
  <c r="P1339" i="2"/>
  <c r="M1339" i="2"/>
  <c r="L1339" i="2"/>
  <c r="K1339" i="2"/>
  <c r="G1339" i="2"/>
  <c r="E1339" i="2"/>
  <c r="B1339" i="2"/>
  <c r="S1338" i="2"/>
  <c r="P1338" i="2"/>
  <c r="M1338" i="2"/>
  <c r="L1338" i="2"/>
  <c r="K1338" i="2"/>
  <c r="G1338" i="2"/>
  <c r="E1338" i="2"/>
  <c r="B1338" i="2"/>
  <c r="S1337" i="2"/>
  <c r="P1337" i="2"/>
  <c r="M1337" i="2"/>
  <c r="L1337" i="2"/>
  <c r="K1337" i="2"/>
  <c r="G1337" i="2"/>
  <c r="E1337" i="2"/>
  <c r="B1337" i="2"/>
  <c r="S1336" i="2"/>
  <c r="P1336" i="2"/>
  <c r="M1336" i="2"/>
  <c r="L1336" i="2"/>
  <c r="K1336" i="2"/>
  <c r="G1336" i="2"/>
  <c r="E1336" i="2"/>
  <c r="B1336" i="2"/>
  <c r="S1335" i="2"/>
  <c r="P1335" i="2"/>
  <c r="M1335" i="2"/>
  <c r="L1335" i="2"/>
  <c r="K1335" i="2"/>
  <c r="G1335" i="2"/>
  <c r="E1335" i="2"/>
  <c r="B1335" i="2"/>
  <c r="S1334" i="2"/>
  <c r="P1334" i="2"/>
  <c r="M1334" i="2"/>
  <c r="L1334" i="2"/>
  <c r="K1334" i="2"/>
  <c r="G1334" i="2"/>
  <c r="E1334" i="2"/>
  <c r="B1334" i="2"/>
  <c r="S1333" i="2"/>
  <c r="P1333" i="2"/>
  <c r="M1333" i="2"/>
  <c r="L1333" i="2"/>
  <c r="K1333" i="2"/>
  <c r="G1333" i="2"/>
  <c r="E1333" i="2"/>
  <c r="B1333" i="2"/>
  <c r="S1332" i="2"/>
  <c r="P1332" i="2"/>
  <c r="M1332" i="2"/>
  <c r="L1332" i="2"/>
  <c r="K1332" i="2"/>
  <c r="G1332" i="2"/>
  <c r="E1332" i="2"/>
  <c r="B1332" i="2"/>
  <c r="S1331" i="2"/>
  <c r="P1331" i="2"/>
  <c r="M1331" i="2"/>
  <c r="L1331" i="2"/>
  <c r="K1331" i="2"/>
  <c r="G1331" i="2"/>
  <c r="E1331" i="2"/>
  <c r="B1331" i="2"/>
  <c r="S1330" i="2"/>
  <c r="P1330" i="2"/>
  <c r="M1330" i="2"/>
  <c r="L1330" i="2"/>
  <c r="K1330" i="2"/>
  <c r="G1330" i="2"/>
  <c r="E1330" i="2"/>
  <c r="B1330" i="2"/>
  <c r="S1329" i="2"/>
  <c r="P1329" i="2"/>
  <c r="M1329" i="2"/>
  <c r="L1329" i="2"/>
  <c r="K1329" i="2"/>
  <c r="G1329" i="2"/>
  <c r="E1329" i="2"/>
  <c r="B1329" i="2"/>
  <c r="S1328" i="2"/>
  <c r="P1328" i="2"/>
  <c r="M1328" i="2"/>
  <c r="L1328" i="2"/>
  <c r="K1328" i="2"/>
  <c r="G1328" i="2"/>
  <c r="E1328" i="2"/>
  <c r="B1328" i="2"/>
  <c r="S1327" i="2"/>
  <c r="P1327" i="2"/>
  <c r="M1327" i="2"/>
  <c r="L1327" i="2"/>
  <c r="K1327" i="2"/>
  <c r="G1327" i="2"/>
  <c r="E1327" i="2"/>
  <c r="B1327" i="2"/>
  <c r="S1326" i="2"/>
  <c r="P1326" i="2"/>
  <c r="M1326" i="2"/>
  <c r="L1326" i="2"/>
  <c r="K1326" i="2"/>
  <c r="G1326" i="2"/>
  <c r="E1326" i="2"/>
  <c r="B1326" i="2"/>
  <c r="S1325" i="2"/>
  <c r="P1325" i="2"/>
  <c r="M1325" i="2"/>
  <c r="L1325" i="2"/>
  <c r="K1325" i="2"/>
  <c r="G1325" i="2"/>
  <c r="E1325" i="2"/>
  <c r="B1325" i="2"/>
  <c r="S1324" i="2"/>
  <c r="P1324" i="2"/>
  <c r="M1324" i="2"/>
  <c r="L1324" i="2"/>
  <c r="K1324" i="2"/>
  <c r="G1324" i="2"/>
  <c r="E1324" i="2"/>
  <c r="B1324" i="2"/>
  <c r="S1323" i="2"/>
  <c r="P1323" i="2"/>
  <c r="M1323" i="2"/>
  <c r="L1323" i="2"/>
  <c r="K1323" i="2"/>
  <c r="G1323" i="2"/>
  <c r="E1323" i="2"/>
  <c r="B1323" i="2"/>
  <c r="S1322" i="2"/>
  <c r="P1322" i="2"/>
  <c r="M1322" i="2"/>
  <c r="L1322" i="2"/>
  <c r="K1322" i="2"/>
  <c r="G1322" i="2"/>
  <c r="E1322" i="2"/>
  <c r="B1322" i="2"/>
  <c r="S1321" i="2"/>
  <c r="P1321" i="2"/>
  <c r="M1321" i="2"/>
  <c r="L1321" i="2"/>
  <c r="K1321" i="2"/>
  <c r="G1321" i="2"/>
  <c r="E1321" i="2"/>
  <c r="B1321" i="2"/>
  <c r="S1320" i="2"/>
  <c r="P1320" i="2"/>
  <c r="M1320" i="2"/>
  <c r="L1320" i="2"/>
  <c r="K1320" i="2"/>
  <c r="G1320" i="2"/>
  <c r="E1320" i="2"/>
  <c r="B1320" i="2"/>
  <c r="S1319" i="2"/>
  <c r="P1319" i="2"/>
  <c r="M1319" i="2"/>
  <c r="L1319" i="2"/>
  <c r="K1319" i="2"/>
  <c r="G1319" i="2"/>
  <c r="E1319" i="2"/>
  <c r="B1319" i="2"/>
  <c r="S1318" i="2"/>
  <c r="P1318" i="2"/>
  <c r="M1318" i="2"/>
  <c r="L1318" i="2"/>
  <c r="K1318" i="2"/>
  <c r="G1318" i="2"/>
  <c r="E1318" i="2"/>
  <c r="B1318" i="2"/>
  <c r="S1317" i="2"/>
  <c r="P1317" i="2"/>
  <c r="M1317" i="2"/>
  <c r="L1317" i="2"/>
  <c r="K1317" i="2"/>
  <c r="G1317" i="2"/>
  <c r="E1317" i="2"/>
  <c r="B1317" i="2"/>
  <c r="S1316" i="2"/>
  <c r="P1316" i="2"/>
  <c r="M1316" i="2"/>
  <c r="L1316" i="2"/>
  <c r="K1316" i="2"/>
  <c r="G1316" i="2"/>
  <c r="E1316" i="2"/>
  <c r="B1316" i="2"/>
  <c r="S1315" i="2"/>
  <c r="P1315" i="2"/>
  <c r="M1315" i="2"/>
  <c r="L1315" i="2"/>
  <c r="K1315" i="2"/>
  <c r="G1315" i="2"/>
  <c r="E1315" i="2"/>
  <c r="B1315" i="2"/>
  <c r="S1314" i="2"/>
  <c r="P1314" i="2"/>
  <c r="M1314" i="2"/>
  <c r="L1314" i="2"/>
  <c r="K1314" i="2"/>
  <c r="G1314" i="2"/>
  <c r="E1314" i="2"/>
  <c r="B1314" i="2"/>
  <c r="S1313" i="2"/>
  <c r="P1313" i="2"/>
  <c r="M1313" i="2"/>
  <c r="L1313" i="2"/>
  <c r="K1313" i="2"/>
  <c r="G1313" i="2"/>
  <c r="E1313" i="2"/>
  <c r="B1313" i="2"/>
  <c r="S1312" i="2"/>
  <c r="P1312" i="2"/>
  <c r="M1312" i="2"/>
  <c r="L1312" i="2"/>
  <c r="K1312" i="2"/>
  <c r="G1312" i="2"/>
  <c r="E1312" i="2"/>
  <c r="B1312" i="2"/>
  <c r="S1311" i="2"/>
  <c r="P1311" i="2"/>
  <c r="M1311" i="2"/>
  <c r="L1311" i="2"/>
  <c r="K1311" i="2"/>
  <c r="G1311" i="2"/>
  <c r="E1311" i="2"/>
  <c r="B1311" i="2"/>
  <c r="S1310" i="2"/>
  <c r="P1310" i="2"/>
  <c r="M1310" i="2"/>
  <c r="L1310" i="2"/>
  <c r="K1310" i="2"/>
  <c r="G1310" i="2"/>
  <c r="E1310" i="2"/>
  <c r="B1310" i="2"/>
  <c r="S1309" i="2"/>
  <c r="P1309" i="2"/>
  <c r="M1309" i="2"/>
  <c r="L1309" i="2"/>
  <c r="K1309" i="2"/>
  <c r="G1309" i="2"/>
  <c r="E1309" i="2"/>
  <c r="B1309" i="2"/>
  <c r="S1308" i="2"/>
  <c r="P1308" i="2"/>
  <c r="M1308" i="2"/>
  <c r="L1308" i="2"/>
  <c r="K1308" i="2"/>
  <c r="G1308" i="2"/>
  <c r="E1308" i="2"/>
  <c r="B1308" i="2"/>
  <c r="S1307" i="2"/>
  <c r="P1307" i="2"/>
  <c r="M1307" i="2"/>
  <c r="L1307" i="2"/>
  <c r="K1307" i="2"/>
  <c r="G1307" i="2"/>
  <c r="E1307" i="2"/>
  <c r="B1307" i="2"/>
  <c r="S1306" i="2"/>
  <c r="P1306" i="2"/>
  <c r="M1306" i="2"/>
  <c r="L1306" i="2"/>
  <c r="K1306" i="2"/>
  <c r="G1306" i="2"/>
  <c r="E1306" i="2"/>
  <c r="B1306" i="2"/>
  <c r="S1305" i="2"/>
  <c r="P1305" i="2"/>
  <c r="M1305" i="2"/>
  <c r="L1305" i="2"/>
  <c r="K1305" i="2"/>
  <c r="G1305" i="2"/>
  <c r="E1305" i="2"/>
  <c r="B1305" i="2"/>
  <c r="S1304" i="2"/>
  <c r="P1304" i="2"/>
  <c r="M1304" i="2"/>
  <c r="L1304" i="2"/>
  <c r="K1304" i="2"/>
  <c r="G1304" i="2"/>
  <c r="E1304" i="2"/>
  <c r="B1304" i="2"/>
  <c r="S1303" i="2"/>
  <c r="P1303" i="2"/>
  <c r="M1303" i="2"/>
  <c r="L1303" i="2"/>
  <c r="K1303" i="2"/>
  <c r="G1303" i="2"/>
  <c r="E1303" i="2"/>
  <c r="B1303" i="2"/>
  <c r="S1302" i="2"/>
  <c r="P1302" i="2"/>
  <c r="M1302" i="2"/>
  <c r="L1302" i="2"/>
  <c r="K1302" i="2"/>
  <c r="G1302" i="2"/>
  <c r="E1302" i="2"/>
  <c r="B1302" i="2"/>
  <c r="S1301" i="2"/>
  <c r="P1301" i="2"/>
  <c r="M1301" i="2"/>
  <c r="L1301" i="2"/>
  <c r="K1301" i="2"/>
  <c r="G1301" i="2"/>
  <c r="E1301" i="2"/>
  <c r="B1301" i="2"/>
  <c r="S1300" i="2"/>
  <c r="P1300" i="2"/>
  <c r="M1300" i="2"/>
  <c r="L1300" i="2"/>
  <c r="K1300" i="2"/>
  <c r="G1300" i="2"/>
  <c r="E1300" i="2"/>
  <c r="B1300" i="2"/>
  <c r="S1299" i="2"/>
  <c r="P1299" i="2"/>
  <c r="M1299" i="2"/>
  <c r="L1299" i="2"/>
  <c r="K1299" i="2"/>
  <c r="G1299" i="2"/>
  <c r="E1299" i="2"/>
  <c r="B1299" i="2"/>
  <c r="S1298" i="2"/>
  <c r="P1298" i="2"/>
  <c r="M1298" i="2"/>
  <c r="L1298" i="2"/>
  <c r="K1298" i="2"/>
  <c r="G1298" i="2"/>
  <c r="E1298" i="2"/>
  <c r="B1298" i="2"/>
  <c r="S1297" i="2"/>
  <c r="P1297" i="2"/>
  <c r="M1297" i="2"/>
  <c r="L1297" i="2"/>
  <c r="K1297" i="2"/>
  <c r="G1297" i="2"/>
  <c r="E1297" i="2"/>
  <c r="B1297" i="2"/>
  <c r="S1296" i="2"/>
  <c r="P1296" i="2"/>
  <c r="M1296" i="2"/>
  <c r="L1296" i="2"/>
  <c r="K1296" i="2"/>
  <c r="G1296" i="2"/>
  <c r="E1296" i="2"/>
  <c r="B1296" i="2"/>
  <c r="S1295" i="2"/>
  <c r="P1295" i="2"/>
  <c r="M1295" i="2"/>
  <c r="L1295" i="2"/>
  <c r="K1295" i="2"/>
  <c r="G1295" i="2"/>
  <c r="E1295" i="2"/>
  <c r="B1295" i="2"/>
  <c r="S1294" i="2"/>
  <c r="P1294" i="2"/>
  <c r="M1294" i="2"/>
  <c r="L1294" i="2"/>
  <c r="K1294" i="2"/>
  <c r="G1294" i="2"/>
  <c r="E1294" i="2"/>
  <c r="B1294" i="2"/>
  <c r="S1293" i="2"/>
  <c r="P1293" i="2"/>
  <c r="M1293" i="2"/>
  <c r="L1293" i="2"/>
  <c r="K1293" i="2"/>
  <c r="G1293" i="2"/>
  <c r="E1293" i="2"/>
  <c r="B1293" i="2"/>
  <c r="S1292" i="2"/>
  <c r="P1292" i="2"/>
  <c r="M1292" i="2"/>
  <c r="L1292" i="2"/>
  <c r="K1292" i="2"/>
  <c r="G1292" i="2"/>
  <c r="E1292" i="2"/>
  <c r="B1292" i="2"/>
  <c r="S1291" i="2"/>
  <c r="P1291" i="2"/>
  <c r="M1291" i="2"/>
  <c r="L1291" i="2"/>
  <c r="K1291" i="2"/>
  <c r="G1291" i="2"/>
  <c r="E1291" i="2"/>
  <c r="B1291" i="2"/>
  <c r="S1290" i="2"/>
  <c r="P1290" i="2"/>
  <c r="M1290" i="2"/>
  <c r="L1290" i="2"/>
  <c r="K1290" i="2"/>
  <c r="G1290" i="2"/>
  <c r="E1290" i="2"/>
  <c r="B1290" i="2"/>
  <c r="S1289" i="2"/>
  <c r="P1289" i="2"/>
  <c r="M1289" i="2"/>
  <c r="L1289" i="2"/>
  <c r="K1289" i="2"/>
  <c r="G1289" i="2"/>
  <c r="E1289" i="2"/>
  <c r="B1289" i="2"/>
  <c r="S1288" i="2"/>
  <c r="P1288" i="2"/>
  <c r="M1288" i="2"/>
  <c r="L1288" i="2"/>
  <c r="K1288" i="2"/>
  <c r="G1288" i="2"/>
  <c r="E1288" i="2"/>
  <c r="B1288" i="2"/>
  <c r="S1287" i="2"/>
  <c r="P1287" i="2"/>
  <c r="M1287" i="2"/>
  <c r="L1287" i="2"/>
  <c r="K1287" i="2"/>
  <c r="G1287" i="2"/>
  <c r="E1287" i="2"/>
  <c r="B1287" i="2"/>
  <c r="S1286" i="2"/>
  <c r="P1286" i="2"/>
  <c r="M1286" i="2"/>
  <c r="L1286" i="2"/>
  <c r="K1286" i="2"/>
  <c r="G1286" i="2"/>
  <c r="E1286" i="2"/>
  <c r="B1286" i="2"/>
  <c r="S1285" i="2"/>
  <c r="P1285" i="2"/>
  <c r="M1285" i="2"/>
  <c r="L1285" i="2"/>
  <c r="K1285" i="2"/>
  <c r="G1285" i="2"/>
  <c r="E1285" i="2"/>
  <c r="B1285" i="2"/>
  <c r="S1284" i="2"/>
  <c r="P1284" i="2"/>
  <c r="M1284" i="2"/>
  <c r="L1284" i="2"/>
  <c r="K1284" i="2"/>
  <c r="G1284" i="2"/>
  <c r="E1284" i="2"/>
  <c r="B1284" i="2"/>
  <c r="S1283" i="2"/>
  <c r="P1283" i="2"/>
  <c r="M1283" i="2"/>
  <c r="L1283" i="2"/>
  <c r="K1283" i="2"/>
  <c r="G1283" i="2"/>
  <c r="E1283" i="2"/>
  <c r="B1283" i="2"/>
  <c r="S1282" i="2"/>
  <c r="P1282" i="2"/>
  <c r="M1282" i="2"/>
  <c r="L1282" i="2"/>
  <c r="K1282" i="2"/>
  <c r="G1282" i="2"/>
  <c r="E1282" i="2"/>
  <c r="B1282" i="2"/>
  <c r="S1281" i="2"/>
  <c r="P1281" i="2"/>
  <c r="M1281" i="2"/>
  <c r="L1281" i="2"/>
  <c r="K1281" i="2"/>
  <c r="G1281" i="2"/>
  <c r="E1281" i="2"/>
  <c r="B1281" i="2"/>
  <c r="S1280" i="2"/>
  <c r="P1280" i="2"/>
  <c r="M1280" i="2"/>
  <c r="L1280" i="2"/>
  <c r="K1280" i="2"/>
  <c r="G1280" i="2"/>
  <c r="E1280" i="2"/>
  <c r="B1280" i="2"/>
  <c r="S1279" i="2"/>
  <c r="P1279" i="2"/>
  <c r="M1279" i="2"/>
  <c r="L1279" i="2"/>
  <c r="K1279" i="2"/>
  <c r="G1279" i="2"/>
  <c r="E1279" i="2"/>
  <c r="B1279" i="2"/>
  <c r="S1278" i="2"/>
  <c r="P1278" i="2"/>
  <c r="M1278" i="2"/>
  <c r="L1278" i="2"/>
  <c r="K1278" i="2"/>
  <c r="G1278" i="2"/>
  <c r="E1278" i="2"/>
  <c r="B1278" i="2"/>
  <c r="S1277" i="2"/>
  <c r="P1277" i="2"/>
  <c r="M1277" i="2"/>
  <c r="L1277" i="2"/>
  <c r="K1277" i="2"/>
  <c r="G1277" i="2"/>
  <c r="E1277" i="2"/>
  <c r="B1277" i="2"/>
  <c r="S1276" i="2"/>
  <c r="P1276" i="2"/>
  <c r="M1276" i="2"/>
  <c r="L1276" i="2"/>
  <c r="K1276" i="2"/>
  <c r="G1276" i="2"/>
  <c r="E1276" i="2"/>
  <c r="B1276" i="2"/>
  <c r="S1275" i="2"/>
  <c r="P1275" i="2"/>
  <c r="M1275" i="2"/>
  <c r="L1275" i="2"/>
  <c r="K1275" i="2"/>
  <c r="G1275" i="2"/>
  <c r="E1275" i="2"/>
  <c r="B1275" i="2"/>
  <c r="S1274" i="2"/>
  <c r="P1274" i="2"/>
  <c r="M1274" i="2"/>
  <c r="L1274" i="2"/>
  <c r="K1274" i="2"/>
  <c r="G1274" i="2"/>
  <c r="E1274" i="2"/>
  <c r="B1274" i="2"/>
  <c r="S1273" i="2"/>
  <c r="P1273" i="2"/>
  <c r="M1273" i="2"/>
  <c r="L1273" i="2"/>
  <c r="K1273" i="2"/>
  <c r="G1273" i="2"/>
  <c r="E1273" i="2"/>
  <c r="B1273" i="2"/>
  <c r="S1272" i="2"/>
  <c r="P1272" i="2"/>
  <c r="M1272" i="2"/>
  <c r="L1272" i="2"/>
  <c r="K1272" i="2"/>
  <c r="G1272" i="2"/>
  <c r="E1272" i="2"/>
  <c r="B1272" i="2"/>
  <c r="S1271" i="2"/>
  <c r="P1271" i="2"/>
  <c r="M1271" i="2"/>
  <c r="L1271" i="2"/>
  <c r="K1271" i="2"/>
  <c r="G1271" i="2"/>
  <c r="E1271" i="2"/>
  <c r="B1271" i="2"/>
  <c r="S1270" i="2"/>
  <c r="P1270" i="2"/>
  <c r="M1270" i="2"/>
  <c r="L1270" i="2"/>
  <c r="K1270" i="2"/>
  <c r="G1270" i="2"/>
  <c r="E1270" i="2"/>
  <c r="B1270" i="2"/>
  <c r="S1269" i="2"/>
  <c r="P1269" i="2"/>
  <c r="M1269" i="2"/>
  <c r="L1269" i="2"/>
  <c r="K1269" i="2"/>
  <c r="G1269" i="2"/>
  <c r="E1269" i="2"/>
  <c r="B1269" i="2"/>
  <c r="S1268" i="2"/>
  <c r="P1268" i="2"/>
  <c r="M1268" i="2"/>
  <c r="L1268" i="2"/>
  <c r="K1268" i="2"/>
  <c r="G1268" i="2"/>
  <c r="E1268" i="2"/>
  <c r="B1268" i="2"/>
  <c r="S1267" i="2"/>
  <c r="P1267" i="2"/>
  <c r="M1267" i="2"/>
  <c r="L1267" i="2"/>
  <c r="K1267" i="2"/>
  <c r="G1267" i="2"/>
  <c r="E1267" i="2"/>
  <c r="B1267" i="2"/>
  <c r="S1266" i="2"/>
  <c r="P1266" i="2"/>
  <c r="M1266" i="2"/>
  <c r="L1266" i="2"/>
  <c r="K1266" i="2"/>
  <c r="G1266" i="2"/>
  <c r="E1266" i="2"/>
  <c r="B1266" i="2"/>
  <c r="S1265" i="2"/>
  <c r="P1265" i="2"/>
  <c r="M1265" i="2"/>
  <c r="L1265" i="2"/>
  <c r="K1265" i="2"/>
  <c r="G1265" i="2"/>
  <c r="E1265" i="2"/>
  <c r="B1265" i="2"/>
  <c r="S1264" i="2"/>
  <c r="P1264" i="2"/>
  <c r="M1264" i="2"/>
  <c r="L1264" i="2"/>
  <c r="K1264" i="2"/>
  <c r="G1264" i="2"/>
  <c r="E1264" i="2"/>
  <c r="B1264" i="2"/>
  <c r="S1263" i="2"/>
  <c r="P1263" i="2"/>
  <c r="M1263" i="2"/>
  <c r="L1263" i="2"/>
  <c r="K1263" i="2"/>
  <c r="G1263" i="2"/>
  <c r="E1263" i="2"/>
  <c r="B1263" i="2"/>
  <c r="S1262" i="2"/>
  <c r="P1262" i="2"/>
  <c r="M1262" i="2"/>
  <c r="L1262" i="2"/>
  <c r="K1262" i="2"/>
  <c r="G1262" i="2"/>
  <c r="E1262" i="2"/>
  <c r="B1262" i="2"/>
  <c r="S1261" i="2"/>
  <c r="P1261" i="2"/>
  <c r="M1261" i="2"/>
  <c r="L1261" i="2"/>
  <c r="K1261" i="2"/>
  <c r="G1261" i="2"/>
  <c r="E1261" i="2"/>
  <c r="B1261" i="2"/>
  <c r="S1260" i="2"/>
  <c r="P1260" i="2"/>
  <c r="M1260" i="2"/>
  <c r="L1260" i="2"/>
  <c r="K1260" i="2"/>
  <c r="G1260" i="2"/>
  <c r="E1260" i="2"/>
  <c r="B1260" i="2"/>
  <c r="S1259" i="2"/>
  <c r="P1259" i="2"/>
  <c r="M1259" i="2"/>
  <c r="L1259" i="2"/>
  <c r="K1259" i="2"/>
  <c r="G1259" i="2"/>
  <c r="E1259" i="2"/>
  <c r="B1259" i="2"/>
  <c r="S1258" i="2"/>
  <c r="P1258" i="2"/>
  <c r="M1258" i="2"/>
  <c r="L1258" i="2"/>
  <c r="K1258" i="2"/>
  <c r="G1258" i="2"/>
  <c r="E1258" i="2"/>
  <c r="B1258" i="2"/>
  <c r="S1257" i="2"/>
  <c r="P1257" i="2"/>
  <c r="M1257" i="2"/>
  <c r="L1257" i="2"/>
  <c r="K1257" i="2"/>
  <c r="G1257" i="2"/>
  <c r="E1257" i="2"/>
  <c r="B1257" i="2"/>
  <c r="S1256" i="2"/>
  <c r="P1256" i="2"/>
  <c r="M1256" i="2"/>
  <c r="L1256" i="2"/>
  <c r="K1256" i="2"/>
  <c r="G1256" i="2"/>
  <c r="E1256" i="2"/>
  <c r="B1256" i="2"/>
  <c r="S1255" i="2"/>
  <c r="P1255" i="2"/>
  <c r="M1255" i="2"/>
  <c r="L1255" i="2"/>
  <c r="K1255" i="2"/>
  <c r="G1255" i="2"/>
  <c r="E1255" i="2"/>
  <c r="B1255" i="2"/>
  <c r="S1254" i="2"/>
  <c r="P1254" i="2"/>
  <c r="M1254" i="2"/>
  <c r="L1254" i="2"/>
  <c r="K1254" i="2"/>
  <c r="G1254" i="2"/>
  <c r="E1254" i="2"/>
  <c r="B1254" i="2"/>
  <c r="S1253" i="2"/>
  <c r="P1253" i="2"/>
  <c r="M1253" i="2"/>
  <c r="L1253" i="2"/>
  <c r="K1253" i="2"/>
  <c r="G1253" i="2"/>
  <c r="E1253" i="2"/>
  <c r="B1253" i="2"/>
  <c r="S1252" i="2"/>
  <c r="P1252" i="2"/>
  <c r="M1252" i="2"/>
  <c r="L1252" i="2"/>
  <c r="K1252" i="2"/>
  <c r="G1252" i="2"/>
  <c r="E1252" i="2"/>
  <c r="B1252" i="2"/>
  <c r="S1251" i="2"/>
  <c r="P1251" i="2"/>
  <c r="M1251" i="2"/>
  <c r="L1251" i="2"/>
  <c r="K1251" i="2"/>
  <c r="G1251" i="2"/>
  <c r="E1251" i="2"/>
  <c r="B1251" i="2"/>
  <c r="S1250" i="2"/>
  <c r="P1250" i="2"/>
  <c r="M1250" i="2"/>
  <c r="L1250" i="2"/>
  <c r="K1250" i="2"/>
  <c r="G1250" i="2"/>
  <c r="E1250" i="2"/>
  <c r="B1250" i="2"/>
  <c r="S1249" i="2"/>
  <c r="P1249" i="2"/>
  <c r="M1249" i="2"/>
  <c r="L1249" i="2"/>
  <c r="K1249" i="2"/>
  <c r="G1249" i="2"/>
  <c r="E1249" i="2"/>
  <c r="B1249" i="2"/>
  <c r="S1248" i="2"/>
  <c r="P1248" i="2"/>
  <c r="M1248" i="2"/>
  <c r="L1248" i="2"/>
  <c r="K1248" i="2"/>
  <c r="G1248" i="2"/>
  <c r="E1248" i="2"/>
  <c r="B1248" i="2"/>
  <c r="S1247" i="2"/>
  <c r="P1247" i="2"/>
  <c r="M1247" i="2"/>
  <c r="L1247" i="2"/>
  <c r="K1247" i="2"/>
  <c r="G1247" i="2"/>
  <c r="E1247" i="2"/>
  <c r="B1247" i="2"/>
  <c r="S1246" i="2"/>
  <c r="P1246" i="2"/>
  <c r="M1246" i="2"/>
  <c r="L1246" i="2"/>
  <c r="K1246" i="2"/>
  <c r="G1246" i="2"/>
  <c r="E1246" i="2"/>
  <c r="B1246" i="2"/>
  <c r="S1245" i="2"/>
  <c r="P1245" i="2"/>
  <c r="M1245" i="2"/>
  <c r="L1245" i="2"/>
  <c r="K1245" i="2"/>
  <c r="G1245" i="2"/>
  <c r="E1245" i="2"/>
  <c r="B1245" i="2"/>
  <c r="S1244" i="2"/>
  <c r="P1244" i="2"/>
  <c r="M1244" i="2"/>
  <c r="L1244" i="2"/>
  <c r="K1244" i="2"/>
  <c r="G1244" i="2"/>
  <c r="E1244" i="2"/>
  <c r="B1244" i="2"/>
  <c r="S1243" i="2"/>
  <c r="P1243" i="2"/>
  <c r="M1243" i="2"/>
  <c r="L1243" i="2"/>
  <c r="K1243" i="2"/>
  <c r="G1243" i="2"/>
  <c r="E1243" i="2"/>
  <c r="B1243" i="2"/>
  <c r="S1242" i="2"/>
  <c r="P1242" i="2"/>
  <c r="M1242" i="2"/>
  <c r="L1242" i="2"/>
  <c r="K1242" i="2"/>
  <c r="G1242" i="2"/>
  <c r="E1242" i="2"/>
  <c r="B1242" i="2"/>
  <c r="S1241" i="2"/>
  <c r="P1241" i="2"/>
  <c r="M1241" i="2"/>
  <c r="L1241" i="2"/>
  <c r="K1241" i="2"/>
  <c r="G1241" i="2"/>
  <c r="E1241" i="2"/>
  <c r="B1241" i="2"/>
  <c r="S1240" i="2"/>
  <c r="P1240" i="2"/>
  <c r="M1240" i="2"/>
  <c r="L1240" i="2"/>
  <c r="K1240" i="2"/>
  <c r="G1240" i="2"/>
  <c r="E1240" i="2"/>
  <c r="B1240" i="2"/>
  <c r="S1239" i="2"/>
  <c r="P1239" i="2"/>
  <c r="M1239" i="2"/>
  <c r="L1239" i="2"/>
  <c r="K1239" i="2"/>
  <c r="G1239" i="2"/>
  <c r="E1239" i="2"/>
  <c r="B1239" i="2"/>
  <c r="S1238" i="2"/>
  <c r="P1238" i="2"/>
  <c r="M1238" i="2"/>
  <c r="L1238" i="2"/>
  <c r="K1238" i="2"/>
  <c r="G1238" i="2"/>
  <c r="E1238" i="2"/>
  <c r="B1238" i="2"/>
  <c r="S1237" i="2"/>
  <c r="P1237" i="2"/>
  <c r="M1237" i="2"/>
  <c r="L1237" i="2"/>
  <c r="K1237" i="2"/>
  <c r="G1237" i="2"/>
  <c r="E1237" i="2"/>
  <c r="B1237" i="2"/>
  <c r="S1236" i="2"/>
  <c r="P1236" i="2"/>
  <c r="M1236" i="2"/>
  <c r="L1236" i="2"/>
  <c r="K1236" i="2"/>
  <c r="G1236" i="2"/>
  <c r="E1236" i="2"/>
  <c r="B1236" i="2"/>
  <c r="S1235" i="2"/>
  <c r="P1235" i="2"/>
  <c r="M1235" i="2"/>
  <c r="L1235" i="2"/>
  <c r="K1235" i="2"/>
  <c r="G1235" i="2"/>
  <c r="E1235" i="2"/>
  <c r="B1235" i="2"/>
  <c r="S1234" i="2"/>
  <c r="P1234" i="2"/>
  <c r="M1234" i="2"/>
  <c r="L1234" i="2"/>
  <c r="K1234" i="2"/>
  <c r="G1234" i="2"/>
  <c r="E1234" i="2"/>
  <c r="B1234" i="2"/>
  <c r="S1233" i="2"/>
  <c r="P1233" i="2"/>
  <c r="M1233" i="2"/>
  <c r="L1233" i="2"/>
  <c r="K1233" i="2"/>
  <c r="G1233" i="2"/>
  <c r="E1233" i="2"/>
  <c r="B1233" i="2"/>
  <c r="S1232" i="2"/>
  <c r="P1232" i="2"/>
  <c r="M1232" i="2"/>
  <c r="L1232" i="2"/>
  <c r="K1232" i="2"/>
  <c r="G1232" i="2"/>
  <c r="E1232" i="2"/>
  <c r="B1232" i="2"/>
  <c r="S1231" i="2"/>
  <c r="P1231" i="2"/>
  <c r="M1231" i="2"/>
  <c r="L1231" i="2"/>
  <c r="K1231" i="2"/>
  <c r="G1231" i="2"/>
  <c r="E1231" i="2"/>
  <c r="B1231" i="2"/>
  <c r="S1230" i="2"/>
  <c r="P1230" i="2"/>
  <c r="M1230" i="2"/>
  <c r="L1230" i="2"/>
  <c r="K1230" i="2"/>
  <c r="G1230" i="2"/>
  <c r="E1230" i="2"/>
  <c r="B1230" i="2"/>
  <c r="S1229" i="2"/>
  <c r="P1229" i="2"/>
  <c r="M1229" i="2"/>
  <c r="L1229" i="2"/>
  <c r="K1229" i="2"/>
  <c r="G1229" i="2"/>
  <c r="E1229" i="2"/>
  <c r="B1229" i="2"/>
  <c r="S1228" i="2"/>
  <c r="P1228" i="2"/>
  <c r="M1228" i="2"/>
  <c r="L1228" i="2"/>
  <c r="K1228" i="2"/>
  <c r="G1228" i="2"/>
  <c r="E1228" i="2"/>
  <c r="B1228" i="2"/>
  <c r="S1227" i="2"/>
  <c r="P1227" i="2"/>
  <c r="M1227" i="2"/>
  <c r="L1227" i="2"/>
  <c r="K1227" i="2"/>
  <c r="G1227" i="2"/>
  <c r="E1227" i="2"/>
  <c r="B1227" i="2"/>
  <c r="S1226" i="2"/>
  <c r="P1226" i="2"/>
  <c r="M1226" i="2"/>
  <c r="L1226" i="2"/>
  <c r="K1226" i="2"/>
  <c r="G1226" i="2"/>
  <c r="E1226" i="2"/>
  <c r="B1226" i="2"/>
  <c r="S1225" i="2"/>
  <c r="P1225" i="2"/>
  <c r="M1225" i="2"/>
  <c r="L1225" i="2"/>
  <c r="K1225" i="2"/>
  <c r="G1225" i="2"/>
  <c r="E1225" i="2"/>
  <c r="B1225" i="2"/>
  <c r="S1224" i="2"/>
  <c r="P1224" i="2"/>
  <c r="M1224" i="2"/>
  <c r="L1224" i="2"/>
  <c r="K1224" i="2"/>
  <c r="G1224" i="2"/>
  <c r="E1224" i="2"/>
  <c r="B1224" i="2"/>
  <c r="S1223" i="2"/>
  <c r="P1223" i="2"/>
  <c r="M1223" i="2"/>
  <c r="L1223" i="2"/>
  <c r="K1223" i="2"/>
  <c r="G1223" i="2"/>
  <c r="E1223" i="2"/>
  <c r="B1223" i="2"/>
  <c r="S1222" i="2"/>
  <c r="P1222" i="2"/>
  <c r="M1222" i="2"/>
  <c r="L1222" i="2"/>
  <c r="K1222" i="2"/>
  <c r="G1222" i="2"/>
  <c r="E1222" i="2"/>
  <c r="B1222" i="2"/>
  <c r="S1221" i="2"/>
  <c r="P1221" i="2"/>
  <c r="M1221" i="2"/>
  <c r="L1221" i="2"/>
  <c r="K1221" i="2"/>
  <c r="G1221" i="2"/>
  <c r="E1221" i="2"/>
  <c r="B1221" i="2"/>
  <c r="S1220" i="2"/>
  <c r="P1220" i="2"/>
  <c r="M1220" i="2"/>
  <c r="L1220" i="2"/>
  <c r="K1220" i="2"/>
  <c r="G1220" i="2"/>
  <c r="E1220" i="2"/>
  <c r="B1220" i="2"/>
  <c r="S1219" i="2"/>
  <c r="P1219" i="2"/>
  <c r="M1219" i="2"/>
  <c r="L1219" i="2"/>
  <c r="K1219" i="2"/>
  <c r="G1219" i="2"/>
  <c r="E1219" i="2"/>
  <c r="B1219" i="2"/>
  <c r="S1218" i="2"/>
  <c r="P1218" i="2"/>
  <c r="M1218" i="2"/>
  <c r="L1218" i="2"/>
  <c r="K1218" i="2"/>
  <c r="G1218" i="2"/>
  <c r="E1218" i="2"/>
  <c r="B1218" i="2"/>
  <c r="S1217" i="2"/>
  <c r="P1217" i="2"/>
  <c r="M1217" i="2"/>
  <c r="L1217" i="2"/>
  <c r="K1217" i="2"/>
  <c r="G1217" i="2"/>
  <c r="E1217" i="2"/>
  <c r="B1217" i="2"/>
  <c r="S1216" i="2"/>
  <c r="P1216" i="2"/>
  <c r="M1216" i="2"/>
  <c r="L1216" i="2"/>
  <c r="K1216" i="2"/>
  <c r="G1216" i="2"/>
  <c r="E1216" i="2"/>
  <c r="B1216" i="2"/>
  <c r="S1215" i="2"/>
  <c r="P1215" i="2"/>
  <c r="M1215" i="2"/>
  <c r="L1215" i="2"/>
  <c r="K1215" i="2"/>
  <c r="G1215" i="2"/>
  <c r="E1215" i="2"/>
  <c r="B1215" i="2"/>
  <c r="S1214" i="2"/>
  <c r="P1214" i="2"/>
  <c r="M1214" i="2"/>
  <c r="L1214" i="2"/>
  <c r="K1214" i="2"/>
  <c r="G1214" i="2"/>
  <c r="E1214" i="2"/>
  <c r="B1214" i="2"/>
  <c r="S1213" i="2"/>
  <c r="P1213" i="2"/>
  <c r="M1213" i="2"/>
  <c r="L1213" i="2"/>
  <c r="K1213" i="2"/>
  <c r="G1213" i="2"/>
  <c r="E1213" i="2"/>
  <c r="B1213" i="2"/>
  <c r="S1212" i="2"/>
  <c r="P1212" i="2"/>
  <c r="M1212" i="2"/>
  <c r="L1212" i="2"/>
  <c r="K1212" i="2"/>
  <c r="G1212" i="2"/>
  <c r="E1212" i="2"/>
  <c r="B1212" i="2"/>
  <c r="S1211" i="2"/>
  <c r="P1211" i="2"/>
  <c r="M1211" i="2"/>
  <c r="L1211" i="2"/>
  <c r="K1211" i="2"/>
  <c r="G1211" i="2"/>
  <c r="E1211" i="2"/>
  <c r="B1211" i="2"/>
  <c r="S1210" i="2"/>
  <c r="P1210" i="2"/>
  <c r="M1210" i="2"/>
  <c r="L1210" i="2"/>
  <c r="K1210" i="2"/>
  <c r="G1210" i="2"/>
  <c r="E1210" i="2"/>
  <c r="B1210" i="2"/>
  <c r="S1209" i="2"/>
  <c r="P1209" i="2"/>
  <c r="M1209" i="2"/>
  <c r="L1209" i="2"/>
  <c r="K1209" i="2"/>
  <c r="G1209" i="2"/>
  <c r="E1209" i="2"/>
  <c r="B1209" i="2"/>
  <c r="S1208" i="2"/>
  <c r="P1208" i="2"/>
  <c r="M1208" i="2"/>
  <c r="L1208" i="2"/>
  <c r="K1208" i="2"/>
  <c r="G1208" i="2"/>
  <c r="E1208" i="2"/>
  <c r="B1208" i="2"/>
  <c r="S1207" i="2"/>
  <c r="P1207" i="2"/>
  <c r="M1207" i="2"/>
  <c r="L1207" i="2"/>
  <c r="K1207" i="2"/>
  <c r="G1207" i="2"/>
  <c r="E1207" i="2"/>
  <c r="B1207" i="2"/>
  <c r="S1206" i="2"/>
  <c r="P1206" i="2"/>
  <c r="M1206" i="2"/>
  <c r="L1206" i="2"/>
  <c r="K1206" i="2"/>
  <c r="G1206" i="2"/>
  <c r="E1206" i="2"/>
  <c r="B1206" i="2"/>
  <c r="S1205" i="2"/>
  <c r="P1205" i="2"/>
  <c r="M1205" i="2"/>
  <c r="L1205" i="2"/>
  <c r="K1205" i="2"/>
  <c r="G1205" i="2"/>
  <c r="E1205" i="2"/>
  <c r="B1205" i="2"/>
  <c r="S1204" i="2"/>
  <c r="P1204" i="2"/>
  <c r="M1204" i="2"/>
  <c r="L1204" i="2"/>
  <c r="K1204" i="2"/>
  <c r="G1204" i="2"/>
  <c r="E1204" i="2"/>
  <c r="B1204" i="2"/>
  <c r="S1203" i="2"/>
  <c r="P1203" i="2"/>
  <c r="M1203" i="2"/>
  <c r="L1203" i="2"/>
  <c r="K1203" i="2"/>
  <c r="G1203" i="2"/>
  <c r="E1203" i="2"/>
  <c r="B1203" i="2"/>
  <c r="S1202" i="2"/>
  <c r="P1202" i="2"/>
  <c r="M1202" i="2"/>
  <c r="L1202" i="2"/>
  <c r="K1202" i="2"/>
  <c r="G1202" i="2"/>
  <c r="E1202" i="2"/>
  <c r="B1202" i="2"/>
  <c r="S1201" i="2"/>
  <c r="P1201" i="2"/>
  <c r="M1201" i="2"/>
  <c r="L1201" i="2"/>
  <c r="K1201" i="2"/>
  <c r="G1201" i="2"/>
  <c r="E1201" i="2"/>
  <c r="B1201" i="2"/>
  <c r="S1200" i="2"/>
  <c r="P1200" i="2"/>
  <c r="M1200" i="2"/>
  <c r="L1200" i="2"/>
  <c r="K1200" i="2"/>
  <c r="G1200" i="2"/>
  <c r="E1200" i="2"/>
  <c r="B1200" i="2"/>
  <c r="S1199" i="2"/>
  <c r="P1199" i="2"/>
  <c r="M1199" i="2"/>
  <c r="L1199" i="2"/>
  <c r="K1199" i="2"/>
  <c r="G1199" i="2"/>
  <c r="E1199" i="2"/>
  <c r="B1199" i="2"/>
  <c r="S1198" i="2"/>
  <c r="P1198" i="2"/>
  <c r="M1198" i="2"/>
  <c r="L1198" i="2"/>
  <c r="K1198" i="2"/>
  <c r="G1198" i="2"/>
  <c r="E1198" i="2"/>
  <c r="B1198" i="2"/>
  <c r="S1197" i="2"/>
  <c r="P1197" i="2"/>
  <c r="M1197" i="2"/>
  <c r="L1197" i="2"/>
  <c r="K1197" i="2"/>
  <c r="G1197" i="2"/>
  <c r="E1197" i="2"/>
  <c r="B1197" i="2"/>
  <c r="S1196" i="2"/>
  <c r="P1196" i="2"/>
  <c r="M1196" i="2"/>
  <c r="L1196" i="2"/>
  <c r="K1196" i="2"/>
  <c r="G1196" i="2"/>
  <c r="E1196" i="2"/>
  <c r="B1196" i="2"/>
  <c r="S1195" i="2"/>
  <c r="P1195" i="2"/>
  <c r="M1195" i="2"/>
  <c r="L1195" i="2"/>
  <c r="K1195" i="2"/>
  <c r="G1195" i="2"/>
  <c r="E1195" i="2"/>
  <c r="B1195" i="2"/>
  <c r="S1194" i="2"/>
  <c r="P1194" i="2"/>
  <c r="M1194" i="2"/>
  <c r="L1194" i="2"/>
  <c r="K1194" i="2"/>
  <c r="G1194" i="2"/>
  <c r="E1194" i="2"/>
  <c r="B1194" i="2"/>
  <c r="S1193" i="2"/>
  <c r="P1193" i="2"/>
  <c r="M1193" i="2"/>
  <c r="L1193" i="2"/>
  <c r="K1193" i="2"/>
  <c r="G1193" i="2"/>
  <c r="E1193" i="2"/>
  <c r="B1193" i="2"/>
  <c r="S1192" i="2"/>
  <c r="P1192" i="2"/>
  <c r="M1192" i="2"/>
  <c r="L1192" i="2"/>
  <c r="K1192" i="2"/>
  <c r="G1192" i="2"/>
  <c r="E1192" i="2"/>
  <c r="B1192" i="2"/>
  <c r="S1191" i="2"/>
  <c r="P1191" i="2"/>
  <c r="M1191" i="2"/>
  <c r="L1191" i="2"/>
  <c r="K1191" i="2"/>
  <c r="G1191" i="2"/>
  <c r="E1191" i="2"/>
  <c r="B1191" i="2"/>
  <c r="S1190" i="2"/>
  <c r="P1190" i="2"/>
  <c r="M1190" i="2"/>
  <c r="L1190" i="2"/>
  <c r="K1190" i="2"/>
  <c r="G1190" i="2"/>
  <c r="E1190" i="2"/>
  <c r="B1190" i="2"/>
  <c r="S1189" i="2"/>
  <c r="P1189" i="2"/>
  <c r="M1189" i="2"/>
  <c r="L1189" i="2"/>
  <c r="K1189" i="2"/>
  <c r="G1189" i="2"/>
  <c r="E1189" i="2"/>
  <c r="B1189" i="2"/>
  <c r="S1188" i="2"/>
  <c r="P1188" i="2"/>
  <c r="M1188" i="2"/>
  <c r="L1188" i="2"/>
  <c r="K1188" i="2"/>
  <c r="G1188" i="2"/>
  <c r="E1188" i="2"/>
  <c r="B1188" i="2"/>
  <c r="S1187" i="2"/>
  <c r="P1187" i="2"/>
  <c r="M1187" i="2"/>
  <c r="L1187" i="2"/>
  <c r="K1187" i="2"/>
  <c r="G1187" i="2"/>
  <c r="E1187" i="2"/>
  <c r="B1187" i="2"/>
  <c r="S1186" i="2"/>
  <c r="P1186" i="2"/>
  <c r="M1186" i="2"/>
  <c r="L1186" i="2"/>
  <c r="K1186" i="2"/>
  <c r="G1186" i="2"/>
  <c r="E1186" i="2"/>
  <c r="B1186" i="2"/>
  <c r="S1185" i="2"/>
  <c r="P1185" i="2"/>
  <c r="M1185" i="2"/>
  <c r="L1185" i="2"/>
  <c r="K1185" i="2"/>
  <c r="G1185" i="2"/>
  <c r="E1185" i="2"/>
  <c r="B1185" i="2"/>
  <c r="S1184" i="2"/>
  <c r="P1184" i="2"/>
  <c r="M1184" i="2"/>
  <c r="L1184" i="2"/>
  <c r="K1184" i="2"/>
  <c r="G1184" i="2"/>
  <c r="E1184" i="2"/>
  <c r="B1184" i="2"/>
  <c r="S1183" i="2"/>
  <c r="P1183" i="2"/>
  <c r="M1183" i="2"/>
  <c r="L1183" i="2"/>
  <c r="K1183" i="2"/>
  <c r="G1183" i="2"/>
  <c r="E1183" i="2"/>
  <c r="B1183" i="2"/>
  <c r="S1182" i="2"/>
  <c r="P1182" i="2"/>
  <c r="M1182" i="2"/>
  <c r="L1182" i="2"/>
  <c r="K1182" i="2"/>
  <c r="G1182" i="2"/>
  <c r="E1182" i="2"/>
  <c r="B1182" i="2"/>
  <c r="S1181" i="2"/>
  <c r="P1181" i="2"/>
  <c r="M1181" i="2"/>
  <c r="L1181" i="2"/>
  <c r="K1181" i="2"/>
  <c r="G1181" i="2"/>
  <c r="E1181" i="2"/>
  <c r="B1181" i="2"/>
  <c r="S1180" i="2"/>
  <c r="P1180" i="2"/>
  <c r="M1180" i="2"/>
  <c r="L1180" i="2"/>
  <c r="K1180" i="2"/>
  <c r="G1180" i="2"/>
  <c r="E1180" i="2"/>
  <c r="B1180" i="2"/>
  <c r="S1179" i="2"/>
  <c r="P1179" i="2"/>
  <c r="M1179" i="2"/>
  <c r="L1179" i="2"/>
  <c r="K1179" i="2"/>
  <c r="G1179" i="2"/>
  <c r="E1179" i="2"/>
  <c r="B1179" i="2"/>
  <c r="S1178" i="2"/>
  <c r="P1178" i="2"/>
  <c r="M1178" i="2"/>
  <c r="L1178" i="2"/>
  <c r="K1178" i="2"/>
  <c r="G1178" i="2"/>
  <c r="E1178" i="2"/>
  <c r="B1178" i="2"/>
  <c r="S1177" i="2"/>
  <c r="P1177" i="2"/>
  <c r="M1177" i="2"/>
  <c r="L1177" i="2"/>
  <c r="K1177" i="2"/>
  <c r="G1177" i="2"/>
  <c r="E1177" i="2"/>
  <c r="B1177" i="2"/>
  <c r="S1176" i="2"/>
  <c r="P1176" i="2"/>
  <c r="M1176" i="2"/>
  <c r="L1176" i="2"/>
  <c r="K1176" i="2"/>
  <c r="G1176" i="2"/>
  <c r="E1176" i="2"/>
  <c r="B1176" i="2"/>
  <c r="S1175" i="2"/>
  <c r="P1175" i="2"/>
  <c r="M1175" i="2"/>
  <c r="L1175" i="2"/>
  <c r="K1175" i="2"/>
  <c r="G1175" i="2"/>
  <c r="E1175" i="2"/>
  <c r="B1175" i="2"/>
  <c r="S1174" i="2"/>
  <c r="P1174" i="2"/>
  <c r="M1174" i="2"/>
  <c r="L1174" i="2"/>
  <c r="K1174" i="2"/>
  <c r="G1174" i="2"/>
  <c r="E1174" i="2"/>
  <c r="B1174" i="2"/>
  <c r="S1173" i="2"/>
  <c r="P1173" i="2"/>
  <c r="M1173" i="2"/>
  <c r="L1173" i="2"/>
  <c r="K1173" i="2"/>
  <c r="G1173" i="2"/>
  <c r="E1173" i="2"/>
  <c r="B1173" i="2"/>
  <c r="S1172" i="2"/>
  <c r="P1172" i="2"/>
  <c r="M1172" i="2"/>
  <c r="L1172" i="2"/>
  <c r="K1172" i="2"/>
  <c r="G1172" i="2"/>
  <c r="E1172" i="2"/>
  <c r="B1172" i="2"/>
  <c r="S1171" i="2"/>
  <c r="P1171" i="2"/>
  <c r="M1171" i="2"/>
  <c r="L1171" i="2"/>
  <c r="K1171" i="2"/>
  <c r="G1171" i="2"/>
  <c r="E1171" i="2"/>
  <c r="B1171" i="2"/>
  <c r="S1170" i="2"/>
  <c r="P1170" i="2"/>
  <c r="M1170" i="2"/>
  <c r="L1170" i="2"/>
  <c r="K1170" i="2"/>
  <c r="G1170" i="2"/>
  <c r="E1170" i="2"/>
  <c r="B1170" i="2"/>
  <c r="S1169" i="2"/>
  <c r="P1169" i="2"/>
  <c r="M1169" i="2"/>
  <c r="L1169" i="2"/>
  <c r="K1169" i="2"/>
  <c r="G1169" i="2"/>
  <c r="E1169" i="2"/>
  <c r="B1169" i="2"/>
  <c r="S1168" i="2"/>
  <c r="P1168" i="2"/>
  <c r="M1168" i="2"/>
  <c r="L1168" i="2"/>
  <c r="K1168" i="2"/>
  <c r="G1168" i="2"/>
  <c r="E1168" i="2"/>
  <c r="B1168" i="2"/>
  <c r="S1167" i="2"/>
  <c r="P1167" i="2"/>
  <c r="M1167" i="2"/>
  <c r="L1167" i="2"/>
  <c r="K1167" i="2"/>
  <c r="G1167" i="2"/>
  <c r="E1167" i="2"/>
  <c r="B1167" i="2"/>
  <c r="S1166" i="2"/>
  <c r="P1166" i="2"/>
  <c r="M1166" i="2"/>
  <c r="L1166" i="2"/>
  <c r="K1166" i="2"/>
  <c r="G1166" i="2"/>
  <c r="E1166" i="2"/>
  <c r="B1166" i="2"/>
  <c r="S1165" i="2"/>
  <c r="P1165" i="2"/>
  <c r="M1165" i="2"/>
  <c r="L1165" i="2"/>
  <c r="K1165" i="2"/>
  <c r="G1165" i="2"/>
  <c r="E1165" i="2"/>
  <c r="B1165" i="2"/>
  <c r="S1164" i="2"/>
  <c r="P1164" i="2"/>
  <c r="M1164" i="2"/>
  <c r="L1164" i="2"/>
  <c r="K1164" i="2"/>
  <c r="G1164" i="2"/>
  <c r="E1164" i="2"/>
  <c r="B1164" i="2"/>
  <c r="S1163" i="2"/>
  <c r="P1163" i="2"/>
  <c r="M1163" i="2"/>
  <c r="L1163" i="2"/>
  <c r="K1163" i="2"/>
  <c r="G1163" i="2"/>
  <c r="E1163" i="2"/>
  <c r="B1163" i="2"/>
  <c r="S1162" i="2"/>
  <c r="P1162" i="2"/>
  <c r="M1162" i="2"/>
  <c r="L1162" i="2"/>
  <c r="K1162" i="2"/>
  <c r="G1162" i="2"/>
  <c r="E1162" i="2"/>
  <c r="B1162" i="2"/>
  <c r="S1161" i="2"/>
  <c r="P1161" i="2"/>
  <c r="M1161" i="2"/>
  <c r="L1161" i="2"/>
  <c r="K1161" i="2"/>
  <c r="G1161" i="2"/>
  <c r="E1161" i="2"/>
  <c r="B1161" i="2"/>
  <c r="S1160" i="2"/>
  <c r="P1160" i="2"/>
  <c r="M1160" i="2"/>
  <c r="L1160" i="2"/>
  <c r="K1160" i="2"/>
  <c r="G1160" i="2"/>
  <c r="E1160" i="2"/>
  <c r="B1160" i="2"/>
  <c r="S1159" i="2"/>
  <c r="P1159" i="2"/>
  <c r="M1159" i="2"/>
  <c r="L1159" i="2"/>
  <c r="K1159" i="2"/>
  <c r="G1159" i="2"/>
  <c r="E1159" i="2"/>
  <c r="B1159" i="2"/>
  <c r="S1158" i="2"/>
  <c r="P1158" i="2"/>
  <c r="M1158" i="2"/>
  <c r="L1158" i="2"/>
  <c r="K1158" i="2"/>
  <c r="G1158" i="2"/>
  <c r="E1158" i="2"/>
  <c r="B1158" i="2"/>
  <c r="S1157" i="2"/>
  <c r="P1157" i="2"/>
  <c r="M1157" i="2"/>
  <c r="L1157" i="2"/>
  <c r="K1157" i="2"/>
  <c r="G1157" i="2"/>
  <c r="E1157" i="2"/>
  <c r="B1157" i="2"/>
  <c r="S1156" i="2"/>
  <c r="P1156" i="2"/>
  <c r="M1156" i="2"/>
  <c r="L1156" i="2"/>
  <c r="K1156" i="2"/>
  <c r="G1156" i="2"/>
  <c r="E1156" i="2"/>
  <c r="B1156" i="2"/>
  <c r="S1155" i="2"/>
  <c r="P1155" i="2"/>
  <c r="M1155" i="2"/>
  <c r="L1155" i="2"/>
  <c r="K1155" i="2"/>
  <c r="G1155" i="2"/>
  <c r="E1155" i="2"/>
  <c r="B1155" i="2"/>
  <c r="S1154" i="2"/>
  <c r="P1154" i="2"/>
  <c r="M1154" i="2"/>
  <c r="L1154" i="2"/>
  <c r="K1154" i="2"/>
  <c r="G1154" i="2"/>
  <c r="E1154" i="2"/>
  <c r="B1154" i="2"/>
  <c r="S1153" i="2"/>
  <c r="P1153" i="2"/>
  <c r="M1153" i="2"/>
  <c r="L1153" i="2"/>
  <c r="K1153" i="2"/>
  <c r="G1153" i="2"/>
  <c r="E1153" i="2"/>
  <c r="B1153" i="2"/>
  <c r="S1152" i="2"/>
  <c r="P1152" i="2"/>
  <c r="M1152" i="2"/>
  <c r="L1152" i="2"/>
  <c r="K1152" i="2"/>
  <c r="G1152" i="2"/>
  <c r="E1152" i="2"/>
  <c r="B1152" i="2"/>
  <c r="S1151" i="2"/>
  <c r="P1151" i="2"/>
  <c r="M1151" i="2"/>
  <c r="L1151" i="2"/>
  <c r="K1151" i="2"/>
  <c r="G1151" i="2"/>
  <c r="E1151" i="2"/>
  <c r="B1151" i="2"/>
  <c r="S1150" i="2"/>
  <c r="P1150" i="2"/>
  <c r="M1150" i="2"/>
  <c r="L1150" i="2"/>
  <c r="K1150" i="2"/>
  <c r="G1150" i="2"/>
  <c r="E1150" i="2"/>
  <c r="B1150" i="2"/>
  <c r="S1149" i="2"/>
  <c r="P1149" i="2"/>
  <c r="M1149" i="2"/>
  <c r="L1149" i="2"/>
  <c r="K1149" i="2"/>
  <c r="G1149" i="2"/>
  <c r="E1149" i="2"/>
  <c r="B1149" i="2"/>
  <c r="S1148" i="2"/>
  <c r="P1148" i="2"/>
  <c r="M1148" i="2"/>
  <c r="L1148" i="2"/>
  <c r="K1148" i="2"/>
  <c r="G1148" i="2"/>
  <c r="E1148" i="2"/>
  <c r="B1148" i="2"/>
  <c r="S1147" i="2"/>
  <c r="P1147" i="2"/>
  <c r="M1147" i="2"/>
  <c r="L1147" i="2"/>
  <c r="K1147" i="2"/>
  <c r="G1147" i="2"/>
  <c r="E1147" i="2"/>
  <c r="B1147" i="2"/>
  <c r="S1146" i="2"/>
  <c r="P1146" i="2"/>
  <c r="M1146" i="2"/>
  <c r="L1146" i="2"/>
  <c r="K1146" i="2"/>
  <c r="G1146" i="2"/>
  <c r="E1146" i="2"/>
  <c r="B1146" i="2"/>
  <c r="S1145" i="2"/>
  <c r="P1145" i="2"/>
  <c r="M1145" i="2"/>
  <c r="L1145" i="2"/>
  <c r="K1145" i="2"/>
  <c r="G1145" i="2"/>
  <c r="E1145" i="2"/>
  <c r="B1145" i="2"/>
  <c r="S1144" i="2"/>
  <c r="P1144" i="2"/>
  <c r="M1144" i="2"/>
  <c r="L1144" i="2"/>
  <c r="K1144" i="2"/>
  <c r="G1144" i="2"/>
  <c r="E1144" i="2"/>
  <c r="B1144" i="2"/>
  <c r="S1143" i="2"/>
  <c r="P1143" i="2"/>
  <c r="M1143" i="2"/>
  <c r="L1143" i="2"/>
  <c r="K1143" i="2"/>
  <c r="G1143" i="2"/>
  <c r="E1143" i="2"/>
  <c r="B1143" i="2"/>
  <c r="S1142" i="2"/>
  <c r="P1142" i="2"/>
  <c r="M1142" i="2"/>
  <c r="L1142" i="2"/>
  <c r="K1142" i="2"/>
  <c r="G1142" i="2"/>
  <c r="E1142" i="2"/>
  <c r="B1142" i="2"/>
  <c r="S1141" i="2"/>
  <c r="P1141" i="2"/>
  <c r="M1141" i="2"/>
  <c r="L1141" i="2"/>
  <c r="K1141" i="2"/>
  <c r="G1141" i="2"/>
  <c r="E1141" i="2"/>
  <c r="B1141" i="2"/>
  <c r="S1140" i="2"/>
  <c r="P1140" i="2"/>
  <c r="M1140" i="2"/>
  <c r="L1140" i="2"/>
  <c r="K1140" i="2"/>
  <c r="G1140" i="2"/>
  <c r="E1140" i="2"/>
  <c r="B1140" i="2"/>
  <c r="S1139" i="2"/>
  <c r="P1139" i="2"/>
  <c r="M1139" i="2"/>
  <c r="L1139" i="2"/>
  <c r="K1139" i="2"/>
  <c r="G1139" i="2"/>
  <c r="E1139" i="2"/>
  <c r="B1139" i="2"/>
  <c r="S1138" i="2"/>
  <c r="P1138" i="2"/>
  <c r="M1138" i="2"/>
  <c r="L1138" i="2"/>
  <c r="K1138" i="2"/>
  <c r="G1138" i="2"/>
  <c r="E1138" i="2"/>
  <c r="B1138" i="2"/>
  <c r="S1137" i="2"/>
  <c r="P1137" i="2"/>
  <c r="M1137" i="2"/>
  <c r="L1137" i="2"/>
  <c r="K1137" i="2"/>
  <c r="G1137" i="2"/>
  <c r="E1137" i="2"/>
  <c r="B1137" i="2"/>
  <c r="S1136" i="2"/>
  <c r="P1136" i="2"/>
  <c r="M1136" i="2"/>
  <c r="L1136" i="2"/>
  <c r="K1136" i="2"/>
  <c r="G1136" i="2"/>
  <c r="E1136" i="2"/>
  <c r="B1136" i="2"/>
  <c r="S1135" i="2"/>
  <c r="P1135" i="2"/>
  <c r="M1135" i="2"/>
  <c r="L1135" i="2"/>
  <c r="K1135" i="2"/>
  <c r="G1135" i="2"/>
  <c r="E1135" i="2"/>
  <c r="B1135" i="2"/>
  <c r="S1134" i="2"/>
  <c r="P1134" i="2"/>
  <c r="M1134" i="2"/>
  <c r="L1134" i="2"/>
  <c r="K1134" i="2"/>
  <c r="G1134" i="2"/>
  <c r="E1134" i="2"/>
  <c r="B1134" i="2"/>
  <c r="S1133" i="2"/>
  <c r="P1133" i="2"/>
  <c r="M1133" i="2"/>
  <c r="L1133" i="2"/>
  <c r="K1133" i="2"/>
  <c r="G1133" i="2"/>
  <c r="E1133" i="2"/>
  <c r="B1133" i="2"/>
  <c r="S1132" i="2"/>
  <c r="P1132" i="2"/>
  <c r="M1132" i="2"/>
  <c r="L1132" i="2"/>
  <c r="K1132" i="2"/>
  <c r="G1132" i="2"/>
  <c r="E1132" i="2"/>
  <c r="B1132" i="2"/>
  <c r="S1131" i="2"/>
  <c r="P1131" i="2"/>
  <c r="M1131" i="2"/>
  <c r="L1131" i="2"/>
  <c r="K1131" i="2"/>
  <c r="G1131" i="2"/>
  <c r="E1131" i="2"/>
  <c r="B1131" i="2"/>
  <c r="S1130" i="2"/>
  <c r="P1130" i="2"/>
  <c r="M1130" i="2"/>
  <c r="L1130" i="2"/>
  <c r="K1130" i="2"/>
  <c r="G1130" i="2"/>
  <c r="E1130" i="2"/>
  <c r="B1130" i="2"/>
  <c r="S1129" i="2"/>
  <c r="P1129" i="2"/>
  <c r="M1129" i="2"/>
  <c r="L1129" i="2"/>
  <c r="K1129" i="2"/>
  <c r="G1129" i="2"/>
  <c r="E1129" i="2"/>
  <c r="B1129" i="2"/>
  <c r="S1128" i="2"/>
  <c r="P1128" i="2"/>
  <c r="M1128" i="2"/>
  <c r="L1128" i="2"/>
  <c r="K1128" i="2"/>
  <c r="G1128" i="2"/>
  <c r="E1128" i="2"/>
  <c r="B1128" i="2"/>
  <c r="S1127" i="2"/>
  <c r="P1127" i="2"/>
  <c r="M1127" i="2"/>
  <c r="L1127" i="2"/>
  <c r="K1127" i="2"/>
  <c r="G1127" i="2"/>
  <c r="E1127" i="2"/>
  <c r="B1127" i="2"/>
  <c r="S1126" i="2"/>
  <c r="P1126" i="2"/>
  <c r="M1126" i="2"/>
  <c r="L1126" i="2"/>
  <c r="K1126" i="2"/>
  <c r="G1126" i="2"/>
  <c r="E1126" i="2"/>
  <c r="B1126" i="2"/>
  <c r="S1125" i="2"/>
  <c r="P1125" i="2"/>
  <c r="M1125" i="2"/>
  <c r="L1125" i="2"/>
  <c r="K1125" i="2"/>
  <c r="G1125" i="2"/>
  <c r="E1125" i="2"/>
  <c r="B1125" i="2"/>
  <c r="S1124" i="2"/>
  <c r="P1124" i="2"/>
  <c r="M1124" i="2"/>
  <c r="L1124" i="2"/>
  <c r="K1124" i="2"/>
  <c r="G1124" i="2"/>
  <c r="E1124" i="2"/>
  <c r="B1124" i="2"/>
  <c r="S1123" i="2"/>
  <c r="P1123" i="2"/>
  <c r="M1123" i="2"/>
  <c r="L1123" i="2"/>
  <c r="K1123" i="2"/>
  <c r="G1123" i="2"/>
  <c r="E1123" i="2"/>
  <c r="B1123" i="2"/>
  <c r="S1122" i="2"/>
  <c r="P1122" i="2"/>
  <c r="M1122" i="2"/>
  <c r="L1122" i="2"/>
  <c r="K1122" i="2"/>
  <c r="G1122" i="2"/>
  <c r="E1122" i="2"/>
  <c r="B1122" i="2"/>
  <c r="S1121" i="2"/>
  <c r="P1121" i="2"/>
  <c r="M1121" i="2"/>
  <c r="L1121" i="2"/>
  <c r="K1121" i="2"/>
  <c r="G1121" i="2"/>
  <c r="E1121" i="2"/>
  <c r="B1121" i="2"/>
  <c r="S1120" i="2"/>
  <c r="P1120" i="2"/>
  <c r="M1120" i="2"/>
  <c r="L1120" i="2"/>
  <c r="K1120" i="2"/>
  <c r="G1120" i="2"/>
  <c r="E1120" i="2"/>
  <c r="B1120" i="2"/>
  <c r="S1119" i="2"/>
  <c r="P1119" i="2"/>
  <c r="M1119" i="2"/>
  <c r="L1119" i="2"/>
  <c r="K1119" i="2"/>
  <c r="G1119" i="2"/>
  <c r="E1119" i="2"/>
  <c r="B1119" i="2"/>
  <c r="S1118" i="2"/>
  <c r="P1118" i="2"/>
  <c r="M1118" i="2"/>
  <c r="L1118" i="2"/>
  <c r="K1118" i="2"/>
  <c r="G1118" i="2"/>
  <c r="E1118" i="2"/>
  <c r="B1118" i="2"/>
  <c r="S1117" i="2"/>
  <c r="P1117" i="2"/>
  <c r="M1117" i="2"/>
  <c r="L1117" i="2"/>
  <c r="K1117" i="2"/>
  <c r="G1117" i="2"/>
  <c r="E1117" i="2"/>
  <c r="B1117" i="2"/>
  <c r="S1116" i="2"/>
  <c r="P1116" i="2"/>
  <c r="M1116" i="2"/>
  <c r="L1116" i="2"/>
  <c r="K1116" i="2"/>
  <c r="G1116" i="2"/>
  <c r="E1116" i="2"/>
  <c r="B1116" i="2"/>
  <c r="S1115" i="2"/>
  <c r="P1115" i="2"/>
  <c r="M1115" i="2"/>
  <c r="L1115" i="2"/>
  <c r="K1115" i="2"/>
  <c r="G1115" i="2"/>
  <c r="E1115" i="2"/>
  <c r="B1115" i="2"/>
  <c r="S1114" i="2"/>
  <c r="P1114" i="2"/>
  <c r="M1114" i="2"/>
  <c r="L1114" i="2"/>
  <c r="K1114" i="2"/>
  <c r="G1114" i="2"/>
  <c r="E1114" i="2"/>
  <c r="B1114" i="2"/>
  <c r="S1113" i="2"/>
  <c r="P1113" i="2"/>
  <c r="M1113" i="2"/>
  <c r="L1113" i="2"/>
  <c r="K1113" i="2"/>
  <c r="G1113" i="2"/>
  <c r="E1113" i="2"/>
  <c r="B1113" i="2"/>
  <c r="S1112" i="2"/>
  <c r="P1112" i="2"/>
  <c r="M1112" i="2"/>
  <c r="L1112" i="2"/>
  <c r="K1112" i="2"/>
  <c r="G1112" i="2"/>
  <c r="E1112" i="2"/>
  <c r="B1112" i="2"/>
  <c r="S1111" i="2"/>
  <c r="P1111" i="2"/>
  <c r="M1111" i="2"/>
  <c r="L1111" i="2"/>
  <c r="K1111" i="2"/>
  <c r="G1111" i="2"/>
  <c r="E1111" i="2"/>
  <c r="B1111" i="2"/>
  <c r="S1110" i="2"/>
  <c r="P1110" i="2"/>
  <c r="M1110" i="2"/>
  <c r="L1110" i="2"/>
  <c r="K1110" i="2"/>
  <c r="G1110" i="2"/>
  <c r="E1110" i="2"/>
  <c r="B1110" i="2"/>
  <c r="S1109" i="2"/>
  <c r="P1109" i="2"/>
  <c r="M1109" i="2"/>
  <c r="L1109" i="2"/>
  <c r="K1109" i="2"/>
  <c r="G1109" i="2"/>
  <c r="E1109" i="2"/>
  <c r="B1109" i="2"/>
  <c r="S1108" i="2"/>
  <c r="P1108" i="2"/>
  <c r="M1108" i="2"/>
  <c r="L1108" i="2"/>
  <c r="K1108" i="2"/>
  <c r="G1108" i="2"/>
  <c r="E1108" i="2"/>
  <c r="B1108" i="2"/>
  <c r="S1107" i="2"/>
  <c r="P1107" i="2"/>
  <c r="M1107" i="2"/>
  <c r="L1107" i="2"/>
  <c r="K1107" i="2"/>
  <c r="G1107" i="2"/>
  <c r="E1107" i="2"/>
  <c r="B1107" i="2"/>
  <c r="S1106" i="2"/>
  <c r="P1106" i="2"/>
  <c r="M1106" i="2"/>
  <c r="L1106" i="2"/>
  <c r="K1106" i="2"/>
  <c r="G1106" i="2"/>
  <c r="E1106" i="2"/>
  <c r="B1106" i="2"/>
  <c r="S1105" i="2"/>
  <c r="P1105" i="2"/>
  <c r="M1105" i="2"/>
  <c r="L1105" i="2"/>
  <c r="K1105" i="2"/>
  <c r="G1105" i="2"/>
  <c r="E1105" i="2"/>
  <c r="B1105" i="2"/>
  <c r="S1104" i="2"/>
  <c r="P1104" i="2"/>
  <c r="M1104" i="2"/>
  <c r="L1104" i="2"/>
  <c r="K1104" i="2"/>
  <c r="G1104" i="2"/>
  <c r="E1104" i="2"/>
  <c r="B1104" i="2"/>
  <c r="S1103" i="2"/>
  <c r="P1103" i="2"/>
  <c r="M1103" i="2"/>
  <c r="L1103" i="2"/>
  <c r="K1103" i="2"/>
  <c r="G1103" i="2"/>
  <c r="E1103" i="2"/>
  <c r="B1103" i="2"/>
  <c r="S1102" i="2"/>
  <c r="P1102" i="2"/>
  <c r="M1102" i="2"/>
  <c r="L1102" i="2"/>
  <c r="K1102" i="2"/>
  <c r="G1102" i="2"/>
  <c r="E1102" i="2"/>
  <c r="B1102" i="2"/>
  <c r="S1101" i="2"/>
  <c r="P1101" i="2"/>
  <c r="M1101" i="2"/>
  <c r="L1101" i="2"/>
  <c r="K1101" i="2"/>
  <c r="G1101" i="2"/>
  <c r="E1101" i="2"/>
  <c r="B1101" i="2"/>
  <c r="S1100" i="2"/>
  <c r="P1100" i="2"/>
  <c r="M1100" i="2"/>
  <c r="L1100" i="2"/>
  <c r="K1100" i="2"/>
  <c r="G1100" i="2"/>
  <c r="E1100" i="2"/>
  <c r="B1100" i="2"/>
  <c r="S1099" i="2"/>
  <c r="P1099" i="2"/>
  <c r="M1099" i="2"/>
  <c r="L1099" i="2"/>
  <c r="K1099" i="2"/>
  <c r="G1099" i="2"/>
  <c r="E1099" i="2"/>
  <c r="B1099" i="2"/>
  <c r="S1098" i="2"/>
  <c r="P1098" i="2"/>
  <c r="M1098" i="2"/>
  <c r="L1098" i="2"/>
  <c r="K1098" i="2"/>
  <c r="G1098" i="2"/>
  <c r="E1098" i="2"/>
  <c r="B1098" i="2"/>
  <c r="S1097" i="2"/>
  <c r="P1097" i="2"/>
  <c r="M1097" i="2"/>
  <c r="L1097" i="2"/>
  <c r="K1097" i="2"/>
  <c r="G1097" i="2"/>
  <c r="E1097" i="2"/>
  <c r="B1097" i="2"/>
  <c r="S1096" i="2"/>
  <c r="P1096" i="2"/>
  <c r="M1096" i="2"/>
  <c r="L1096" i="2"/>
  <c r="K1096" i="2"/>
  <c r="G1096" i="2"/>
  <c r="E1096" i="2"/>
  <c r="B1096" i="2"/>
  <c r="S1095" i="2"/>
  <c r="P1095" i="2"/>
  <c r="M1095" i="2"/>
  <c r="L1095" i="2"/>
  <c r="K1095" i="2"/>
  <c r="G1095" i="2"/>
  <c r="E1095" i="2"/>
  <c r="B1095" i="2"/>
  <c r="S1094" i="2"/>
  <c r="P1094" i="2"/>
  <c r="M1094" i="2"/>
  <c r="L1094" i="2"/>
  <c r="K1094" i="2"/>
  <c r="G1094" i="2"/>
  <c r="E1094" i="2"/>
  <c r="B1094" i="2"/>
  <c r="S1093" i="2"/>
  <c r="P1093" i="2"/>
  <c r="M1093" i="2"/>
  <c r="L1093" i="2"/>
  <c r="K1093" i="2"/>
  <c r="H1093" i="2"/>
  <c r="G1093" i="2"/>
  <c r="E1093" i="2"/>
  <c r="B1093" i="2"/>
  <c r="S1092" i="2"/>
  <c r="P1092" i="2"/>
  <c r="M1092" i="2"/>
  <c r="L1092" i="2"/>
  <c r="K1092" i="2"/>
  <c r="G1092" i="2"/>
  <c r="E1092" i="2"/>
  <c r="B1092" i="2"/>
  <c r="S1091" i="2"/>
  <c r="P1091" i="2"/>
  <c r="M1091" i="2"/>
  <c r="L1091" i="2"/>
  <c r="K1091" i="2"/>
  <c r="G1091" i="2"/>
  <c r="E1091" i="2"/>
  <c r="B1091" i="2"/>
  <c r="S1090" i="2"/>
  <c r="P1090" i="2"/>
  <c r="M1090" i="2"/>
  <c r="L1090" i="2"/>
  <c r="K1090" i="2"/>
  <c r="G1090" i="2"/>
  <c r="E1090" i="2"/>
  <c r="B1090" i="2"/>
  <c r="S1089" i="2"/>
  <c r="P1089" i="2"/>
  <c r="M1089" i="2"/>
  <c r="L1089" i="2"/>
  <c r="K1089" i="2"/>
  <c r="G1089" i="2"/>
  <c r="E1089" i="2"/>
  <c r="B1089" i="2"/>
  <c r="S1088" i="2"/>
  <c r="P1088" i="2"/>
  <c r="M1088" i="2"/>
  <c r="L1088" i="2"/>
  <c r="K1088" i="2"/>
  <c r="G1088" i="2"/>
  <c r="E1088" i="2"/>
  <c r="B1088" i="2"/>
  <c r="S1087" i="2"/>
  <c r="P1087" i="2"/>
  <c r="M1087" i="2"/>
  <c r="L1087" i="2"/>
  <c r="K1087" i="2"/>
  <c r="G1087" i="2"/>
  <c r="E1087" i="2"/>
  <c r="B1087" i="2"/>
  <c r="S1086" i="2"/>
  <c r="P1086" i="2"/>
  <c r="M1086" i="2"/>
  <c r="L1086" i="2"/>
  <c r="K1086" i="2"/>
  <c r="G1086" i="2"/>
  <c r="E1086" i="2"/>
  <c r="B1086" i="2"/>
  <c r="S1085" i="2"/>
  <c r="P1085" i="2"/>
  <c r="M1085" i="2"/>
  <c r="L1085" i="2"/>
  <c r="K1085" i="2"/>
  <c r="G1085" i="2"/>
  <c r="E1085" i="2"/>
  <c r="B1085" i="2"/>
  <c r="S1084" i="2"/>
  <c r="P1084" i="2"/>
  <c r="M1084" i="2"/>
  <c r="L1084" i="2"/>
  <c r="K1084" i="2"/>
  <c r="G1084" i="2"/>
  <c r="E1084" i="2"/>
  <c r="B1084" i="2"/>
  <c r="S1083" i="2"/>
  <c r="P1083" i="2"/>
  <c r="M1083" i="2"/>
  <c r="L1083" i="2"/>
  <c r="K1083" i="2"/>
  <c r="G1083" i="2"/>
  <c r="E1083" i="2"/>
  <c r="B1083" i="2"/>
  <c r="S1082" i="2"/>
  <c r="P1082" i="2"/>
  <c r="M1082" i="2"/>
  <c r="L1082" i="2"/>
  <c r="K1082" i="2"/>
  <c r="G1082" i="2"/>
  <c r="E1082" i="2"/>
  <c r="B1082" i="2"/>
  <c r="S1081" i="2"/>
  <c r="P1081" i="2"/>
  <c r="M1081" i="2"/>
  <c r="L1081" i="2"/>
  <c r="K1081" i="2"/>
  <c r="G1081" i="2"/>
  <c r="E1081" i="2"/>
  <c r="B1081" i="2"/>
  <c r="S1080" i="2"/>
  <c r="P1080" i="2"/>
  <c r="M1080" i="2"/>
  <c r="L1080" i="2"/>
  <c r="K1080" i="2"/>
  <c r="G1080" i="2"/>
  <c r="E1080" i="2"/>
  <c r="B1080" i="2"/>
  <c r="S1079" i="2"/>
  <c r="P1079" i="2"/>
  <c r="M1079" i="2"/>
  <c r="L1079" i="2"/>
  <c r="K1079" i="2"/>
  <c r="G1079" i="2"/>
  <c r="E1079" i="2"/>
  <c r="B1079" i="2"/>
  <c r="S1078" i="2"/>
  <c r="P1078" i="2"/>
  <c r="M1078" i="2"/>
  <c r="L1078" i="2"/>
  <c r="K1078" i="2"/>
  <c r="G1078" i="2"/>
  <c r="E1078" i="2"/>
  <c r="B1078" i="2"/>
  <c r="S1077" i="2"/>
  <c r="P1077" i="2"/>
  <c r="M1077" i="2"/>
  <c r="L1077" i="2"/>
  <c r="K1077" i="2"/>
  <c r="H1077" i="2"/>
  <c r="G1077" i="2"/>
  <c r="E1077" i="2"/>
  <c r="B1077" i="2"/>
  <c r="S1076" i="2"/>
  <c r="P1076" i="2"/>
  <c r="M1076" i="2"/>
  <c r="L1076" i="2"/>
  <c r="K1076" i="2"/>
  <c r="H1076" i="2"/>
  <c r="G1076" i="2"/>
  <c r="E1076" i="2"/>
  <c r="B1076" i="2"/>
  <c r="S1075" i="2"/>
  <c r="P1075" i="2"/>
  <c r="M1075" i="2"/>
  <c r="L1075" i="2"/>
  <c r="K1075" i="2"/>
  <c r="H1075" i="2"/>
  <c r="G1075" i="2"/>
  <c r="E1075" i="2"/>
  <c r="B1075" i="2"/>
  <c r="S1074" i="2"/>
  <c r="P1074" i="2"/>
  <c r="M1074" i="2"/>
  <c r="L1074" i="2"/>
  <c r="K1074" i="2"/>
  <c r="H1074" i="2"/>
  <c r="G1074" i="2"/>
  <c r="E1074" i="2"/>
  <c r="B1074" i="2"/>
  <c r="S1073" i="2"/>
  <c r="P1073" i="2"/>
  <c r="M1073" i="2"/>
  <c r="L1073" i="2"/>
  <c r="K1073" i="2"/>
  <c r="H1073" i="2"/>
  <c r="G1073" i="2"/>
  <c r="E1073" i="2"/>
  <c r="B1073" i="2"/>
  <c r="S1072" i="2"/>
  <c r="P1072" i="2"/>
  <c r="M1072" i="2"/>
  <c r="L1072" i="2"/>
  <c r="K1072" i="2"/>
  <c r="H1072" i="2"/>
  <c r="G1072" i="2"/>
  <c r="E1072" i="2"/>
  <c r="B1072" i="2"/>
  <c r="S1071" i="2"/>
  <c r="P1071" i="2"/>
  <c r="M1071" i="2"/>
  <c r="L1071" i="2"/>
  <c r="K1071" i="2"/>
  <c r="H1071" i="2"/>
  <c r="G1071" i="2"/>
  <c r="E1071" i="2"/>
  <c r="B1071" i="2"/>
  <c r="S1070" i="2"/>
  <c r="P1070" i="2"/>
  <c r="M1070" i="2"/>
  <c r="L1070" i="2"/>
  <c r="K1070" i="2"/>
  <c r="H1070" i="2"/>
  <c r="G1070" i="2"/>
  <c r="E1070" i="2"/>
  <c r="B1070" i="2"/>
  <c r="S1069" i="2"/>
  <c r="P1069" i="2"/>
  <c r="M1069" i="2"/>
  <c r="L1069" i="2"/>
  <c r="K1069" i="2"/>
  <c r="H1069" i="2"/>
  <c r="G1069" i="2"/>
  <c r="E1069" i="2"/>
  <c r="B1069" i="2"/>
  <c r="S1068" i="2"/>
  <c r="P1068" i="2"/>
  <c r="M1068" i="2"/>
  <c r="L1068" i="2"/>
  <c r="K1068" i="2"/>
  <c r="H1068" i="2"/>
  <c r="G1068" i="2"/>
  <c r="E1068" i="2"/>
  <c r="B1068" i="2"/>
  <c r="S1067" i="2"/>
  <c r="P1067" i="2"/>
  <c r="M1067" i="2"/>
  <c r="L1067" i="2"/>
  <c r="K1067" i="2"/>
  <c r="H1067" i="2"/>
  <c r="G1067" i="2"/>
  <c r="E1067" i="2"/>
  <c r="B1067" i="2"/>
  <c r="S1066" i="2"/>
  <c r="P1066" i="2"/>
  <c r="M1066" i="2"/>
  <c r="L1066" i="2"/>
  <c r="K1066" i="2"/>
  <c r="H1066" i="2"/>
  <c r="G1066" i="2"/>
  <c r="E1066" i="2"/>
  <c r="B1066" i="2"/>
  <c r="S1065" i="2"/>
  <c r="P1065" i="2"/>
  <c r="M1065" i="2"/>
  <c r="L1065" i="2"/>
  <c r="K1065" i="2"/>
  <c r="H1065" i="2"/>
  <c r="G1065" i="2"/>
  <c r="E1065" i="2"/>
  <c r="B1065" i="2"/>
  <c r="S1064" i="2"/>
  <c r="P1064" i="2"/>
  <c r="M1064" i="2"/>
  <c r="L1064" i="2"/>
  <c r="K1064" i="2"/>
  <c r="H1064" i="2"/>
  <c r="G1064" i="2"/>
  <c r="E1064" i="2"/>
  <c r="B1064" i="2"/>
  <c r="S1063" i="2"/>
  <c r="P1063" i="2"/>
  <c r="M1063" i="2"/>
  <c r="L1063" i="2"/>
  <c r="K1063" i="2"/>
  <c r="H1063" i="2"/>
  <c r="G1063" i="2"/>
  <c r="E1063" i="2"/>
  <c r="B1063" i="2"/>
  <c r="S1062" i="2"/>
  <c r="P1062" i="2"/>
  <c r="M1062" i="2"/>
  <c r="L1062" i="2"/>
  <c r="K1062" i="2"/>
  <c r="H1062" i="2"/>
  <c r="G1062" i="2"/>
  <c r="E1062" i="2"/>
  <c r="B1062" i="2"/>
  <c r="S1061" i="2"/>
  <c r="P1061" i="2"/>
  <c r="M1061" i="2"/>
  <c r="L1061" i="2"/>
  <c r="K1061" i="2"/>
  <c r="H1061" i="2"/>
  <c r="G1061" i="2"/>
  <c r="E1061" i="2"/>
  <c r="B1061" i="2"/>
  <c r="S1060" i="2"/>
  <c r="P1060" i="2"/>
  <c r="M1060" i="2"/>
  <c r="L1060" i="2"/>
  <c r="K1060" i="2"/>
  <c r="H1060" i="2"/>
  <c r="G1060" i="2"/>
  <c r="E1060" i="2"/>
  <c r="B1060" i="2"/>
  <c r="S1059" i="2"/>
  <c r="P1059" i="2"/>
  <c r="M1059" i="2"/>
  <c r="L1059" i="2"/>
  <c r="K1059" i="2"/>
  <c r="H1059" i="2"/>
  <c r="G1059" i="2"/>
  <c r="E1059" i="2"/>
  <c r="B1059" i="2"/>
  <c r="S1058" i="2"/>
  <c r="P1058" i="2"/>
  <c r="M1058" i="2"/>
  <c r="L1058" i="2"/>
  <c r="K1058" i="2"/>
  <c r="H1058" i="2"/>
  <c r="G1058" i="2"/>
  <c r="E1058" i="2"/>
  <c r="B1058" i="2"/>
  <c r="S1057" i="2"/>
  <c r="P1057" i="2"/>
  <c r="M1057" i="2"/>
  <c r="L1057" i="2"/>
  <c r="K1057" i="2"/>
  <c r="H1057" i="2"/>
  <c r="G1057" i="2"/>
  <c r="E1057" i="2"/>
  <c r="B1057" i="2"/>
  <c r="S1056" i="2"/>
  <c r="P1056" i="2"/>
  <c r="M1056" i="2"/>
  <c r="L1056" i="2"/>
  <c r="K1056" i="2"/>
  <c r="H1056" i="2"/>
  <c r="G1056" i="2"/>
  <c r="E1056" i="2"/>
  <c r="B1056" i="2"/>
  <c r="S1055" i="2"/>
  <c r="P1055" i="2"/>
  <c r="M1055" i="2"/>
  <c r="L1055" i="2"/>
  <c r="K1055" i="2"/>
  <c r="H1055" i="2"/>
  <c r="G1055" i="2"/>
  <c r="E1055" i="2"/>
  <c r="B1055" i="2"/>
  <c r="S1054" i="2"/>
  <c r="P1054" i="2"/>
  <c r="M1054" i="2"/>
  <c r="L1054" i="2"/>
  <c r="K1054" i="2"/>
  <c r="H1054" i="2"/>
  <c r="G1054" i="2"/>
  <c r="E1054" i="2"/>
  <c r="B1054" i="2"/>
  <c r="S1053" i="2"/>
  <c r="P1053" i="2"/>
  <c r="M1053" i="2"/>
  <c r="L1053" i="2"/>
  <c r="K1053" i="2"/>
  <c r="H1053" i="2"/>
  <c r="G1053" i="2"/>
  <c r="E1053" i="2"/>
  <c r="B1053" i="2"/>
  <c r="S1052" i="2"/>
  <c r="P1052" i="2"/>
  <c r="M1052" i="2"/>
  <c r="L1052" i="2"/>
  <c r="K1052" i="2"/>
  <c r="H1052" i="2"/>
  <c r="G1052" i="2"/>
  <c r="E1052" i="2"/>
  <c r="B1052" i="2"/>
  <c r="S1051" i="2"/>
  <c r="P1051" i="2"/>
  <c r="M1051" i="2"/>
  <c r="L1051" i="2"/>
  <c r="K1051" i="2"/>
  <c r="H1051" i="2"/>
  <c r="G1051" i="2"/>
  <c r="E1051" i="2"/>
  <c r="B1051" i="2"/>
  <c r="S1050" i="2"/>
  <c r="P1050" i="2"/>
  <c r="M1050" i="2"/>
  <c r="L1050" i="2"/>
  <c r="K1050" i="2"/>
  <c r="H1050" i="2"/>
  <c r="G1050" i="2"/>
  <c r="E1050" i="2"/>
  <c r="B1050" i="2"/>
  <c r="S1049" i="2"/>
  <c r="P1049" i="2"/>
  <c r="M1049" i="2"/>
  <c r="L1049" i="2"/>
  <c r="K1049" i="2"/>
  <c r="H1049" i="2"/>
  <c r="G1049" i="2"/>
  <c r="E1049" i="2"/>
  <c r="B1049" i="2"/>
  <c r="S1048" i="2"/>
  <c r="P1048" i="2"/>
  <c r="M1048" i="2"/>
  <c r="L1048" i="2"/>
  <c r="K1048" i="2"/>
  <c r="H1048" i="2"/>
  <c r="G1048" i="2"/>
  <c r="E1048" i="2"/>
  <c r="B1048" i="2"/>
  <c r="S1047" i="2"/>
  <c r="P1047" i="2"/>
  <c r="M1047" i="2"/>
  <c r="L1047" i="2"/>
  <c r="K1047" i="2"/>
  <c r="H1047" i="2"/>
  <c r="G1047" i="2"/>
  <c r="E1047" i="2"/>
  <c r="B1047" i="2"/>
  <c r="S1046" i="2"/>
  <c r="P1046" i="2"/>
  <c r="M1046" i="2"/>
  <c r="L1046" i="2"/>
  <c r="K1046" i="2"/>
  <c r="H1046" i="2"/>
  <c r="G1046" i="2"/>
  <c r="E1046" i="2"/>
  <c r="B1046" i="2"/>
  <c r="S1045" i="2"/>
  <c r="P1045" i="2"/>
  <c r="M1045" i="2"/>
  <c r="L1045" i="2"/>
  <c r="K1045" i="2"/>
  <c r="H1045" i="2"/>
  <c r="G1045" i="2"/>
  <c r="E1045" i="2"/>
  <c r="B1045" i="2"/>
  <c r="S1044" i="2"/>
  <c r="P1044" i="2"/>
  <c r="M1044" i="2"/>
  <c r="L1044" i="2"/>
  <c r="K1044" i="2"/>
  <c r="H1044" i="2"/>
  <c r="G1044" i="2"/>
  <c r="E1044" i="2"/>
  <c r="B1044" i="2"/>
  <c r="S1043" i="2"/>
  <c r="P1043" i="2"/>
  <c r="M1043" i="2"/>
  <c r="L1043" i="2"/>
  <c r="K1043" i="2"/>
  <c r="H1043" i="2"/>
  <c r="G1043" i="2"/>
  <c r="E1043" i="2"/>
  <c r="B1043" i="2"/>
  <c r="S1042" i="2"/>
  <c r="P1042" i="2"/>
  <c r="M1042" i="2"/>
  <c r="L1042" i="2"/>
  <c r="K1042" i="2"/>
  <c r="H1042" i="2"/>
  <c r="G1042" i="2"/>
  <c r="E1042" i="2"/>
  <c r="B1042" i="2"/>
  <c r="S1041" i="2"/>
  <c r="P1041" i="2"/>
  <c r="M1041" i="2"/>
  <c r="L1041" i="2"/>
  <c r="K1041" i="2"/>
  <c r="H1041" i="2"/>
  <c r="G1041" i="2"/>
  <c r="E1041" i="2"/>
  <c r="B1041" i="2"/>
  <c r="S1040" i="2"/>
  <c r="P1040" i="2"/>
  <c r="M1040" i="2"/>
  <c r="L1040" i="2"/>
  <c r="K1040" i="2"/>
  <c r="H1040" i="2"/>
  <c r="G1040" i="2"/>
  <c r="E1040" i="2"/>
  <c r="B1040" i="2"/>
  <c r="S1039" i="2"/>
  <c r="P1039" i="2"/>
  <c r="M1039" i="2"/>
  <c r="L1039" i="2"/>
  <c r="K1039" i="2"/>
  <c r="H1039" i="2"/>
  <c r="G1039" i="2"/>
  <c r="E1039" i="2"/>
  <c r="B1039" i="2"/>
  <c r="S1038" i="2"/>
  <c r="P1038" i="2"/>
  <c r="M1038" i="2"/>
  <c r="L1038" i="2"/>
  <c r="K1038" i="2"/>
  <c r="H1038" i="2"/>
  <c r="G1038" i="2"/>
  <c r="E1038" i="2"/>
  <c r="B1038" i="2"/>
  <c r="S1037" i="2"/>
  <c r="P1037" i="2"/>
  <c r="M1037" i="2"/>
  <c r="L1037" i="2"/>
  <c r="K1037" i="2"/>
  <c r="H1037" i="2"/>
  <c r="G1037" i="2"/>
  <c r="E1037" i="2"/>
  <c r="B1037" i="2"/>
  <c r="S1036" i="2"/>
  <c r="P1036" i="2"/>
  <c r="M1036" i="2"/>
  <c r="L1036" i="2"/>
  <c r="K1036" i="2"/>
  <c r="H1036" i="2"/>
  <c r="G1036" i="2"/>
  <c r="E1036" i="2"/>
  <c r="B1036" i="2"/>
  <c r="S1035" i="2"/>
  <c r="P1035" i="2"/>
  <c r="M1035" i="2"/>
  <c r="L1035" i="2"/>
  <c r="K1035" i="2"/>
  <c r="H1035" i="2"/>
  <c r="G1035" i="2"/>
  <c r="E1035" i="2"/>
  <c r="B1035" i="2"/>
  <c r="S1034" i="2"/>
  <c r="P1034" i="2"/>
  <c r="M1034" i="2"/>
  <c r="L1034" i="2"/>
  <c r="K1034" i="2"/>
  <c r="H1034" i="2"/>
  <c r="G1034" i="2"/>
  <c r="E1034" i="2"/>
  <c r="B1034" i="2"/>
  <c r="S1033" i="2"/>
  <c r="P1033" i="2"/>
  <c r="M1033" i="2"/>
  <c r="L1033" i="2"/>
  <c r="K1033" i="2"/>
  <c r="H1033" i="2"/>
  <c r="G1033" i="2"/>
  <c r="E1033" i="2"/>
  <c r="B1033" i="2"/>
  <c r="S1032" i="2"/>
  <c r="P1032" i="2"/>
  <c r="M1032" i="2"/>
  <c r="L1032" i="2"/>
  <c r="K1032" i="2"/>
  <c r="H1032" i="2"/>
  <c r="G1032" i="2"/>
  <c r="E1032" i="2"/>
  <c r="B1032" i="2"/>
  <c r="S1031" i="2"/>
  <c r="P1031" i="2"/>
  <c r="M1031" i="2"/>
  <c r="L1031" i="2"/>
  <c r="K1031" i="2"/>
  <c r="H1031" i="2"/>
  <c r="G1031" i="2"/>
  <c r="E1031" i="2"/>
  <c r="B1031" i="2"/>
  <c r="S1030" i="2"/>
  <c r="P1030" i="2"/>
  <c r="M1030" i="2"/>
  <c r="L1030" i="2"/>
  <c r="K1030" i="2"/>
  <c r="H1030" i="2"/>
  <c r="G1030" i="2"/>
  <c r="E1030" i="2"/>
  <c r="B1030" i="2"/>
  <c r="S1029" i="2"/>
  <c r="P1029" i="2"/>
  <c r="M1029" i="2"/>
  <c r="L1029" i="2"/>
  <c r="K1029" i="2"/>
  <c r="H1029" i="2"/>
  <c r="G1029" i="2"/>
  <c r="E1029" i="2"/>
  <c r="B1029" i="2"/>
  <c r="S1028" i="2"/>
  <c r="P1028" i="2"/>
  <c r="M1028" i="2"/>
  <c r="L1028" i="2"/>
  <c r="K1028" i="2"/>
  <c r="H1028" i="2"/>
  <c r="G1028" i="2"/>
  <c r="E1028" i="2"/>
  <c r="B1028" i="2"/>
  <c r="S1027" i="2"/>
  <c r="P1027" i="2"/>
  <c r="M1027" i="2"/>
  <c r="L1027" i="2"/>
  <c r="K1027" i="2"/>
  <c r="H1027" i="2"/>
  <c r="G1027" i="2"/>
  <c r="E1027" i="2"/>
  <c r="B1027" i="2"/>
  <c r="S1026" i="2"/>
  <c r="P1026" i="2"/>
  <c r="M1026" i="2"/>
  <c r="L1026" i="2"/>
  <c r="K1026" i="2"/>
  <c r="H1026" i="2"/>
  <c r="G1026" i="2"/>
  <c r="E1026" i="2"/>
  <c r="B1026" i="2"/>
  <c r="S1025" i="2"/>
  <c r="P1025" i="2"/>
  <c r="M1025" i="2"/>
  <c r="L1025" i="2"/>
  <c r="K1025" i="2"/>
  <c r="H1025" i="2"/>
  <c r="G1025" i="2"/>
  <c r="E1025" i="2"/>
  <c r="B1025" i="2"/>
  <c r="S1024" i="2"/>
  <c r="P1024" i="2"/>
  <c r="M1024" i="2"/>
  <c r="L1024" i="2"/>
  <c r="K1024" i="2"/>
  <c r="H1024" i="2"/>
  <c r="G1024" i="2"/>
  <c r="E1024" i="2"/>
  <c r="B1024" i="2"/>
  <c r="S1023" i="2"/>
  <c r="P1023" i="2"/>
  <c r="M1023" i="2"/>
  <c r="L1023" i="2"/>
  <c r="K1023" i="2"/>
  <c r="H1023" i="2"/>
  <c r="G1023" i="2"/>
  <c r="E1023" i="2"/>
  <c r="B1023" i="2"/>
  <c r="S1022" i="2"/>
  <c r="P1022" i="2"/>
  <c r="M1022" i="2"/>
  <c r="L1022" i="2"/>
  <c r="K1022" i="2"/>
  <c r="H1022" i="2"/>
  <c r="G1022" i="2"/>
  <c r="E1022" i="2"/>
  <c r="B1022" i="2"/>
  <c r="S1021" i="2"/>
  <c r="P1021" i="2"/>
  <c r="M1021" i="2"/>
  <c r="L1021" i="2"/>
  <c r="K1021" i="2"/>
  <c r="H1021" i="2"/>
  <c r="G1021" i="2"/>
  <c r="E1021" i="2"/>
  <c r="B1021" i="2"/>
  <c r="S1020" i="2"/>
  <c r="P1020" i="2"/>
  <c r="M1020" i="2"/>
  <c r="L1020" i="2"/>
  <c r="K1020" i="2"/>
  <c r="H1020" i="2"/>
  <c r="G1020" i="2"/>
  <c r="E1020" i="2"/>
  <c r="B1020" i="2"/>
  <c r="S1019" i="2"/>
  <c r="P1019" i="2"/>
  <c r="M1019" i="2"/>
  <c r="L1019" i="2"/>
  <c r="K1019" i="2"/>
  <c r="H1019" i="2"/>
  <c r="G1019" i="2"/>
  <c r="E1019" i="2"/>
  <c r="B1019" i="2"/>
  <c r="S1018" i="2"/>
  <c r="P1018" i="2"/>
  <c r="M1018" i="2"/>
  <c r="L1018" i="2"/>
  <c r="K1018" i="2"/>
  <c r="H1018" i="2"/>
  <c r="G1018" i="2"/>
  <c r="E1018" i="2"/>
  <c r="B1018" i="2"/>
  <c r="S1017" i="2"/>
  <c r="P1017" i="2"/>
  <c r="M1017" i="2"/>
  <c r="L1017" i="2"/>
  <c r="K1017" i="2"/>
  <c r="H1017" i="2"/>
  <c r="G1017" i="2"/>
  <c r="E1017" i="2"/>
  <c r="B1017" i="2"/>
  <c r="S1016" i="2"/>
  <c r="P1016" i="2"/>
  <c r="M1016" i="2"/>
  <c r="L1016" i="2"/>
  <c r="K1016" i="2"/>
  <c r="H1016" i="2"/>
  <c r="G1016" i="2"/>
  <c r="E1016" i="2"/>
  <c r="B1016" i="2"/>
  <c r="S1015" i="2"/>
  <c r="P1015" i="2"/>
  <c r="M1015" i="2"/>
  <c r="L1015" i="2"/>
  <c r="K1015" i="2"/>
  <c r="H1015" i="2"/>
  <c r="G1015" i="2"/>
  <c r="E1015" i="2"/>
  <c r="B1015" i="2"/>
  <c r="S1014" i="2"/>
  <c r="P1014" i="2"/>
  <c r="M1014" i="2"/>
  <c r="L1014" i="2"/>
  <c r="K1014" i="2"/>
  <c r="H1014" i="2"/>
  <c r="G1014" i="2"/>
  <c r="E1014" i="2"/>
  <c r="B1014" i="2"/>
  <c r="S1013" i="2"/>
  <c r="P1013" i="2"/>
  <c r="M1013" i="2"/>
  <c r="L1013" i="2"/>
  <c r="K1013" i="2"/>
  <c r="H1013" i="2"/>
  <c r="G1013" i="2"/>
  <c r="E1013" i="2"/>
  <c r="B1013" i="2"/>
  <c r="S1012" i="2"/>
  <c r="P1012" i="2"/>
  <c r="M1012" i="2"/>
  <c r="L1012" i="2"/>
  <c r="K1012" i="2"/>
  <c r="H1012" i="2"/>
  <c r="G1012" i="2"/>
  <c r="E1012" i="2"/>
  <c r="B1012" i="2"/>
  <c r="S1011" i="2"/>
  <c r="P1011" i="2"/>
  <c r="M1011" i="2"/>
  <c r="L1011" i="2"/>
  <c r="K1011" i="2"/>
  <c r="H1011" i="2"/>
  <c r="G1011" i="2"/>
  <c r="E1011" i="2"/>
  <c r="B1011" i="2"/>
  <c r="S1010" i="2"/>
  <c r="P1010" i="2"/>
  <c r="M1010" i="2"/>
  <c r="L1010" i="2"/>
  <c r="K1010" i="2"/>
  <c r="H1010" i="2"/>
  <c r="G1010" i="2"/>
  <c r="E1010" i="2"/>
  <c r="B1010" i="2"/>
  <c r="S1009" i="2"/>
  <c r="P1009" i="2"/>
  <c r="M1009" i="2"/>
  <c r="L1009" i="2"/>
  <c r="K1009" i="2"/>
  <c r="H1009" i="2"/>
  <c r="G1009" i="2"/>
  <c r="E1009" i="2"/>
  <c r="B1009" i="2"/>
  <c r="S1008" i="2"/>
  <c r="P1008" i="2"/>
  <c r="M1008" i="2"/>
  <c r="L1008" i="2"/>
  <c r="K1008" i="2"/>
  <c r="H1008" i="2"/>
  <c r="G1008" i="2"/>
  <c r="E1008" i="2"/>
  <c r="B1008" i="2"/>
  <c r="S1007" i="2"/>
  <c r="P1007" i="2"/>
  <c r="M1007" i="2"/>
  <c r="L1007" i="2"/>
  <c r="K1007" i="2"/>
  <c r="H1007" i="2"/>
  <c r="G1007" i="2"/>
  <c r="E1007" i="2"/>
  <c r="B1007" i="2"/>
  <c r="S1006" i="2"/>
  <c r="P1006" i="2"/>
  <c r="M1006" i="2"/>
  <c r="L1006" i="2"/>
  <c r="K1006" i="2"/>
  <c r="H1006" i="2"/>
  <c r="G1006" i="2"/>
  <c r="E1006" i="2"/>
  <c r="B1006" i="2"/>
  <c r="S1005" i="2"/>
  <c r="P1005" i="2"/>
  <c r="M1005" i="2"/>
  <c r="L1005" i="2"/>
  <c r="K1005" i="2"/>
  <c r="H1005" i="2"/>
  <c r="G1005" i="2"/>
  <c r="E1005" i="2"/>
  <c r="B1005" i="2"/>
  <c r="S1004" i="2"/>
  <c r="P1004" i="2"/>
  <c r="M1004" i="2"/>
  <c r="L1004" i="2"/>
  <c r="K1004" i="2"/>
  <c r="H1004" i="2"/>
  <c r="G1004" i="2"/>
  <c r="E1004" i="2"/>
  <c r="B1004" i="2"/>
  <c r="S1003" i="2"/>
  <c r="P1003" i="2"/>
  <c r="M1003" i="2"/>
  <c r="L1003" i="2"/>
  <c r="K1003" i="2"/>
  <c r="H1003" i="2"/>
  <c r="G1003" i="2"/>
  <c r="E1003" i="2"/>
  <c r="B1003" i="2"/>
  <c r="S1002" i="2"/>
  <c r="P1002" i="2"/>
  <c r="M1002" i="2"/>
  <c r="L1002" i="2"/>
  <c r="K1002" i="2"/>
  <c r="H1002" i="2"/>
  <c r="G1002" i="2"/>
  <c r="E1002" i="2"/>
  <c r="B1002" i="2"/>
  <c r="S1001" i="2"/>
  <c r="P1001" i="2"/>
  <c r="M1001" i="2"/>
  <c r="L1001" i="2"/>
  <c r="K1001" i="2"/>
  <c r="H1001" i="2"/>
  <c r="G1001" i="2"/>
  <c r="E1001" i="2"/>
  <c r="B1001" i="2"/>
  <c r="S1000" i="2"/>
  <c r="P1000" i="2"/>
  <c r="M1000" i="2"/>
  <c r="L1000" i="2"/>
  <c r="K1000" i="2"/>
  <c r="H1000" i="2"/>
  <c r="G1000" i="2"/>
  <c r="E1000" i="2"/>
  <c r="B1000" i="2"/>
  <c r="S999" i="2"/>
  <c r="P999" i="2"/>
  <c r="M999" i="2"/>
  <c r="L999" i="2"/>
  <c r="K999" i="2"/>
  <c r="H999" i="2"/>
  <c r="G999" i="2"/>
  <c r="E999" i="2"/>
  <c r="B999" i="2"/>
  <c r="S998" i="2"/>
  <c r="P998" i="2"/>
  <c r="M998" i="2"/>
  <c r="L998" i="2"/>
  <c r="K998" i="2"/>
  <c r="H998" i="2"/>
  <c r="G998" i="2"/>
  <c r="E998" i="2"/>
  <c r="B998" i="2"/>
  <c r="S997" i="2"/>
  <c r="P997" i="2"/>
  <c r="M997" i="2"/>
  <c r="L997" i="2"/>
  <c r="K997" i="2"/>
  <c r="H997" i="2"/>
  <c r="G997" i="2"/>
  <c r="E997" i="2"/>
  <c r="B997" i="2"/>
  <c r="S996" i="2"/>
  <c r="P996" i="2"/>
  <c r="M996" i="2"/>
  <c r="L996" i="2"/>
  <c r="K996" i="2"/>
  <c r="H996" i="2"/>
  <c r="G996" i="2"/>
  <c r="E996" i="2"/>
  <c r="B996" i="2"/>
  <c r="S995" i="2"/>
  <c r="P995" i="2"/>
  <c r="M995" i="2"/>
  <c r="L995" i="2"/>
  <c r="K995" i="2"/>
  <c r="H995" i="2"/>
  <c r="G995" i="2"/>
  <c r="E995" i="2"/>
  <c r="B995" i="2"/>
  <c r="S994" i="2"/>
  <c r="P994" i="2"/>
  <c r="M994" i="2"/>
  <c r="L994" i="2"/>
  <c r="K994" i="2"/>
  <c r="H994" i="2"/>
  <c r="G994" i="2"/>
  <c r="E994" i="2"/>
  <c r="B994" i="2"/>
  <c r="S993" i="2"/>
  <c r="P993" i="2"/>
  <c r="M993" i="2"/>
  <c r="L993" i="2"/>
  <c r="K993" i="2"/>
  <c r="H993" i="2"/>
  <c r="G993" i="2"/>
  <c r="E993" i="2"/>
  <c r="B993" i="2"/>
  <c r="S992" i="2"/>
  <c r="P992" i="2"/>
  <c r="M992" i="2"/>
  <c r="L992" i="2"/>
  <c r="K992" i="2"/>
  <c r="H992" i="2"/>
  <c r="G992" i="2"/>
  <c r="E992" i="2"/>
  <c r="B992" i="2"/>
  <c r="S991" i="2"/>
  <c r="P991" i="2"/>
  <c r="M991" i="2"/>
  <c r="L991" i="2"/>
  <c r="K991" i="2"/>
  <c r="H991" i="2"/>
  <c r="G991" i="2"/>
  <c r="E991" i="2"/>
  <c r="B991" i="2"/>
  <c r="S990" i="2"/>
  <c r="P990" i="2"/>
  <c r="M990" i="2"/>
  <c r="L990" i="2"/>
  <c r="K990" i="2"/>
  <c r="H990" i="2"/>
  <c r="G990" i="2"/>
  <c r="E990" i="2"/>
  <c r="B990" i="2"/>
  <c r="S989" i="2"/>
  <c r="P989" i="2"/>
  <c r="M989" i="2"/>
  <c r="L989" i="2"/>
  <c r="K989" i="2"/>
  <c r="H989" i="2"/>
  <c r="G989" i="2"/>
  <c r="E989" i="2"/>
  <c r="B989" i="2"/>
  <c r="S988" i="2"/>
  <c r="P988" i="2"/>
  <c r="M988" i="2"/>
  <c r="L988" i="2"/>
  <c r="K988" i="2"/>
  <c r="H988" i="2"/>
  <c r="G988" i="2"/>
  <c r="E988" i="2"/>
  <c r="B988" i="2"/>
  <c r="S987" i="2"/>
  <c r="P987" i="2"/>
  <c r="M987" i="2"/>
  <c r="L987" i="2"/>
  <c r="K987" i="2"/>
  <c r="H987" i="2"/>
  <c r="G987" i="2"/>
  <c r="E987" i="2"/>
  <c r="B987" i="2"/>
  <c r="S986" i="2"/>
  <c r="P986" i="2"/>
  <c r="M986" i="2"/>
  <c r="L986" i="2"/>
  <c r="K986" i="2"/>
  <c r="H986" i="2"/>
  <c r="G986" i="2"/>
  <c r="E986" i="2"/>
  <c r="B986" i="2"/>
  <c r="S985" i="2"/>
  <c r="P985" i="2"/>
  <c r="M985" i="2"/>
  <c r="L985" i="2"/>
  <c r="K985" i="2"/>
  <c r="H985" i="2"/>
  <c r="G985" i="2"/>
  <c r="E985" i="2"/>
  <c r="B985" i="2"/>
  <c r="S984" i="2"/>
  <c r="P984" i="2"/>
  <c r="M984" i="2"/>
  <c r="L984" i="2"/>
  <c r="K984" i="2"/>
  <c r="H984" i="2"/>
  <c r="G984" i="2"/>
  <c r="E984" i="2"/>
  <c r="B984" i="2"/>
  <c r="S983" i="2"/>
  <c r="P983" i="2"/>
  <c r="M983" i="2"/>
  <c r="L983" i="2"/>
  <c r="K983" i="2"/>
  <c r="H983" i="2"/>
  <c r="G983" i="2"/>
  <c r="E983" i="2"/>
  <c r="B983" i="2"/>
  <c r="S982" i="2"/>
  <c r="P982" i="2"/>
  <c r="M982" i="2"/>
  <c r="L982" i="2"/>
  <c r="K982" i="2"/>
  <c r="H982" i="2"/>
  <c r="G982" i="2"/>
  <c r="E982" i="2"/>
  <c r="B982" i="2"/>
  <c r="S981" i="2"/>
  <c r="P981" i="2"/>
  <c r="M981" i="2"/>
  <c r="L981" i="2"/>
  <c r="K981" i="2"/>
  <c r="H981" i="2"/>
  <c r="G981" i="2"/>
  <c r="E981" i="2"/>
  <c r="B981" i="2"/>
  <c r="S980" i="2"/>
  <c r="P980" i="2"/>
  <c r="M980" i="2"/>
  <c r="L980" i="2"/>
  <c r="K980" i="2"/>
  <c r="H980" i="2"/>
  <c r="G980" i="2"/>
  <c r="E980" i="2"/>
  <c r="B980" i="2"/>
  <c r="S979" i="2"/>
  <c r="P979" i="2"/>
  <c r="M979" i="2"/>
  <c r="L979" i="2"/>
  <c r="K979" i="2"/>
  <c r="H979" i="2"/>
  <c r="G979" i="2"/>
  <c r="E979" i="2"/>
  <c r="B979" i="2"/>
  <c r="S978" i="2"/>
  <c r="P978" i="2"/>
  <c r="M978" i="2"/>
  <c r="L978" i="2"/>
  <c r="K978" i="2"/>
  <c r="H978" i="2"/>
  <c r="G978" i="2"/>
  <c r="E978" i="2"/>
  <c r="B978" i="2"/>
  <c r="S977" i="2"/>
  <c r="P977" i="2"/>
  <c r="M977" i="2"/>
  <c r="L977" i="2"/>
  <c r="K977" i="2"/>
  <c r="H977" i="2"/>
  <c r="G977" i="2"/>
  <c r="E977" i="2"/>
  <c r="B977" i="2"/>
  <c r="S976" i="2"/>
  <c r="P976" i="2"/>
  <c r="M976" i="2"/>
  <c r="L976" i="2"/>
  <c r="K976" i="2"/>
  <c r="H976" i="2"/>
  <c r="G976" i="2"/>
  <c r="E976" i="2"/>
  <c r="B976" i="2"/>
  <c r="S975" i="2"/>
  <c r="P975" i="2"/>
  <c r="M975" i="2"/>
  <c r="L975" i="2"/>
  <c r="K975" i="2"/>
  <c r="H975" i="2"/>
  <c r="G975" i="2"/>
  <c r="E975" i="2"/>
  <c r="B975" i="2"/>
  <c r="S974" i="2"/>
  <c r="P974" i="2"/>
  <c r="M974" i="2"/>
  <c r="L974" i="2"/>
  <c r="K974" i="2"/>
  <c r="H974" i="2"/>
  <c r="G974" i="2"/>
  <c r="E974" i="2"/>
  <c r="B974" i="2"/>
  <c r="S973" i="2"/>
  <c r="P973" i="2"/>
  <c r="M973" i="2"/>
  <c r="L973" i="2"/>
  <c r="K973" i="2"/>
  <c r="H973" i="2"/>
  <c r="G973" i="2"/>
  <c r="E973" i="2"/>
  <c r="B973" i="2"/>
  <c r="S972" i="2"/>
  <c r="P972" i="2"/>
  <c r="M972" i="2"/>
  <c r="L972" i="2"/>
  <c r="K972" i="2"/>
  <c r="H972" i="2"/>
  <c r="G972" i="2"/>
  <c r="E972" i="2"/>
  <c r="B972" i="2"/>
  <c r="S971" i="2"/>
  <c r="P971" i="2"/>
  <c r="M971" i="2"/>
  <c r="L971" i="2"/>
  <c r="K971" i="2"/>
  <c r="H971" i="2"/>
  <c r="G971" i="2"/>
  <c r="E971" i="2"/>
  <c r="B971" i="2"/>
  <c r="S970" i="2"/>
  <c r="P970" i="2"/>
  <c r="M970" i="2"/>
  <c r="L970" i="2"/>
  <c r="K970" i="2"/>
  <c r="H970" i="2"/>
  <c r="G970" i="2"/>
  <c r="E970" i="2"/>
  <c r="B970" i="2"/>
  <c r="S969" i="2"/>
  <c r="P969" i="2"/>
  <c r="M969" i="2"/>
  <c r="L969" i="2"/>
  <c r="K969" i="2"/>
  <c r="H969" i="2"/>
  <c r="G969" i="2"/>
  <c r="E969" i="2"/>
  <c r="B969" i="2"/>
  <c r="S968" i="2"/>
  <c r="P968" i="2"/>
  <c r="M968" i="2"/>
  <c r="L968" i="2"/>
  <c r="K968" i="2"/>
  <c r="H968" i="2"/>
  <c r="G968" i="2"/>
  <c r="E968" i="2"/>
  <c r="B968" i="2"/>
  <c r="S967" i="2"/>
  <c r="P967" i="2"/>
  <c r="M967" i="2"/>
  <c r="L967" i="2"/>
  <c r="K967" i="2"/>
  <c r="H967" i="2"/>
  <c r="G967" i="2"/>
  <c r="E967" i="2"/>
  <c r="B967" i="2"/>
  <c r="S966" i="2"/>
  <c r="P966" i="2"/>
  <c r="M966" i="2"/>
  <c r="L966" i="2"/>
  <c r="K966" i="2"/>
  <c r="H966" i="2"/>
  <c r="G966" i="2"/>
  <c r="E966" i="2"/>
  <c r="B966" i="2"/>
  <c r="S965" i="2"/>
  <c r="P965" i="2"/>
  <c r="M965" i="2"/>
  <c r="L965" i="2"/>
  <c r="K965" i="2"/>
  <c r="H965" i="2"/>
  <c r="G965" i="2"/>
  <c r="E965" i="2"/>
  <c r="B965" i="2"/>
  <c r="S964" i="2"/>
  <c r="P964" i="2"/>
  <c r="M964" i="2"/>
  <c r="L964" i="2"/>
  <c r="K964" i="2"/>
  <c r="H964" i="2"/>
  <c r="G964" i="2"/>
  <c r="E964" i="2"/>
  <c r="B964" i="2"/>
  <c r="S963" i="2"/>
  <c r="P963" i="2"/>
  <c r="M963" i="2"/>
  <c r="L963" i="2"/>
  <c r="K963" i="2"/>
  <c r="H963" i="2"/>
  <c r="G963" i="2"/>
  <c r="E963" i="2"/>
  <c r="B963" i="2"/>
  <c r="S962" i="2"/>
  <c r="P962" i="2"/>
  <c r="M962" i="2"/>
  <c r="L962" i="2"/>
  <c r="K962" i="2"/>
  <c r="H962" i="2"/>
  <c r="G962" i="2"/>
  <c r="E962" i="2"/>
  <c r="B962" i="2"/>
  <c r="S961" i="2"/>
  <c r="P961" i="2"/>
  <c r="M961" i="2"/>
  <c r="L961" i="2"/>
  <c r="K961" i="2"/>
  <c r="H961" i="2"/>
  <c r="G961" i="2"/>
  <c r="E961" i="2"/>
  <c r="B961" i="2"/>
  <c r="S960" i="2"/>
  <c r="P960" i="2"/>
  <c r="M960" i="2"/>
  <c r="L960" i="2"/>
  <c r="K960" i="2"/>
  <c r="H960" i="2"/>
  <c r="G960" i="2"/>
  <c r="E960" i="2"/>
  <c r="B960" i="2"/>
  <c r="S959" i="2"/>
  <c r="P959" i="2"/>
  <c r="M959" i="2"/>
  <c r="L959" i="2"/>
  <c r="K959" i="2"/>
  <c r="H959" i="2"/>
  <c r="G959" i="2"/>
  <c r="E959" i="2"/>
  <c r="B959" i="2"/>
  <c r="S958" i="2"/>
  <c r="P958" i="2"/>
  <c r="M958" i="2"/>
  <c r="L958" i="2"/>
  <c r="K958" i="2"/>
  <c r="H958" i="2"/>
  <c r="G958" i="2"/>
  <c r="E958" i="2"/>
  <c r="B958" i="2"/>
  <c r="S957" i="2"/>
  <c r="P957" i="2"/>
  <c r="M957" i="2"/>
  <c r="L957" i="2"/>
  <c r="K957" i="2"/>
  <c r="H957" i="2"/>
  <c r="G957" i="2"/>
  <c r="E957" i="2"/>
  <c r="B957" i="2"/>
  <c r="S956" i="2"/>
  <c r="P956" i="2"/>
  <c r="M956" i="2"/>
  <c r="L956" i="2"/>
  <c r="K956" i="2"/>
  <c r="H956" i="2"/>
  <c r="G956" i="2"/>
  <c r="E956" i="2"/>
  <c r="B956" i="2"/>
  <c r="S955" i="2"/>
  <c r="P955" i="2"/>
  <c r="M955" i="2"/>
  <c r="L955" i="2"/>
  <c r="K955" i="2"/>
  <c r="H955" i="2"/>
  <c r="G955" i="2"/>
  <c r="E955" i="2"/>
  <c r="B955" i="2"/>
  <c r="S954" i="2"/>
  <c r="P954" i="2"/>
  <c r="M954" i="2"/>
  <c r="L954" i="2"/>
  <c r="K954" i="2"/>
  <c r="H954" i="2"/>
  <c r="G954" i="2"/>
  <c r="E954" i="2"/>
  <c r="B954" i="2"/>
  <c r="S953" i="2"/>
  <c r="P953" i="2"/>
  <c r="M953" i="2"/>
  <c r="L953" i="2"/>
  <c r="K953" i="2"/>
  <c r="H953" i="2"/>
  <c r="G953" i="2"/>
  <c r="E953" i="2"/>
  <c r="B953" i="2"/>
  <c r="S952" i="2"/>
  <c r="P952" i="2"/>
  <c r="M952" i="2"/>
  <c r="L952" i="2"/>
  <c r="K952" i="2"/>
  <c r="H952" i="2"/>
  <c r="G952" i="2"/>
  <c r="E952" i="2"/>
  <c r="B952" i="2"/>
  <c r="S951" i="2"/>
  <c r="P951" i="2"/>
  <c r="M951" i="2"/>
  <c r="L951" i="2"/>
  <c r="K951" i="2"/>
  <c r="H951" i="2"/>
  <c r="G951" i="2"/>
  <c r="E951" i="2"/>
  <c r="B951" i="2"/>
  <c r="S950" i="2"/>
  <c r="P950" i="2"/>
  <c r="M950" i="2"/>
  <c r="L950" i="2"/>
  <c r="K950" i="2"/>
  <c r="H950" i="2"/>
  <c r="G950" i="2"/>
  <c r="E950" i="2"/>
  <c r="B950" i="2"/>
  <c r="S949" i="2"/>
  <c r="P949" i="2"/>
  <c r="M949" i="2"/>
  <c r="L949" i="2"/>
  <c r="K949" i="2"/>
  <c r="H949" i="2"/>
  <c r="G949" i="2"/>
  <c r="E949" i="2"/>
  <c r="B949" i="2"/>
  <c r="S948" i="2"/>
  <c r="P948" i="2"/>
  <c r="M948" i="2"/>
  <c r="L948" i="2"/>
  <c r="K948" i="2"/>
  <c r="H948" i="2"/>
  <c r="G948" i="2"/>
  <c r="E948" i="2"/>
  <c r="B948" i="2"/>
  <c r="S947" i="2"/>
  <c r="P947" i="2"/>
  <c r="M947" i="2"/>
  <c r="L947" i="2"/>
  <c r="K947" i="2"/>
  <c r="H947" i="2"/>
  <c r="G947" i="2"/>
  <c r="E947" i="2"/>
  <c r="B947" i="2"/>
  <c r="S946" i="2"/>
  <c r="P946" i="2"/>
  <c r="M946" i="2"/>
  <c r="L946" i="2"/>
  <c r="K946" i="2"/>
  <c r="H946" i="2"/>
  <c r="G946" i="2"/>
  <c r="E946" i="2"/>
  <c r="B946" i="2"/>
  <c r="S945" i="2"/>
  <c r="P945" i="2"/>
  <c r="M945" i="2"/>
  <c r="L945" i="2"/>
  <c r="K945" i="2"/>
  <c r="H945" i="2"/>
  <c r="G945" i="2"/>
  <c r="E945" i="2"/>
  <c r="B945" i="2"/>
  <c r="S944" i="2"/>
  <c r="P944" i="2"/>
  <c r="M944" i="2"/>
  <c r="L944" i="2"/>
  <c r="K944" i="2"/>
  <c r="H944" i="2"/>
  <c r="G944" i="2"/>
  <c r="E944" i="2"/>
  <c r="B944" i="2"/>
  <c r="S943" i="2"/>
  <c r="P943" i="2"/>
  <c r="M943" i="2"/>
  <c r="L943" i="2"/>
  <c r="K943" i="2"/>
  <c r="H943" i="2"/>
  <c r="G943" i="2"/>
  <c r="E943" i="2"/>
  <c r="B943" i="2"/>
  <c r="S942" i="2"/>
  <c r="P942" i="2"/>
  <c r="M942" i="2"/>
  <c r="L942" i="2"/>
  <c r="K942" i="2"/>
  <c r="H942" i="2"/>
  <c r="G942" i="2"/>
  <c r="E942" i="2"/>
  <c r="B942" i="2"/>
  <c r="S941" i="2"/>
  <c r="P941" i="2"/>
  <c r="M941" i="2"/>
  <c r="L941" i="2"/>
  <c r="K941" i="2"/>
  <c r="H941" i="2"/>
  <c r="G941" i="2"/>
  <c r="E941" i="2"/>
  <c r="B941" i="2"/>
  <c r="S940" i="2"/>
  <c r="P940" i="2"/>
  <c r="M940" i="2"/>
  <c r="L940" i="2"/>
  <c r="K940" i="2"/>
  <c r="H940" i="2"/>
  <c r="G940" i="2"/>
  <c r="E940" i="2"/>
  <c r="B940" i="2"/>
  <c r="S939" i="2"/>
  <c r="P939" i="2"/>
  <c r="M939" i="2"/>
  <c r="L939" i="2"/>
  <c r="K939" i="2"/>
  <c r="H939" i="2"/>
  <c r="G939" i="2"/>
  <c r="E939" i="2"/>
  <c r="B939" i="2"/>
  <c r="S938" i="2"/>
  <c r="P938" i="2"/>
  <c r="M938" i="2"/>
  <c r="L938" i="2"/>
  <c r="K938" i="2"/>
  <c r="H938" i="2"/>
  <c r="G938" i="2"/>
  <c r="E938" i="2"/>
  <c r="B938" i="2"/>
  <c r="S937" i="2"/>
  <c r="P937" i="2"/>
  <c r="M937" i="2"/>
  <c r="L937" i="2"/>
  <c r="K937" i="2"/>
  <c r="H937" i="2"/>
  <c r="G937" i="2"/>
  <c r="E937" i="2"/>
  <c r="B937" i="2"/>
  <c r="S936" i="2"/>
  <c r="P936" i="2"/>
  <c r="M936" i="2"/>
  <c r="L936" i="2"/>
  <c r="K936" i="2"/>
  <c r="H936" i="2"/>
  <c r="G936" i="2"/>
  <c r="E936" i="2"/>
  <c r="B936" i="2"/>
  <c r="S935" i="2"/>
  <c r="P935" i="2"/>
  <c r="M935" i="2"/>
  <c r="L935" i="2"/>
  <c r="K935" i="2"/>
  <c r="H935" i="2"/>
  <c r="G935" i="2"/>
  <c r="E935" i="2"/>
  <c r="B935" i="2"/>
  <c r="S934" i="2"/>
  <c r="P934" i="2"/>
  <c r="M934" i="2"/>
  <c r="L934" i="2"/>
  <c r="K934" i="2"/>
  <c r="H934" i="2"/>
  <c r="G934" i="2"/>
  <c r="E934" i="2"/>
  <c r="B934" i="2"/>
  <c r="S933" i="2"/>
  <c r="P933" i="2"/>
  <c r="M933" i="2"/>
  <c r="L933" i="2"/>
  <c r="K933" i="2"/>
  <c r="H933" i="2"/>
  <c r="G933" i="2"/>
  <c r="E933" i="2"/>
  <c r="B933" i="2"/>
  <c r="S932" i="2"/>
  <c r="P932" i="2"/>
  <c r="M932" i="2"/>
  <c r="L932" i="2"/>
  <c r="K932" i="2"/>
  <c r="H932" i="2"/>
  <c r="G932" i="2"/>
  <c r="E932" i="2"/>
  <c r="B932" i="2"/>
  <c r="S931" i="2"/>
  <c r="P931" i="2"/>
  <c r="M931" i="2"/>
  <c r="L931" i="2"/>
  <c r="K931" i="2"/>
  <c r="H931" i="2"/>
  <c r="G931" i="2"/>
  <c r="E931" i="2"/>
  <c r="B931" i="2"/>
  <c r="S930" i="2"/>
  <c r="P930" i="2"/>
  <c r="M930" i="2"/>
  <c r="L930" i="2"/>
  <c r="K930" i="2"/>
  <c r="G930" i="2"/>
  <c r="E930" i="2"/>
  <c r="B930" i="2"/>
  <c r="S929" i="2"/>
  <c r="P929" i="2"/>
  <c r="M929" i="2"/>
  <c r="L929" i="2"/>
  <c r="K929" i="2"/>
  <c r="G929" i="2"/>
  <c r="E929" i="2"/>
  <c r="B929" i="2"/>
  <c r="S928" i="2"/>
  <c r="P928" i="2"/>
  <c r="M928" i="2"/>
  <c r="L928" i="2"/>
  <c r="K928" i="2"/>
  <c r="G928" i="2"/>
  <c r="E928" i="2"/>
  <c r="B928" i="2"/>
  <c r="S927" i="2"/>
  <c r="P927" i="2"/>
  <c r="M927" i="2"/>
  <c r="L927" i="2"/>
  <c r="K927" i="2"/>
  <c r="G927" i="2"/>
  <c r="E927" i="2"/>
  <c r="B927" i="2"/>
  <c r="S926" i="2"/>
  <c r="P926" i="2"/>
  <c r="M926" i="2"/>
  <c r="L926" i="2"/>
  <c r="K926" i="2"/>
  <c r="G926" i="2"/>
  <c r="E926" i="2"/>
  <c r="B926" i="2"/>
  <c r="S925" i="2"/>
  <c r="P925" i="2"/>
  <c r="M925" i="2"/>
  <c r="L925" i="2"/>
  <c r="K925" i="2"/>
  <c r="G925" i="2"/>
  <c r="E925" i="2"/>
  <c r="B925" i="2"/>
  <c r="S924" i="2"/>
  <c r="P924" i="2"/>
  <c r="M924" i="2"/>
  <c r="L924" i="2"/>
  <c r="K924" i="2"/>
  <c r="G924" i="2"/>
  <c r="E924" i="2"/>
  <c r="B924" i="2"/>
  <c r="S923" i="2"/>
  <c r="P923" i="2"/>
  <c r="M923" i="2"/>
  <c r="L923" i="2"/>
  <c r="K923" i="2"/>
  <c r="G923" i="2"/>
  <c r="E923" i="2"/>
  <c r="B923" i="2"/>
  <c r="S922" i="2"/>
  <c r="P922" i="2"/>
  <c r="M922" i="2"/>
  <c r="L922" i="2"/>
  <c r="K922" i="2"/>
  <c r="G922" i="2"/>
  <c r="E922" i="2"/>
  <c r="B922" i="2"/>
  <c r="S921" i="2"/>
  <c r="P921" i="2"/>
  <c r="M921" i="2"/>
  <c r="L921" i="2"/>
  <c r="K921" i="2"/>
  <c r="G921" i="2"/>
  <c r="E921" i="2"/>
  <c r="B921" i="2"/>
  <c r="S920" i="2"/>
  <c r="P920" i="2"/>
  <c r="M920" i="2"/>
  <c r="L920" i="2"/>
  <c r="K920" i="2"/>
  <c r="G920" i="2"/>
  <c r="E920" i="2"/>
  <c r="B920" i="2"/>
  <c r="S919" i="2"/>
  <c r="P919" i="2"/>
  <c r="M919" i="2"/>
  <c r="L919" i="2"/>
  <c r="K919" i="2"/>
  <c r="G919" i="2"/>
  <c r="E919" i="2"/>
  <c r="B919" i="2"/>
  <c r="S918" i="2"/>
  <c r="P918" i="2"/>
  <c r="M918" i="2"/>
  <c r="L918" i="2"/>
  <c r="K918" i="2"/>
  <c r="G918" i="2"/>
  <c r="E918" i="2"/>
  <c r="B918" i="2"/>
  <c r="S917" i="2"/>
  <c r="P917" i="2"/>
  <c r="M917" i="2"/>
  <c r="L917" i="2"/>
  <c r="K917" i="2"/>
  <c r="G917" i="2"/>
  <c r="E917" i="2"/>
  <c r="B917" i="2"/>
  <c r="S916" i="2"/>
  <c r="P916" i="2"/>
  <c r="M916" i="2"/>
  <c r="L916" i="2"/>
  <c r="K916" i="2"/>
  <c r="G916" i="2"/>
  <c r="E916" i="2"/>
  <c r="B916" i="2"/>
  <c r="S915" i="2"/>
  <c r="P915" i="2"/>
  <c r="M915" i="2"/>
  <c r="L915" i="2"/>
  <c r="K915" i="2"/>
  <c r="G915" i="2"/>
  <c r="E915" i="2"/>
  <c r="B915" i="2"/>
  <c r="S914" i="2"/>
  <c r="P914" i="2"/>
  <c r="M914" i="2"/>
  <c r="L914" i="2"/>
  <c r="K914" i="2"/>
  <c r="G914" i="2"/>
  <c r="E914" i="2"/>
  <c r="B914" i="2"/>
  <c r="S913" i="2"/>
  <c r="P913" i="2"/>
  <c r="M913" i="2"/>
  <c r="L913" i="2"/>
  <c r="K913" i="2"/>
  <c r="G913" i="2"/>
  <c r="E913" i="2"/>
  <c r="B913" i="2"/>
  <c r="S912" i="2"/>
  <c r="P912" i="2"/>
  <c r="M912" i="2"/>
  <c r="L912" i="2"/>
  <c r="K912" i="2"/>
  <c r="G912" i="2"/>
  <c r="E912" i="2"/>
  <c r="B912" i="2"/>
  <c r="S911" i="2"/>
  <c r="P911" i="2"/>
  <c r="M911" i="2"/>
  <c r="L911" i="2"/>
  <c r="K911" i="2"/>
  <c r="G911" i="2"/>
  <c r="E911" i="2"/>
  <c r="B911" i="2"/>
  <c r="S910" i="2"/>
  <c r="P910" i="2"/>
  <c r="M910" i="2"/>
  <c r="L910" i="2"/>
  <c r="K910" i="2"/>
  <c r="G910" i="2"/>
  <c r="E910" i="2"/>
  <c r="B910" i="2"/>
  <c r="S909" i="2"/>
  <c r="P909" i="2"/>
  <c r="M909" i="2"/>
  <c r="L909" i="2"/>
  <c r="K909" i="2"/>
  <c r="G909" i="2"/>
  <c r="E909" i="2"/>
  <c r="B909" i="2"/>
  <c r="S908" i="2"/>
  <c r="P908" i="2"/>
  <c r="M908" i="2"/>
  <c r="L908" i="2"/>
  <c r="K908" i="2"/>
  <c r="H908" i="2"/>
  <c r="G908" i="2"/>
  <c r="E908" i="2"/>
  <c r="B908" i="2"/>
  <c r="S907" i="2"/>
  <c r="P907" i="2"/>
  <c r="M907" i="2"/>
  <c r="L907" i="2"/>
  <c r="K907" i="2"/>
  <c r="G907" i="2"/>
  <c r="E907" i="2"/>
  <c r="B907" i="2"/>
  <c r="S906" i="2"/>
  <c r="P906" i="2"/>
  <c r="M906" i="2"/>
  <c r="L906" i="2"/>
  <c r="K906" i="2"/>
  <c r="G906" i="2"/>
  <c r="E906" i="2"/>
  <c r="B906" i="2"/>
  <c r="S905" i="2"/>
  <c r="P905" i="2"/>
  <c r="M905" i="2"/>
  <c r="L905" i="2"/>
  <c r="K905" i="2"/>
  <c r="G905" i="2"/>
  <c r="E905" i="2"/>
  <c r="B905" i="2"/>
  <c r="S904" i="2"/>
  <c r="P904" i="2"/>
  <c r="M904" i="2"/>
  <c r="L904" i="2"/>
  <c r="K904" i="2"/>
  <c r="G904" i="2"/>
  <c r="E904" i="2"/>
  <c r="B904" i="2"/>
  <c r="S903" i="2"/>
  <c r="P903" i="2"/>
  <c r="M903" i="2"/>
  <c r="L903" i="2"/>
  <c r="K903" i="2"/>
  <c r="G903" i="2"/>
  <c r="E903" i="2"/>
  <c r="B903" i="2"/>
  <c r="S902" i="2"/>
  <c r="P902" i="2"/>
  <c r="M902" i="2"/>
  <c r="L902" i="2"/>
  <c r="K902" i="2"/>
  <c r="G902" i="2"/>
  <c r="E902" i="2"/>
  <c r="B902" i="2"/>
  <c r="S901" i="2"/>
  <c r="P901" i="2"/>
  <c r="M901" i="2"/>
  <c r="L901" i="2"/>
  <c r="K901" i="2"/>
  <c r="G901" i="2"/>
  <c r="E901" i="2"/>
  <c r="B901" i="2"/>
  <c r="S900" i="2"/>
  <c r="P900" i="2"/>
  <c r="M900" i="2"/>
  <c r="L900" i="2"/>
  <c r="K900" i="2"/>
  <c r="G900" i="2"/>
  <c r="E900" i="2"/>
  <c r="B900" i="2"/>
  <c r="S899" i="2"/>
  <c r="P899" i="2"/>
  <c r="M899" i="2"/>
  <c r="L899" i="2"/>
  <c r="K899" i="2"/>
  <c r="G899" i="2"/>
  <c r="E899" i="2"/>
  <c r="B899" i="2"/>
  <c r="S898" i="2"/>
  <c r="P898" i="2"/>
  <c r="M898" i="2"/>
  <c r="L898" i="2"/>
  <c r="K898" i="2"/>
  <c r="G898" i="2"/>
  <c r="E898" i="2"/>
  <c r="B898" i="2"/>
  <c r="S897" i="2"/>
  <c r="P897" i="2"/>
  <c r="M897" i="2"/>
  <c r="L897" i="2"/>
  <c r="K897" i="2"/>
  <c r="G897" i="2"/>
  <c r="E897" i="2"/>
  <c r="B897" i="2"/>
  <c r="S896" i="2"/>
  <c r="P896" i="2"/>
  <c r="M896" i="2"/>
  <c r="L896" i="2"/>
  <c r="K896" i="2"/>
  <c r="G896" i="2"/>
  <c r="E896" i="2"/>
  <c r="B896" i="2"/>
  <c r="S895" i="2"/>
  <c r="P895" i="2"/>
  <c r="M895" i="2"/>
  <c r="L895" i="2"/>
  <c r="K895" i="2"/>
  <c r="G895" i="2"/>
  <c r="E895" i="2"/>
  <c r="B895" i="2"/>
  <c r="S894" i="2"/>
  <c r="P894" i="2"/>
  <c r="M894" i="2"/>
  <c r="L894" i="2"/>
  <c r="K894" i="2"/>
  <c r="G894" i="2"/>
  <c r="E894" i="2"/>
  <c r="B894" i="2"/>
  <c r="S893" i="2"/>
  <c r="P893" i="2"/>
  <c r="M893" i="2"/>
  <c r="L893" i="2"/>
  <c r="K893" i="2"/>
  <c r="G893" i="2"/>
  <c r="E893" i="2"/>
  <c r="B893" i="2"/>
  <c r="S892" i="2"/>
  <c r="P892" i="2"/>
  <c r="M892" i="2"/>
  <c r="L892" i="2"/>
  <c r="K892" i="2"/>
  <c r="G892" i="2"/>
  <c r="E892" i="2"/>
  <c r="B892" i="2"/>
  <c r="S891" i="2"/>
  <c r="P891" i="2"/>
  <c r="M891" i="2"/>
  <c r="L891" i="2"/>
  <c r="K891" i="2"/>
  <c r="G891" i="2"/>
  <c r="E891" i="2"/>
  <c r="B891" i="2"/>
  <c r="S890" i="2"/>
  <c r="P890" i="2"/>
  <c r="M890" i="2"/>
  <c r="L890" i="2"/>
  <c r="K890" i="2"/>
  <c r="G890" i="2"/>
  <c r="E890" i="2"/>
  <c r="B890" i="2"/>
  <c r="S889" i="2"/>
  <c r="P889" i="2"/>
  <c r="M889" i="2"/>
  <c r="L889" i="2"/>
  <c r="K889" i="2"/>
  <c r="G889" i="2"/>
  <c r="E889" i="2"/>
  <c r="B889" i="2"/>
  <c r="S888" i="2"/>
  <c r="P888" i="2"/>
  <c r="M888" i="2"/>
  <c r="L888" i="2"/>
  <c r="K888" i="2"/>
  <c r="G888" i="2"/>
  <c r="E888" i="2"/>
  <c r="B888" i="2"/>
  <c r="S887" i="2"/>
  <c r="P887" i="2"/>
  <c r="M887" i="2"/>
  <c r="L887" i="2"/>
  <c r="K887" i="2"/>
  <c r="G887" i="2"/>
  <c r="E887" i="2"/>
  <c r="B887" i="2"/>
  <c r="S886" i="2"/>
  <c r="P886" i="2"/>
  <c r="M886" i="2"/>
  <c r="L886" i="2"/>
  <c r="K886" i="2"/>
  <c r="H886" i="2"/>
  <c r="G886" i="2"/>
  <c r="E886" i="2"/>
  <c r="B886" i="2"/>
  <c r="S885" i="2"/>
  <c r="P885" i="2"/>
  <c r="M885" i="2"/>
  <c r="L885" i="2"/>
  <c r="K885" i="2"/>
  <c r="G885" i="2"/>
  <c r="E885" i="2"/>
  <c r="B885" i="2"/>
  <c r="S884" i="2"/>
  <c r="P884" i="2"/>
  <c r="M884" i="2"/>
  <c r="L884" i="2"/>
  <c r="K884" i="2"/>
  <c r="H884" i="2"/>
  <c r="G884" i="2"/>
  <c r="E884" i="2"/>
  <c r="B884" i="2"/>
  <c r="S883" i="2"/>
  <c r="P883" i="2"/>
  <c r="M883" i="2"/>
  <c r="L883" i="2"/>
  <c r="K883" i="2"/>
  <c r="G883" i="2"/>
  <c r="E883" i="2"/>
  <c r="B883" i="2"/>
  <c r="S882" i="2"/>
  <c r="P882" i="2"/>
  <c r="M882" i="2"/>
  <c r="L882" i="2"/>
  <c r="K882" i="2"/>
  <c r="G882" i="2"/>
  <c r="E882" i="2"/>
  <c r="B882" i="2"/>
  <c r="S881" i="2"/>
  <c r="P881" i="2"/>
  <c r="M881" i="2"/>
  <c r="L881" i="2"/>
  <c r="K881" i="2"/>
  <c r="G881" i="2"/>
  <c r="E881" i="2"/>
  <c r="B881" i="2"/>
  <c r="S880" i="2"/>
  <c r="P880" i="2"/>
  <c r="M880" i="2"/>
  <c r="L880" i="2"/>
  <c r="K880" i="2"/>
  <c r="G880" i="2"/>
  <c r="E880" i="2"/>
  <c r="B880" i="2"/>
  <c r="S879" i="2"/>
  <c r="P879" i="2"/>
  <c r="M879" i="2"/>
  <c r="L879" i="2"/>
  <c r="K879" i="2"/>
  <c r="G879" i="2"/>
  <c r="E879" i="2"/>
  <c r="B879" i="2"/>
  <c r="S878" i="2"/>
  <c r="P878" i="2"/>
  <c r="M878" i="2"/>
  <c r="L878" i="2"/>
  <c r="K878" i="2"/>
  <c r="G878" i="2"/>
  <c r="E878" i="2"/>
  <c r="B878" i="2"/>
  <c r="S877" i="2"/>
  <c r="P877" i="2"/>
  <c r="M877" i="2"/>
  <c r="L877" i="2"/>
  <c r="K877" i="2"/>
  <c r="G877" i="2"/>
  <c r="E877" i="2"/>
  <c r="B877" i="2"/>
  <c r="S876" i="2"/>
  <c r="P876" i="2"/>
  <c r="M876" i="2"/>
  <c r="L876" i="2"/>
  <c r="K876" i="2"/>
  <c r="G876" i="2"/>
  <c r="E876" i="2"/>
  <c r="B876" i="2"/>
  <c r="S875" i="2"/>
  <c r="P875" i="2"/>
  <c r="M875" i="2"/>
  <c r="L875" i="2"/>
  <c r="K875" i="2"/>
  <c r="G875" i="2"/>
  <c r="E875" i="2"/>
  <c r="B875" i="2"/>
  <c r="S874" i="2"/>
  <c r="P874" i="2"/>
  <c r="M874" i="2"/>
  <c r="L874" i="2"/>
  <c r="K874" i="2"/>
  <c r="G874" i="2"/>
  <c r="E874" i="2"/>
  <c r="B874" i="2"/>
  <c r="S873" i="2"/>
  <c r="P873" i="2"/>
  <c r="M873" i="2"/>
  <c r="L873" i="2"/>
  <c r="K873" i="2"/>
  <c r="G873" i="2"/>
  <c r="E873" i="2"/>
  <c r="B873" i="2"/>
  <c r="S872" i="2"/>
  <c r="P872" i="2"/>
  <c r="M872" i="2"/>
  <c r="L872" i="2"/>
  <c r="K872" i="2"/>
  <c r="G872" i="2"/>
  <c r="E872" i="2"/>
  <c r="B872" i="2"/>
  <c r="S871" i="2"/>
  <c r="P871" i="2"/>
  <c r="M871" i="2"/>
  <c r="L871" i="2"/>
  <c r="K871" i="2"/>
  <c r="G871" i="2"/>
  <c r="E871" i="2"/>
  <c r="B871" i="2"/>
  <c r="S870" i="2"/>
  <c r="P870" i="2"/>
  <c r="M870" i="2"/>
  <c r="L870" i="2"/>
  <c r="K870" i="2"/>
  <c r="G870" i="2"/>
  <c r="E870" i="2"/>
  <c r="B870" i="2"/>
  <c r="S869" i="2"/>
  <c r="P869" i="2"/>
  <c r="M869" i="2"/>
  <c r="L869" i="2"/>
  <c r="K869" i="2"/>
  <c r="G869" i="2"/>
  <c r="E869" i="2"/>
  <c r="B869" i="2"/>
  <c r="S868" i="2"/>
  <c r="P868" i="2"/>
  <c r="M868" i="2"/>
  <c r="L868" i="2"/>
  <c r="K868" i="2"/>
  <c r="G868" i="2"/>
  <c r="E868" i="2"/>
  <c r="B868" i="2"/>
  <c r="S867" i="2"/>
  <c r="P867" i="2"/>
  <c r="M867" i="2"/>
  <c r="L867" i="2"/>
  <c r="K867" i="2"/>
  <c r="G867" i="2"/>
  <c r="E867" i="2"/>
  <c r="B867" i="2"/>
  <c r="S866" i="2"/>
  <c r="P866" i="2"/>
  <c r="M866" i="2"/>
  <c r="L866" i="2"/>
  <c r="K866" i="2"/>
  <c r="G866" i="2"/>
  <c r="E866" i="2"/>
  <c r="B866" i="2"/>
  <c r="S865" i="2"/>
  <c r="P865" i="2"/>
  <c r="M865" i="2"/>
  <c r="L865" i="2"/>
  <c r="K865" i="2"/>
  <c r="G865" i="2"/>
  <c r="E865" i="2"/>
  <c r="B865" i="2"/>
  <c r="S864" i="2"/>
  <c r="P864" i="2"/>
  <c r="M864" i="2"/>
  <c r="L864" i="2"/>
  <c r="K864" i="2"/>
  <c r="G864" i="2"/>
  <c r="E864" i="2"/>
  <c r="B864" i="2"/>
  <c r="S863" i="2"/>
  <c r="P863" i="2"/>
  <c r="M863" i="2"/>
  <c r="L863" i="2"/>
  <c r="K863" i="2"/>
  <c r="G863" i="2"/>
  <c r="E863" i="2"/>
  <c r="B863" i="2"/>
  <c r="S862" i="2"/>
  <c r="P862" i="2"/>
  <c r="M862" i="2"/>
  <c r="L862" i="2"/>
  <c r="K862" i="2"/>
  <c r="G862" i="2"/>
  <c r="E862" i="2"/>
  <c r="B862" i="2"/>
  <c r="S861" i="2"/>
  <c r="P861" i="2"/>
  <c r="M861" i="2"/>
  <c r="L861" i="2"/>
  <c r="K861" i="2"/>
  <c r="H861" i="2"/>
  <c r="G861" i="2"/>
  <c r="E861" i="2"/>
  <c r="B861" i="2"/>
  <c r="S860" i="2"/>
  <c r="P860" i="2"/>
  <c r="M860" i="2"/>
  <c r="L860" i="2"/>
  <c r="K860" i="2"/>
  <c r="H860" i="2"/>
  <c r="G860" i="2"/>
  <c r="E860" i="2"/>
  <c r="B860" i="2"/>
  <c r="S859" i="2"/>
  <c r="P859" i="2"/>
  <c r="M859" i="2"/>
  <c r="L859" i="2"/>
  <c r="K859" i="2"/>
  <c r="G859" i="2"/>
  <c r="E859" i="2"/>
  <c r="B859" i="2"/>
  <c r="S858" i="2"/>
  <c r="P858" i="2"/>
  <c r="M858" i="2"/>
  <c r="L858" i="2"/>
  <c r="K858" i="2"/>
  <c r="G858" i="2"/>
  <c r="E858" i="2"/>
  <c r="B858" i="2"/>
  <c r="S857" i="2"/>
  <c r="P857" i="2"/>
  <c r="M857" i="2"/>
  <c r="L857" i="2"/>
  <c r="K857" i="2"/>
  <c r="H857" i="2"/>
  <c r="G857" i="2"/>
  <c r="E857" i="2"/>
  <c r="B857" i="2"/>
  <c r="S856" i="2"/>
  <c r="P856" i="2"/>
  <c r="M856" i="2"/>
  <c r="L856" i="2"/>
  <c r="K856" i="2"/>
  <c r="G856" i="2"/>
  <c r="E856" i="2"/>
  <c r="B856" i="2"/>
  <c r="S855" i="2"/>
  <c r="P855" i="2"/>
  <c r="M855" i="2"/>
  <c r="L855" i="2"/>
  <c r="K855" i="2"/>
  <c r="G855" i="2"/>
  <c r="E855" i="2"/>
  <c r="B855" i="2"/>
  <c r="S854" i="2"/>
  <c r="P854" i="2"/>
  <c r="M854" i="2"/>
  <c r="L854" i="2"/>
  <c r="K854" i="2"/>
  <c r="G854" i="2"/>
  <c r="E854" i="2"/>
  <c r="B854" i="2"/>
  <c r="S853" i="2"/>
  <c r="P853" i="2"/>
  <c r="M853" i="2"/>
  <c r="L853" i="2"/>
  <c r="K853" i="2"/>
  <c r="G853" i="2"/>
  <c r="E853" i="2"/>
  <c r="B853" i="2"/>
  <c r="S852" i="2"/>
  <c r="P852" i="2"/>
  <c r="M852" i="2"/>
  <c r="L852" i="2"/>
  <c r="K852" i="2"/>
  <c r="G852" i="2"/>
  <c r="E852" i="2"/>
  <c r="B852" i="2"/>
  <c r="S851" i="2"/>
  <c r="P851" i="2"/>
  <c r="M851" i="2"/>
  <c r="L851" i="2"/>
  <c r="K851" i="2"/>
  <c r="G851" i="2"/>
  <c r="E851" i="2"/>
  <c r="B851" i="2"/>
  <c r="S850" i="2"/>
  <c r="P850" i="2"/>
  <c r="M850" i="2"/>
  <c r="L850" i="2"/>
  <c r="K850" i="2"/>
  <c r="G850" i="2"/>
  <c r="E850" i="2"/>
  <c r="B850" i="2"/>
  <c r="S849" i="2"/>
  <c r="P849" i="2"/>
  <c r="M849" i="2"/>
  <c r="L849" i="2"/>
  <c r="K849" i="2"/>
  <c r="G849" i="2"/>
  <c r="E849" i="2"/>
  <c r="B849" i="2"/>
  <c r="S848" i="2"/>
  <c r="P848" i="2"/>
  <c r="M848" i="2"/>
  <c r="L848" i="2"/>
  <c r="K848" i="2"/>
  <c r="G848" i="2"/>
  <c r="E848" i="2"/>
  <c r="B848" i="2"/>
  <c r="S847" i="2"/>
  <c r="P847" i="2"/>
  <c r="M847" i="2"/>
  <c r="L847" i="2"/>
  <c r="K847" i="2"/>
  <c r="G847" i="2"/>
  <c r="E847" i="2"/>
  <c r="B847" i="2"/>
  <c r="S846" i="2"/>
  <c r="P846" i="2"/>
  <c r="M846" i="2"/>
  <c r="L846" i="2"/>
  <c r="K846" i="2"/>
  <c r="G846" i="2"/>
  <c r="E846" i="2"/>
  <c r="B846" i="2"/>
  <c r="S845" i="2"/>
  <c r="P845" i="2"/>
  <c r="M845" i="2"/>
  <c r="L845" i="2"/>
  <c r="K845" i="2"/>
  <c r="G845" i="2"/>
  <c r="E845" i="2"/>
  <c r="B845" i="2"/>
  <c r="S844" i="2"/>
  <c r="P844" i="2"/>
  <c r="M844" i="2"/>
  <c r="L844" i="2"/>
  <c r="K844" i="2"/>
  <c r="G844" i="2"/>
  <c r="E844" i="2"/>
  <c r="B844" i="2"/>
  <c r="S843" i="2"/>
  <c r="P843" i="2"/>
  <c r="M843" i="2"/>
  <c r="L843" i="2"/>
  <c r="K843" i="2"/>
  <c r="G843" i="2"/>
  <c r="E843" i="2"/>
  <c r="B843" i="2"/>
  <c r="S842" i="2"/>
  <c r="P842" i="2"/>
  <c r="M842" i="2"/>
  <c r="L842" i="2"/>
  <c r="K842" i="2"/>
  <c r="G842" i="2"/>
  <c r="E842" i="2"/>
  <c r="B842" i="2"/>
  <c r="S841" i="2"/>
  <c r="P841" i="2"/>
  <c r="M841" i="2"/>
  <c r="L841" i="2"/>
  <c r="K841" i="2"/>
  <c r="G841" i="2"/>
  <c r="E841" i="2"/>
  <c r="B841" i="2"/>
  <c r="S840" i="2"/>
  <c r="P840" i="2"/>
  <c r="M840" i="2"/>
  <c r="L840" i="2"/>
  <c r="K840" i="2"/>
  <c r="G840" i="2"/>
  <c r="E840" i="2"/>
  <c r="B840" i="2"/>
  <c r="S839" i="2"/>
  <c r="P839" i="2"/>
  <c r="M839" i="2"/>
  <c r="L839" i="2"/>
  <c r="K839" i="2"/>
  <c r="G839" i="2"/>
  <c r="E839" i="2"/>
  <c r="B839" i="2"/>
  <c r="S838" i="2"/>
  <c r="P838" i="2"/>
  <c r="M838" i="2"/>
  <c r="L838" i="2"/>
  <c r="K838" i="2"/>
  <c r="G838" i="2"/>
  <c r="E838" i="2"/>
  <c r="B838" i="2"/>
  <c r="S837" i="2"/>
  <c r="P837" i="2"/>
  <c r="M837" i="2"/>
  <c r="L837" i="2"/>
  <c r="K837" i="2"/>
  <c r="G837" i="2"/>
  <c r="E837" i="2"/>
  <c r="B837" i="2"/>
  <c r="S836" i="2"/>
  <c r="P836" i="2"/>
  <c r="M836" i="2"/>
  <c r="L836" i="2"/>
  <c r="K836" i="2"/>
  <c r="G836" i="2"/>
  <c r="E836" i="2"/>
  <c r="B836" i="2"/>
  <c r="S835" i="2"/>
  <c r="P835" i="2"/>
  <c r="M835" i="2"/>
  <c r="L835" i="2"/>
  <c r="K835" i="2"/>
  <c r="G835" i="2"/>
  <c r="E835" i="2"/>
  <c r="B835" i="2"/>
  <c r="S834" i="2"/>
  <c r="P834" i="2"/>
  <c r="M834" i="2"/>
  <c r="L834" i="2"/>
  <c r="K834" i="2"/>
  <c r="G834" i="2"/>
  <c r="E834" i="2"/>
  <c r="B834" i="2"/>
  <c r="S833" i="2"/>
  <c r="P833" i="2"/>
  <c r="M833" i="2"/>
  <c r="L833" i="2"/>
  <c r="K833" i="2"/>
  <c r="G833" i="2"/>
  <c r="E833" i="2"/>
  <c r="B833" i="2"/>
  <c r="S832" i="2"/>
  <c r="P832" i="2"/>
  <c r="M832" i="2"/>
  <c r="L832" i="2"/>
  <c r="K832" i="2"/>
  <c r="G832" i="2"/>
  <c r="E832" i="2"/>
  <c r="B832" i="2"/>
  <c r="S831" i="2"/>
  <c r="P831" i="2"/>
  <c r="M831" i="2"/>
  <c r="L831" i="2"/>
  <c r="K831" i="2"/>
  <c r="G831" i="2"/>
  <c r="E831" i="2"/>
  <c r="B831" i="2"/>
  <c r="S830" i="2"/>
  <c r="P830" i="2"/>
  <c r="M830" i="2"/>
  <c r="L830" i="2"/>
  <c r="K830" i="2"/>
  <c r="G830" i="2"/>
  <c r="E830" i="2"/>
  <c r="B830" i="2"/>
  <c r="S829" i="2"/>
  <c r="P829" i="2"/>
  <c r="M829" i="2"/>
  <c r="L829" i="2"/>
  <c r="K829" i="2"/>
  <c r="G829" i="2"/>
  <c r="E829" i="2"/>
  <c r="B829" i="2"/>
  <c r="S828" i="2"/>
  <c r="P828" i="2"/>
  <c r="M828" i="2"/>
  <c r="L828" i="2"/>
  <c r="K828" i="2"/>
  <c r="G828" i="2"/>
  <c r="E828" i="2"/>
  <c r="B828" i="2"/>
  <c r="S827" i="2"/>
  <c r="P827" i="2"/>
  <c r="M827" i="2"/>
  <c r="L827" i="2"/>
  <c r="K827" i="2"/>
  <c r="G827" i="2"/>
  <c r="E827" i="2"/>
  <c r="B827" i="2"/>
  <c r="S826" i="2"/>
  <c r="P826" i="2"/>
  <c r="M826" i="2"/>
  <c r="L826" i="2"/>
  <c r="K826" i="2"/>
  <c r="G826" i="2"/>
  <c r="E826" i="2"/>
  <c r="B826" i="2"/>
  <c r="S825" i="2"/>
  <c r="P825" i="2"/>
  <c r="M825" i="2"/>
  <c r="L825" i="2"/>
  <c r="K825" i="2"/>
  <c r="G825" i="2"/>
  <c r="E825" i="2"/>
  <c r="B825" i="2"/>
  <c r="S824" i="2"/>
  <c r="P824" i="2"/>
  <c r="M824" i="2"/>
  <c r="L824" i="2"/>
  <c r="K824" i="2"/>
  <c r="G824" i="2"/>
  <c r="E824" i="2"/>
  <c r="B824" i="2"/>
  <c r="S823" i="2"/>
  <c r="P823" i="2"/>
  <c r="M823" i="2"/>
  <c r="L823" i="2"/>
  <c r="K823" i="2"/>
  <c r="G823" i="2"/>
  <c r="E823" i="2"/>
  <c r="B823" i="2"/>
  <c r="S822" i="2"/>
  <c r="P822" i="2"/>
  <c r="M822" i="2"/>
  <c r="L822" i="2"/>
  <c r="K822" i="2"/>
  <c r="G822" i="2"/>
  <c r="E822" i="2"/>
  <c r="B822" i="2"/>
  <c r="S821" i="2"/>
  <c r="P821" i="2"/>
  <c r="M821" i="2"/>
  <c r="L821" i="2"/>
  <c r="K821" i="2"/>
  <c r="G821" i="2"/>
  <c r="E821" i="2"/>
  <c r="B821" i="2"/>
  <c r="S820" i="2"/>
  <c r="P820" i="2"/>
  <c r="M820" i="2"/>
  <c r="L820" i="2"/>
  <c r="K820" i="2"/>
  <c r="G820" i="2"/>
  <c r="E820" i="2"/>
  <c r="B820" i="2"/>
  <c r="S819" i="2"/>
  <c r="P819" i="2"/>
  <c r="M819" i="2"/>
  <c r="L819" i="2"/>
  <c r="K819" i="2"/>
  <c r="G819" i="2"/>
  <c r="E819" i="2"/>
  <c r="B819" i="2"/>
  <c r="S818" i="2"/>
  <c r="P818" i="2"/>
  <c r="M818" i="2"/>
  <c r="L818" i="2"/>
  <c r="K818" i="2"/>
  <c r="G818" i="2"/>
  <c r="E818" i="2"/>
  <c r="B818" i="2"/>
  <c r="S817" i="2"/>
  <c r="P817" i="2"/>
  <c r="M817" i="2"/>
  <c r="L817" i="2"/>
  <c r="K817" i="2"/>
  <c r="G817" i="2"/>
  <c r="E817" i="2"/>
  <c r="B817" i="2"/>
  <c r="S816" i="2"/>
  <c r="P816" i="2"/>
  <c r="M816" i="2"/>
  <c r="L816" i="2"/>
  <c r="K816" i="2"/>
  <c r="G816" i="2"/>
  <c r="E816" i="2"/>
  <c r="B816" i="2"/>
  <c r="S815" i="2"/>
  <c r="P815" i="2"/>
  <c r="M815" i="2"/>
  <c r="L815" i="2"/>
  <c r="K815" i="2"/>
  <c r="G815" i="2"/>
  <c r="E815" i="2"/>
  <c r="B815" i="2"/>
  <c r="S814" i="2"/>
  <c r="P814" i="2"/>
  <c r="M814" i="2"/>
  <c r="L814" i="2"/>
  <c r="K814" i="2"/>
  <c r="G814" i="2"/>
  <c r="E814" i="2"/>
  <c r="B814" i="2"/>
  <c r="S813" i="2"/>
  <c r="P813" i="2"/>
  <c r="M813" i="2"/>
  <c r="L813" i="2"/>
  <c r="K813" i="2"/>
  <c r="G813" i="2"/>
  <c r="E813" i="2"/>
  <c r="B813" i="2"/>
  <c r="S812" i="2"/>
  <c r="P812" i="2"/>
  <c r="M812" i="2"/>
  <c r="L812" i="2"/>
  <c r="K812" i="2"/>
  <c r="G812" i="2"/>
  <c r="E812" i="2"/>
  <c r="B812" i="2"/>
  <c r="S811" i="2"/>
  <c r="P811" i="2"/>
  <c r="M811" i="2"/>
  <c r="L811" i="2"/>
  <c r="K811" i="2"/>
  <c r="G811" i="2"/>
  <c r="E811" i="2"/>
  <c r="B811" i="2"/>
  <c r="S810" i="2"/>
  <c r="P810" i="2"/>
  <c r="M810" i="2"/>
  <c r="L810" i="2"/>
  <c r="K810" i="2"/>
  <c r="G810" i="2"/>
  <c r="E810" i="2"/>
  <c r="B810" i="2"/>
  <c r="S809" i="2"/>
  <c r="P809" i="2"/>
  <c r="M809" i="2"/>
  <c r="L809" i="2"/>
  <c r="K809" i="2"/>
  <c r="G809" i="2"/>
  <c r="E809" i="2"/>
  <c r="B809" i="2"/>
  <c r="S808" i="2"/>
  <c r="P808" i="2"/>
  <c r="M808" i="2"/>
  <c r="L808" i="2"/>
  <c r="K808" i="2"/>
  <c r="G808" i="2"/>
  <c r="E808" i="2"/>
  <c r="B808" i="2"/>
  <c r="S807" i="2"/>
  <c r="P807" i="2"/>
  <c r="M807" i="2"/>
  <c r="L807" i="2"/>
  <c r="K807" i="2"/>
  <c r="G807" i="2"/>
  <c r="E807" i="2"/>
  <c r="B807" i="2"/>
  <c r="S806" i="2"/>
  <c r="P806" i="2"/>
  <c r="M806" i="2"/>
  <c r="L806" i="2"/>
  <c r="K806" i="2"/>
  <c r="G806" i="2"/>
  <c r="E806" i="2"/>
  <c r="B806" i="2"/>
  <c r="S805" i="2"/>
  <c r="P805" i="2"/>
  <c r="M805" i="2"/>
  <c r="L805" i="2"/>
  <c r="K805" i="2"/>
  <c r="G805" i="2"/>
  <c r="E805" i="2"/>
  <c r="B805" i="2"/>
  <c r="S804" i="2"/>
  <c r="P804" i="2"/>
  <c r="M804" i="2"/>
  <c r="L804" i="2"/>
  <c r="K804" i="2"/>
  <c r="G804" i="2"/>
  <c r="E804" i="2"/>
  <c r="B804" i="2"/>
  <c r="S803" i="2"/>
  <c r="P803" i="2"/>
  <c r="M803" i="2"/>
  <c r="L803" i="2"/>
  <c r="K803" i="2"/>
  <c r="G803" i="2"/>
  <c r="E803" i="2"/>
  <c r="B803" i="2"/>
  <c r="S802" i="2"/>
  <c r="P802" i="2"/>
  <c r="M802" i="2"/>
  <c r="L802" i="2"/>
  <c r="K802" i="2"/>
  <c r="G802" i="2"/>
  <c r="E802" i="2"/>
  <c r="B802" i="2"/>
  <c r="S801" i="2"/>
  <c r="P801" i="2"/>
  <c r="M801" i="2"/>
  <c r="L801" i="2"/>
  <c r="K801" i="2"/>
  <c r="G801" i="2"/>
  <c r="E801" i="2"/>
  <c r="B801" i="2"/>
  <c r="S800" i="2"/>
  <c r="P800" i="2"/>
  <c r="M800" i="2"/>
  <c r="L800" i="2"/>
  <c r="K800" i="2"/>
  <c r="G800" i="2"/>
  <c r="E800" i="2"/>
  <c r="B800" i="2"/>
  <c r="S799" i="2"/>
  <c r="P799" i="2"/>
  <c r="M799" i="2"/>
  <c r="L799" i="2"/>
  <c r="K799" i="2"/>
  <c r="G799" i="2"/>
  <c r="E799" i="2"/>
  <c r="B799" i="2"/>
  <c r="S798" i="2"/>
  <c r="P798" i="2"/>
  <c r="M798" i="2"/>
  <c r="L798" i="2"/>
  <c r="K798" i="2"/>
  <c r="G798" i="2"/>
  <c r="E798" i="2"/>
  <c r="B798" i="2"/>
  <c r="S797" i="2"/>
  <c r="P797" i="2"/>
  <c r="M797" i="2"/>
  <c r="L797" i="2"/>
  <c r="K797" i="2"/>
  <c r="G797" i="2"/>
  <c r="E797" i="2"/>
  <c r="B797" i="2"/>
  <c r="S796" i="2"/>
  <c r="P796" i="2"/>
  <c r="M796" i="2"/>
  <c r="L796" i="2"/>
  <c r="K796" i="2"/>
  <c r="G796" i="2"/>
  <c r="E796" i="2"/>
  <c r="B796" i="2"/>
  <c r="S795" i="2"/>
  <c r="P795" i="2"/>
  <c r="M795" i="2"/>
  <c r="L795" i="2"/>
  <c r="K795" i="2"/>
  <c r="G795" i="2"/>
  <c r="E795" i="2"/>
  <c r="B795" i="2"/>
  <c r="S794" i="2"/>
  <c r="P794" i="2"/>
  <c r="M794" i="2"/>
  <c r="L794" i="2"/>
  <c r="K794" i="2"/>
  <c r="G794" i="2"/>
  <c r="E794" i="2"/>
  <c r="B794" i="2"/>
  <c r="S793" i="2"/>
  <c r="P793" i="2"/>
  <c r="M793" i="2"/>
  <c r="L793" i="2"/>
  <c r="K793" i="2"/>
  <c r="G793" i="2"/>
  <c r="E793" i="2"/>
  <c r="B793" i="2"/>
  <c r="S792" i="2"/>
  <c r="P792" i="2"/>
  <c r="M792" i="2"/>
  <c r="L792" i="2"/>
  <c r="K792" i="2"/>
  <c r="G792" i="2"/>
  <c r="E792" i="2"/>
  <c r="B792" i="2"/>
  <c r="S791" i="2"/>
  <c r="P791" i="2"/>
  <c r="M791" i="2"/>
  <c r="L791" i="2"/>
  <c r="K791" i="2"/>
  <c r="G791" i="2"/>
  <c r="E791" i="2"/>
  <c r="B791" i="2"/>
  <c r="S790" i="2"/>
  <c r="P790" i="2"/>
  <c r="M790" i="2"/>
  <c r="L790" i="2"/>
  <c r="K790" i="2"/>
  <c r="G790" i="2"/>
  <c r="E790" i="2"/>
  <c r="B790" i="2"/>
  <c r="S789" i="2"/>
  <c r="P789" i="2"/>
  <c r="M789" i="2"/>
  <c r="L789" i="2"/>
  <c r="K789" i="2"/>
  <c r="G789" i="2"/>
  <c r="E789" i="2"/>
  <c r="B789" i="2"/>
  <c r="S788" i="2"/>
  <c r="P788" i="2"/>
  <c r="M788" i="2"/>
  <c r="L788" i="2"/>
  <c r="K788" i="2"/>
  <c r="G788" i="2"/>
  <c r="E788" i="2"/>
  <c r="B788" i="2"/>
  <c r="S787" i="2"/>
  <c r="P787" i="2"/>
  <c r="M787" i="2"/>
  <c r="L787" i="2"/>
  <c r="K787" i="2"/>
  <c r="G787" i="2"/>
  <c r="E787" i="2"/>
  <c r="B787" i="2"/>
  <c r="S786" i="2"/>
  <c r="P786" i="2"/>
  <c r="M786" i="2"/>
  <c r="L786" i="2"/>
  <c r="K786" i="2"/>
  <c r="G786" i="2"/>
  <c r="E786" i="2"/>
  <c r="B786" i="2"/>
  <c r="S785" i="2"/>
  <c r="P785" i="2"/>
  <c r="M785" i="2"/>
  <c r="L785" i="2"/>
  <c r="K785" i="2"/>
  <c r="G785" i="2"/>
  <c r="E785" i="2"/>
  <c r="B785" i="2"/>
  <c r="S784" i="2"/>
  <c r="P784" i="2"/>
  <c r="M784" i="2"/>
  <c r="L784" i="2"/>
  <c r="K784" i="2"/>
  <c r="G784" i="2"/>
  <c r="E784" i="2"/>
  <c r="B784" i="2"/>
  <c r="S783" i="2"/>
  <c r="P783" i="2"/>
  <c r="M783" i="2"/>
  <c r="L783" i="2"/>
  <c r="K783" i="2"/>
  <c r="G783" i="2"/>
  <c r="E783" i="2"/>
  <c r="B783" i="2"/>
  <c r="S782" i="2"/>
  <c r="P782" i="2"/>
  <c r="M782" i="2"/>
  <c r="L782" i="2"/>
  <c r="K782" i="2"/>
  <c r="G782" i="2"/>
  <c r="E782" i="2"/>
  <c r="B782" i="2"/>
  <c r="S781" i="2"/>
  <c r="P781" i="2"/>
  <c r="M781" i="2"/>
  <c r="L781" i="2"/>
  <c r="K781" i="2"/>
  <c r="G781" i="2"/>
  <c r="E781" i="2"/>
  <c r="B781" i="2"/>
  <c r="S780" i="2"/>
  <c r="P780" i="2"/>
  <c r="M780" i="2"/>
  <c r="L780" i="2"/>
  <c r="K780" i="2"/>
  <c r="G780" i="2"/>
  <c r="E780" i="2"/>
  <c r="B780" i="2"/>
  <c r="S779" i="2"/>
  <c r="P779" i="2"/>
  <c r="M779" i="2"/>
  <c r="L779" i="2"/>
  <c r="K779" i="2"/>
  <c r="G779" i="2"/>
  <c r="E779" i="2"/>
  <c r="B779" i="2"/>
  <c r="S778" i="2"/>
  <c r="P778" i="2"/>
  <c r="M778" i="2"/>
  <c r="L778" i="2"/>
  <c r="K778" i="2"/>
  <c r="G778" i="2"/>
  <c r="E778" i="2"/>
  <c r="B778" i="2"/>
  <c r="S777" i="2"/>
  <c r="P777" i="2"/>
  <c r="M777" i="2"/>
  <c r="L777" i="2"/>
  <c r="K777" i="2"/>
  <c r="G777" i="2"/>
  <c r="E777" i="2"/>
  <c r="B777" i="2"/>
  <c r="S776" i="2"/>
  <c r="P776" i="2"/>
  <c r="M776" i="2"/>
  <c r="L776" i="2"/>
  <c r="K776" i="2"/>
  <c r="H776" i="2"/>
  <c r="G776" i="2"/>
  <c r="E776" i="2"/>
  <c r="B776" i="2"/>
  <c r="S775" i="2"/>
  <c r="P775" i="2"/>
  <c r="M775" i="2"/>
  <c r="L775" i="2"/>
  <c r="K775" i="2"/>
  <c r="G775" i="2"/>
  <c r="E775" i="2"/>
  <c r="B775" i="2"/>
  <c r="S774" i="2"/>
  <c r="P774" i="2"/>
  <c r="M774" i="2"/>
  <c r="L774" i="2"/>
  <c r="K774" i="2"/>
  <c r="G774" i="2"/>
  <c r="E774" i="2"/>
  <c r="B774" i="2"/>
  <c r="S773" i="2"/>
  <c r="P773" i="2"/>
  <c r="M773" i="2"/>
  <c r="L773" i="2"/>
  <c r="K773" i="2"/>
  <c r="G773" i="2"/>
  <c r="E773" i="2"/>
  <c r="B773" i="2"/>
  <c r="S772" i="2"/>
  <c r="P772" i="2"/>
  <c r="M772" i="2"/>
  <c r="L772" i="2"/>
  <c r="K772" i="2"/>
  <c r="G772" i="2"/>
  <c r="E772" i="2"/>
  <c r="B772" i="2"/>
  <c r="S771" i="2"/>
  <c r="P771" i="2"/>
  <c r="M771" i="2"/>
  <c r="L771" i="2"/>
  <c r="K771" i="2"/>
  <c r="G771" i="2"/>
  <c r="E771" i="2"/>
  <c r="B771" i="2"/>
  <c r="S770" i="2"/>
  <c r="P770" i="2"/>
  <c r="M770" i="2"/>
  <c r="L770" i="2"/>
  <c r="K770" i="2"/>
  <c r="G770" i="2"/>
  <c r="E770" i="2"/>
  <c r="B770" i="2"/>
  <c r="S769" i="2"/>
  <c r="P769" i="2"/>
  <c r="M769" i="2"/>
  <c r="L769" i="2"/>
  <c r="K769" i="2"/>
  <c r="G769" i="2"/>
  <c r="E769" i="2"/>
  <c r="B769" i="2"/>
  <c r="S768" i="2"/>
  <c r="P768" i="2"/>
  <c r="M768" i="2"/>
  <c r="L768" i="2"/>
  <c r="K768" i="2"/>
  <c r="G768" i="2"/>
  <c r="E768" i="2"/>
  <c r="B768" i="2"/>
  <c r="S767" i="2"/>
  <c r="P767" i="2"/>
  <c r="M767" i="2"/>
  <c r="L767" i="2"/>
  <c r="K767" i="2"/>
  <c r="G767" i="2"/>
  <c r="E767" i="2"/>
  <c r="B767" i="2"/>
  <c r="S766" i="2"/>
  <c r="P766" i="2"/>
  <c r="M766" i="2"/>
  <c r="L766" i="2"/>
  <c r="K766" i="2"/>
  <c r="G766" i="2"/>
  <c r="E766" i="2"/>
  <c r="B766" i="2"/>
  <c r="S765" i="2"/>
  <c r="P765" i="2"/>
  <c r="M765" i="2"/>
  <c r="L765" i="2"/>
  <c r="K765" i="2"/>
  <c r="G765" i="2"/>
  <c r="E765" i="2"/>
  <c r="B765" i="2"/>
  <c r="S764" i="2"/>
  <c r="P764" i="2"/>
  <c r="M764" i="2"/>
  <c r="L764" i="2"/>
  <c r="K764" i="2"/>
  <c r="G764" i="2"/>
  <c r="E764" i="2"/>
  <c r="B764" i="2"/>
  <c r="S763" i="2"/>
  <c r="P763" i="2"/>
  <c r="M763" i="2"/>
  <c r="L763" i="2"/>
  <c r="K763" i="2"/>
  <c r="G763" i="2"/>
  <c r="E763" i="2"/>
  <c r="B763" i="2"/>
  <c r="S762" i="2"/>
  <c r="P762" i="2"/>
  <c r="M762" i="2"/>
  <c r="L762" i="2"/>
  <c r="K762" i="2"/>
  <c r="G762" i="2"/>
  <c r="E762" i="2"/>
  <c r="B762" i="2"/>
  <c r="S761" i="2"/>
  <c r="P761" i="2"/>
  <c r="M761" i="2"/>
  <c r="L761" i="2"/>
  <c r="K761" i="2"/>
  <c r="G761" i="2"/>
  <c r="E761" i="2"/>
  <c r="B761" i="2"/>
  <c r="S760" i="2"/>
  <c r="P760" i="2"/>
  <c r="M760" i="2"/>
  <c r="L760" i="2"/>
  <c r="K760" i="2"/>
  <c r="G760" i="2"/>
  <c r="E760" i="2"/>
  <c r="B760" i="2"/>
  <c r="S759" i="2"/>
  <c r="P759" i="2"/>
  <c r="M759" i="2"/>
  <c r="L759" i="2"/>
  <c r="K759" i="2"/>
  <c r="G759" i="2"/>
  <c r="E759" i="2"/>
  <c r="B759" i="2"/>
  <c r="S758" i="2"/>
  <c r="P758" i="2"/>
  <c r="M758" i="2"/>
  <c r="L758" i="2"/>
  <c r="K758" i="2"/>
  <c r="G758" i="2"/>
  <c r="E758" i="2"/>
  <c r="B758" i="2"/>
  <c r="S757" i="2"/>
  <c r="P757" i="2"/>
  <c r="M757" i="2"/>
  <c r="L757" i="2"/>
  <c r="K757" i="2"/>
  <c r="G757" i="2"/>
  <c r="E757" i="2"/>
  <c r="B757" i="2"/>
  <c r="S756" i="2"/>
  <c r="P756" i="2"/>
  <c r="M756" i="2"/>
  <c r="L756" i="2"/>
  <c r="K756" i="2"/>
  <c r="G756" i="2"/>
  <c r="E756" i="2"/>
  <c r="B756" i="2"/>
  <c r="S755" i="2"/>
  <c r="P755" i="2"/>
  <c r="M755" i="2"/>
  <c r="L755" i="2"/>
  <c r="K755" i="2"/>
  <c r="G755" i="2"/>
  <c r="E755" i="2"/>
  <c r="B755" i="2"/>
  <c r="S754" i="2"/>
  <c r="P754" i="2"/>
  <c r="M754" i="2"/>
  <c r="L754" i="2"/>
  <c r="K754" i="2"/>
  <c r="G754" i="2"/>
  <c r="E754" i="2"/>
  <c r="B754" i="2"/>
  <c r="S753" i="2"/>
  <c r="P753" i="2"/>
  <c r="M753" i="2"/>
  <c r="L753" i="2"/>
  <c r="K753" i="2"/>
  <c r="G753" i="2"/>
  <c r="E753" i="2"/>
  <c r="B753" i="2"/>
  <c r="S752" i="2"/>
  <c r="P752" i="2"/>
  <c r="M752" i="2"/>
  <c r="L752" i="2"/>
  <c r="K752" i="2"/>
  <c r="G752" i="2"/>
  <c r="E752" i="2"/>
  <c r="B752" i="2"/>
  <c r="S751" i="2"/>
  <c r="P751" i="2"/>
  <c r="M751" i="2"/>
  <c r="L751" i="2"/>
  <c r="K751" i="2"/>
  <c r="G751" i="2"/>
  <c r="E751" i="2"/>
  <c r="B751" i="2"/>
  <c r="S750" i="2"/>
  <c r="P750" i="2"/>
  <c r="M750" i="2"/>
  <c r="L750" i="2"/>
  <c r="K750" i="2"/>
  <c r="G750" i="2"/>
  <c r="E750" i="2"/>
  <c r="B750" i="2"/>
  <c r="S749" i="2"/>
  <c r="P749" i="2"/>
  <c r="M749" i="2"/>
  <c r="L749" i="2"/>
  <c r="K749" i="2"/>
  <c r="G749" i="2"/>
  <c r="E749" i="2"/>
  <c r="B749" i="2"/>
  <c r="S748" i="2"/>
  <c r="P748" i="2"/>
  <c r="M748" i="2"/>
  <c r="L748" i="2"/>
  <c r="K748" i="2"/>
  <c r="G748" i="2"/>
  <c r="E748" i="2"/>
  <c r="B748" i="2"/>
  <c r="S747" i="2"/>
  <c r="P747" i="2"/>
  <c r="M747" i="2"/>
  <c r="L747" i="2"/>
  <c r="K747" i="2"/>
  <c r="G747" i="2"/>
  <c r="E747" i="2"/>
  <c r="B747" i="2"/>
  <c r="S746" i="2"/>
  <c r="P746" i="2"/>
  <c r="M746" i="2"/>
  <c r="L746" i="2"/>
  <c r="K746" i="2"/>
  <c r="G746" i="2"/>
  <c r="E746" i="2"/>
  <c r="B746" i="2"/>
  <c r="S745" i="2"/>
  <c r="P745" i="2"/>
  <c r="M745" i="2"/>
  <c r="L745" i="2"/>
  <c r="K745" i="2"/>
  <c r="G745" i="2"/>
  <c r="E745" i="2"/>
  <c r="B745" i="2"/>
  <c r="S744" i="2"/>
  <c r="P744" i="2"/>
  <c r="M744" i="2"/>
  <c r="L744" i="2"/>
  <c r="K744" i="2"/>
  <c r="G744" i="2"/>
  <c r="E744" i="2"/>
  <c r="B744" i="2"/>
  <c r="S743" i="2"/>
  <c r="P743" i="2"/>
  <c r="M743" i="2"/>
  <c r="L743" i="2"/>
  <c r="K743" i="2"/>
  <c r="G743" i="2"/>
  <c r="E743" i="2"/>
  <c r="B743" i="2"/>
  <c r="S742" i="2"/>
  <c r="P742" i="2"/>
  <c r="M742" i="2"/>
  <c r="L742" i="2"/>
  <c r="K742" i="2"/>
  <c r="G742" i="2"/>
  <c r="E742" i="2"/>
  <c r="B742" i="2"/>
  <c r="S741" i="2"/>
  <c r="P741" i="2"/>
  <c r="M741" i="2"/>
  <c r="L741" i="2"/>
  <c r="K741" i="2"/>
  <c r="G741" i="2"/>
  <c r="E741" i="2"/>
  <c r="B741" i="2"/>
  <c r="S740" i="2"/>
  <c r="P740" i="2"/>
  <c r="M740" i="2"/>
  <c r="L740" i="2"/>
  <c r="K740" i="2"/>
  <c r="G740" i="2"/>
  <c r="E740" i="2"/>
  <c r="B740" i="2"/>
  <c r="S739" i="2"/>
  <c r="P739" i="2"/>
  <c r="M739" i="2"/>
  <c r="L739" i="2"/>
  <c r="K739" i="2"/>
  <c r="G739" i="2"/>
  <c r="E739" i="2"/>
  <c r="B739" i="2"/>
  <c r="S738" i="2"/>
  <c r="P738" i="2"/>
  <c r="M738" i="2"/>
  <c r="L738" i="2"/>
  <c r="K738" i="2"/>
  <c r="G738" i="2"/>
  <c r="E738" i="2"/>
  <c r="B738" i="2"/>
  <c r="S737" i="2"/>
  <c r="P737" i="2"/>
  <c r="M737" i="2"/>
  <c r="L737" i="2"/>
  <c r="K737" i="2"/>
  <c r="G737" i="2"/>
  <c r="E737" i="2"/>
  <c r="B737" i="2"/>
  <c r="S736" i="2"/>
  <c r="P736" i="2"/>
  <c r="M736" i="2"/>
  <c r="L736" i="2"/>
  <c r="K736" i="2"/>
  <c r="G736" i="2"/>
  <c r="E736" i="2"/>
  <c r="B736" i="2"/>
  <c r="S735" i="2"/>
  <c r="P735" i="2"/>
  <c r="M735" i="2"/>
  <c r="L735" i="2"/>
  <c r="K735" i="2"/>
  <c r="G735" i="2"/>
  <c r="E735" i="2"/>
  <c r="B735" i="2"/>
  <c r="S734" i="2"/>
  <c r="P734" i="2"/>
  <c r="M734" i="2"/>
  <c r="L734" i="2"/>
  <c r="K734" i="2"/>
  <c r="G734" i="2"/>
  <c r="E734" i="2"/>
  <c r="B734" i="2"/>
  <c r="S733" i="2"/>
  <c r="P733" i="2"/>
  <c r="M733" i="2"/>
  <c r="L733" i="2"/>
  <c r="K733" i="2"/>
  <c r="G733" i="2"/>
  <c r="E733" i="2"/>
  <c r="B733" i="2"/>
  <c r="S732" i="2"/>
  <c r="P732" i="2"/>
  <c r="M732" i="2"/>
  <c r="L732" i="2"/>
  <c r="K732" i="2"/>
  <c r="G732" i="2"/>
  <c r="E732" i="2"/>
  <c r="B732" i="2"/>
  <c r="S731" i="2"/>
  <c r="P731" i="2"/>
  <c r="M731" i="2"/>
  <c r="L731" i="2"/>
  <c r="K731" i="2"/>
  <c r="G731" i="2"/>
  <c r="E731" i="2"/>
  <c r="B731" i="2"/>
  <c r="S730" i="2"/>
  <c r="P730" i="2"/>
  <c r="M730" i="2"/>
  <c r="L730" i="2"/>
  <c r="K730" i="2"/>
  <c r="G730" i="2"/>
  <c r="E730" i="2"/>
  <c r="B730" i="2"/>
  <c r="S729" i="2"/>
  <c r="P729" i="2"/>
  <c r="M729" i="2"/>
  <c r="L729" i="2"/>
  <c r="K729" i="2"/>
  <c r="G729" i="2"/>
  <c r="E729" i="2"/>
  <c r="B729" i="2"/>
  <c r="S728" i="2"/>
  <c r="P728" i="2"/>
  <c r="M728" i="2"/>
  <c r="L728" i="2"/>
  <c r="K728" i="2"/>
  <c r="G728" i="2"/>
  <c r="E728" i="2"/>
  <c r="B728" i="2"/>
  <c r="S727" i="2"/>
  <c r="P727" i="2"/>
  <c r="M727" i="2"/>
  <c r="L727" i="2"/>
  <c r="K727" i="2"/>
  <c r="G727" i="2"/>
  <c r="E727" i="2"/>
  <c r="B727" i="2"/>
  <c r="S726" i="2"/>
  <c r="P726" i="2"/>
  <c r="M726" i="2"/>
  <c r="L726" i="2"/>
  <c r="K726" i="2"/>
  <c r="G726" i="2"/>
  <c r="E726" i="2"/>
  <c r="B726" i="2"/>
  <c r="S725" i="2"/>
  <c r="P725" i="2"/>
  <c r="M725" i="2"/>
  <c r="L725" i="2"/>
  <c r="K725" i="2"/>
  <c r="G725" i="2"/>
  <c r="E725" i="2"/>
  <c r="B725" i="2"/>
  <c r="S724" i="2"/>
  <c r="P724" i="2"/>
  <c r="M724" i="2"/>
  <c r="L724" i="2"/>
  <c r="K724" i="2"/>
  <c r="G724" i="2"/>
  <c r="E724" i="2"/>
  <c r="B724" i="2"/>
  <c r="S723" i="2"/>
  <c r="P723" i="2"/>
  <c r="M723" i="2"/>
  <c r="L723" i="2"/>
  <c r="K723" i="2"/>
  <c r="G723" i="2"/>
  <c r="E723" i="2"/>
  <c r="B723" i="2"/>
  <c r="S722" i="2"/>
  <c r="P722" i="2"/>
  <c r="M722" i="2"/>
  <c r="L722" i="2"/>
  <c r="K722" i="2"/>
  <c r="G722" i="2"/>
  <c r="E722" i="2"/>
  <c r="B722" i="2"/>
  <c r="S721" i="2"/>
  <c r="P721" i="2"/>
  <c r="M721" i="2"/>
  <c r="L721" i="2"/>
  <c r="K721" i="2"/>
  <c r="G721" i="2"/>
  <c r="E721" i="2"/>
  <c r="B721" i="2"/>
  <c r="S720" i="2"/>
  <c r="P720" i="2"/>
  <c r="M720" i="2"/>
  <c r="L720" i="2"/>
  <c r="K720" i="2"/>
  <c r="G720" i="2"/>
  <c r="E720" i="2"/>
  <c r="B720" i="2"/>
  <c r="S719" i="2"/>
  <c r="P719" i="2"/>
  <c r="M719" i="2"/>
  <c r="L719" i="2"/>
  <c r="K719" i="2"/>
  <c r="G719" i="2"/>
  <c r="E719" i="2"/>
  <c r="B719" i="2"/>
  <c r="S718" i="2"/>
  <c r="P718" i="2"/>
  <c r="M718" i="2"/>
  <c r="L718" i="2"/>
  <c r="K718" i="2"/>
  <c r="G718" i="2"/>
  <c r="E718" i="2"/>
  <c r="B718" i="2"/>
  <c r="S717" i="2"/>
  <c r="P717" i="2"/>
  <c r="M717" i="2"/>
  <c r="L717" i="2"/>
  <c r="K717" i="2"/>
  <c r="G717" i="2"/>
  <c r="E717" i="2"/>
  <c r="B717" i="2"/>
  <c r="S716" i="2"/>
  <c r="P716" i="2"/>
  <c r="M716" i="2"/>
  <c r="L716" i="2"/>
  <c r="K716" i="2"/>
  <c r="G716" i="2"/>
  <c r="E716" i="2"/>
  <c r="B716" i="2"/>
  <c r="S715" i="2"/>
  <c r="P715" i="2"/>
  <c r="M715" i="2"/>
  <c r="L715" i="2"/>
  <c r="K715" i="2"/>
  <c r="G715" i="2"/>
  <c r="E715" i="2"/>
  <c r="B715" i="2"/>
  <c r="S714" i="2"/>
  <c r="P714" i="2"/>
  <c r="M714" i="2"/>
  <c r="L714" i="2"/>
  <c r="K714" i="2"/>
  <c r="G714" i="2"/>
  <c r="E714" i="2"/>
  <c r="B714" i="2"/>
  <c r="S713" i="2"/>
  <c r="P713" i="2"/>
  <c r="M713" i="2"/>
  <c r="L713" i="2"/>
  <c r="K713" i="2"/>
  <c r="G713" i="2"/>
  <c r="E713" i="2"/>
  <c r="B713" i="2"/>
  <c r="S712" i="2"/>
  <c r="P712" i="2"/>
  <c r="M712" i="2"/>
  <c r="L712" i="2"/>
  <c r="K712" i="2"/>
  <c r="G712" i="2"/>
  <c r="E712" i="2"/>
  <c r="B712" i="2"/>
  <c r="S711" i="2"/>
  <c r="P711" i="2"/>
  <c r="M711" i="2"/>
  <c r="L711" i="2"/>
  <c r="K711" i="2"/>
  <c r="G711" i="2"/>
  <c r="E711" i="2"/>
  <c r="B711" i="2"/>
  <c r="S710" i="2"/>
  <c r="P710" i="2"/>
  <c r="M710" i="2"/>
  <c r="L710" i="2"/>
  <c r="K710" i="2"/>
  <c r="G710" i="2"/>
  <c r="E710" i="2"/>
  <c r="B710" i="2"/>
  <c r="S709" i="2"/>
  <c r="P709" i="2"/>
  <c r="M709" i="2"/>
  <c r="L709" i="2"/>
  <c r="K709" i="2"/>
  <c r="G709" i="2"/>
  <c r="E709" i="2"/>
  <c r="B709" i="2"/>
  <c r="S708" i="2"/>
  <c r="P708" i="2"/>
  <c r="M708" i="2"/>
  <c r="L708" i="2"/>
  <c r="K708" i="2"/>
  <c r="G708" i="2"/>
  <c r="E708" i="2"/>
  <c r="B708" i="2"/>
  <c r="S707" i="2"/>
  <c r="P707" i="2"/>
  <c r="M707" i="2"/>
  <c r="L707" i="2"/>
  <c r="K707" i="2"/>
  <c r="G707" i="2"/>
  <c r="E707" i="2"/>
  <c r="B707" i="2"/>
  <c r="S706" i="2"/>
  <c r="P706" i="2"/>
  <c r="M706" i="2"/>
  <c r="L706" i="2"/>
  <c r="K706" i="2"/>
  <c r="H706" i="2"/>
  <c r="G706" i="2"/>
  <c r="E706" i="2"/>
  <c r="B706" i="2"/>
  <c r="S705" i="2"/>
  <c r="P705" i="2"/>
  <c r="M705" i="2"/>
  <c r="L705" i="2"/>
  <c r="K705" i="2"/>
  <c r="H705" i="2"/>
  <c r="G705" i="2"/>
  <c r="E705" i="2"/>
  <c r="B705" i="2"/>
  <c r="S704" i="2"/>
  <c r="P704" i="2"/>
  <c r="M704" i="2"/>
  <c r="L704" i="2"/>
  <c r="K704" i="2"/>
  <c r="G704" i="2"/>
  <c r="E704" i="2"/>
  <c r="B704" i="2"/>
  <c r="S703" i="2"/>
  <c r="P703" i="2"/>
  <c r="M703" i="2"/>
  <c r="L703" i="2"/>
  <c r="K703" i="2"/>
  <c r="H703" i="2"/>
  <c r="G703" i="2"/>
  <c r="E703" i="2"/>
  <c r="B703" i="2"/>
  <c r="S702" i="2"/>
  <c r="P702" i="2"/>
  <c r="M702" i="2"/>
  <c r="L702" i="2"/>
  <c r="K702" i="2"/>
  <c r="G702" i="2"/>
  <c r="E702" i="2"/>
  <c r="B702" i="2"/>
  <c r="S701" i="2"/>
  <c r="P701" i="2"/>
  <c r="M701" i="2"/>
  <c r="L701" i="2"/>
  <c r="K701" i="2"/>
  <c r="G701" i="2"/>
  <c r="E701" i="2"/>
  <c r="B701" i="2"/>
  <c r="S700" i="2"/>
  <c r="P700" i="2"/>
  <c r="M700" i="2"/>
  <c r="L700" i="2"/>
  <c r="K700" i="2"/>
  <c r="G700" i="2"/>
  <c r="E700" i="2"/>
  <c r="B700" i="2"/>
  <c r="S699" i="2"/>
  <c r="P699" i="2"/>
  <c r="M699" i="2"/>
  <c r="L699" i="2"/>
  <c r="K699" i="2"/>
  <c r="G699" i="2"/>
  <c r="E699" i="2"/>
  <c r="B699" i="2"/>
  <c r="S698" i="2"/>
  <c r="P698" i="2"/>
  <c r="M698" i="2"/>
  <c r="L698" i="2"/>
  <c r="K698" i="2"/>
  <c r="G698" i="2"/>
  <c r="E698" i="2"/>
  <c r="B698" i="2"/>
  <c r="S697" i="2"/>
  <c r="P697" i="2"/>
  <c r="M697" i="2"/>
  <c r="L697" i="2"/>
  <c r="K697" i="2"/>
  <c r="G697" i="2"/>
  <c r="E697" i="2"/>
  <c r="B697" i="2"/>
  <c r="S696" i="2"/>
  <c r="P696" i="2"/>
  <c r="M696" i="2"/>
  <c r="L696" i="2"/>
  <c r="K696" i="2"/>
  <c r="G696" i="2"/>
  <c r="E696" i="2"/>
  <c r="B696" i="2"/>
  <c r="S695" i="2"/>
  <c r="P695" i="2"/>
  <c r="M695" i="2"/>
  <c r="L695" i="2"/>
  <c r="K695" i="2"/>
  <c r="G695" i="2"/>
  <c r="E695" i="2"/>
  <c r="B695" i="2"/>
  <c r="S694" i="2"/>
  <c r="P694" i="2"/>
  <c r="M694" i="2"/>
  <c r="L694" i="2"/>
  <c r="K694" i="2"/>
  <c r="G694" i="2"/>
  <c r="E694" i="2"/>
  <c r="B694" i="2"/>
  <c r="S693" i="2"/>
  <c r="P693" i="2"/>
  <c r="M693" i="2"/>
  <c r="L693" i="2"/>
  <c r="K693" i="2"/>
  <c r="G693" i="2"/>
  <c r="E693" i="2"/>
  <c r="B693" i="2"/>
  <c r="S692" i="2"/>
  <c r="P692" i="2"/>
  <c r="M692" i="2"/>
  <c r="L692" i="2"/>
  <c r="K692" i="2"/>
  <c r="G692" i="2"/>
  <c r="E692" i="2"/>
  <c r="B692" i="2"/>
  <c r="S691" i="2"/>
  <c r="P691" i="2"/>
  <c r="M691" i="2"/>
  <c r="L691" i="2"/>
  <c r="K691" i="2"/>
  <c r="G691" i="2"/>
  <c r="E691" i="2"/>
  <c r="B691" i="2"/>
  <c r="S690" i="2"/>
  <c r="P690" i="2"/>
  <c r="M690" i="2"/>
  <c r="L690" i="2"/>
  <c r="K690" i="2"/>
  <c r="G690" i="2"/>
  <c r="E690" i="2"/>
  <c r="B690" i="2"/>
  <c r="S689" i="2"/>
  <c r="P689" i="2"/>
  <c r="M689" i="2"/>
  <c r="L689" i="2"/>
  <c r="K689" i="2"/>
  <c r="G689" i="2"/>
  <c r="E689" i="2"/>
  <c r="B689" i="2"/>
  <c r="S688" i="2"/>
  <c r="P688" i="2"/>
  <c r="M688" i="2"/>
  <c r="L688" i="2"/>
  <c r="K688" i="2"/>
  <c r="G688" i="2"/>
  <c r="E688" i="2"/>
  <c r="B688" i="2"/>
  <c r="S687" i="2"/>
  <c r="P687" i="2"/>
  <c r="M687" i="2"/>
  <c r="L687" i="2"/>
  <c r="K687" i="2"/>
  <c r="G687" i="2"/>
  <c r="E687" i="2"/>
  <c r="B687" i="2"/>
  <c r="S686" i="2"/>
  <c r="P686" i="2"/>
  <c r="M686" i="2"/>
  <c r="L686" i="2"/>
  <c r="K686" i="2"/>
  <c r="G686" i="2"/>
  <c r="E686" i="2"/>
  <c r="B686" i="2"/>
  <c r="S685" i="2"/>
  <c r="P685" i="2"/>
  <c r="M685" i="2"/>
  <c r="L685" i="2"/>
  <c r="K685" i="2"/>
  <c r="G685" i="2"/>
  <c r="E685" i="2"/>
  <c r="B685" i="2"/>
  <c r="S684" i="2"/>
  <c r="P684" i="2"/>
  <c r="M684" i="2"/>
  <c r="L684" i="2"/>
  <c r="K684" i="2"/>
  <c r="G684" i="2"/>
  <c r="E684" i="2"/>
  <c r="B684" i="2"/>
  <c r="S683" i="2"/>
  <c r="P683" i="2"/>
  <c r="M683" i="2"/>
  <c r="L683" i="2"/>
  <c r="K683" i="2"/>
  <c r="G683" i="2"/>
  <c r="E683" i="2"/>
  <c r="B683" i="2"/>
  <c r="S682" i="2"/>
  <c r="P682" i="2"/>
  <c r="M682" i="2"/>
  <c r="L682" i="2"/>
  <c r="K682" i="2"/>
  <c r="G682" i="2"/>
  <c r="E682" i="2"/>
  <c r="B682" i="2"/>
  <c r="S681" i="2"/>
  <c r="P681" i="2"/>
  <c r="M681" i="2"/>
  <c r="L681" i="2"/>
  <c r="K681" i="2"/>
  <c r="G681" i="2"/>
  <c r="E681" i="2"/>
  <c r="B681" i="2"/>
  <c r="S680" i="2"/>
  <c r="P680" i="2"/>
  <c r="M680" i="2"/>
  <c r="L680" i="2"/>
  <c r="K680" i="2"/>
  <c r="G680" i="2"/>
  <c r="E680" i="2"/>
  <c r="B680" i="2"/>
  <c r="S679" i="2"/>
  <c r="P679" i="2"/>
  <c r="M679" i="2"/>
  <c r="L679" i="2"/>
  <c r="K679" i="2"/>
  <c r="G679" i="2"/>
  <c r="E679" i="2"/>
  <c r="B679" i="2"/>
  <c r="S678" i="2"/>
  <c r="P678" i="2"/>
  <c r="M678" i="2"/>
  <c r="L678" i="2"/>
  <c r="K678" i="2"/>
  <c r="G678" i="2"/>
  <c r="E678" i="2"/>
  <c r="B678" i="2"/>
  <c r="S677" i="2"/>
  <c r="P677" i="2"/>
  <c r="M677" i="2"/>
  <c r="L677" i="2"/>
  <c r="K677" i="2"/>
  <c r="G677" i="2"/>
  <c r="E677" i="2"/>
  <c r="B677" i="2"/>
  <c r="S676" i="2"/>
  <c r="P676" i="2"/>
  <c r="M676" i="2"/>
  <c r="L676" i="2"/>
  <c r="K676" i="2"/>
  <c r="G676" i="2"/>
  <c r="E676" i="2"/>
  <c r="B676" i="2"/>
  <c r="S675" i="2"/>
  <c r="P675" i="2"/>
  <c r="M675" i="2"/>
  <c r="L675" i="2"/>
  <c r="K675" i="2"/>
  <c r="G675" i="2"/>
  <c r="E675" i="2"/>
  <c r="B675" i="2"/>
  <c r="S674" i="2"/>
  <c r="P674" i="2"/>
  <c r="M674" i="2"/>
  <c r="L674" i="2"/>
  <c r="K674" i="2"/>
  <c r="G674" i="2"/>
  <c r="E674" i="2"/>
  <c r="B674" i="2"/>
  <c r="S673" i="2"/>
  <c r="P673" i="2"/>
  <c r="M673" i="2"/>
  <c r="L673" i="2"/>
  <c r="K673" i="2"/>
  <c r="G673" i="2"/>
  <c r="E673" i="2"/>
  <c r="B673" i="2"/>
  <c r="S672" i="2"/>
  <c r="P672" i="2"/>
  <c r="M672" i="2"/>
  <c r="L672" i="2"/>
  <c r="K672" i="2"/>
  <c r="G672" i="2"/>
  <c r="E672" i="2"/>
  <c r="B672" i="2"/>
  <c r="S671" i="2"/>
  <c r="P671" i="2"/>
  <c r="M671" i="2"/>
  <c r="L671" i="2"/>
  <c r="K671" i="2"/>
  <c r="G671" i="2"/>
  <c r="E671" i="2"/>
  <c r="B671" i="2"/>
  <c r="S670" i="2"/>
  <c r="P670" i="2"/>
  <c r="M670" i="2"/>
  <c r="L670" i="2"/>
  <c r="K670" i="2"/>
  <c r="G670" i="2"/>
  <c r="E670" i="2"/>
  <c r="B670" i="2"/>
  <c r="S669" i="2"/>
  <c r="P669" i="2"/>
  <c r="M669" i="2"/>
  <c r="L669" i="2"/>
  <c r="K669" i="2"/>
  <c r="G669" i="2"/>
  <c r="E669" i="2"/>
  <c r="B669" i="2"/>
  <c r="S668" i="2"/>
  <c r="P668" i="2"/>
  <c r="M668" i="2"/>
  <c r="L668" i="2"/>
  <c r="K668" i="2"/>
  <c r="G668" i="2"/>
  <c r="E668" i="2"/>
  <c r="B668" i="2"/>
  <c r="S667" i="2"/>
  <c r="P667" i="2"/>
  <c r="M667" i="2"/>
  <c r="L667" i="2"/>
  <c r="K667" i="2"/>
  <c r="G667" i="2"/>
  <c r="E667" i="2"/>
  <c r="B667" i="2"/>
  <c r="S666" i="2"/>
  <c r="P666" i="2"/>
  <c r="M666" i="2"/>
  <c r="L666" i="2"/>
  <c r="K666" i="2"/>
  <c r="G666" i="2"/>
  <c r="E666" i="2"/>
  <c r="B666" i="2"/>
  <c r="S665" i="2"/>
  <c r="P665" i="2"/>
  <c r="M665" i="2"/>
  <c r="L665" i="2"/>
  <c r="K665" i="2"/>
  <c r="G665" i="2"/>
  <c r="E665" i="2"/>
  <c r="B665" i="2"/>
  <c r="S664" i="2"/>
  <c r="P664" i="2"/>
  <c r="M664" i="2"/>
  <c r="L664" i="2"/>
  <c r="K664" i="2"/>
  <c r="G664" i="2"/>
  <c r="E664" i="2"/>
  <c r="B664" i="2"/>
  <c r="S663" i="2"/>
  <c r="P663" i="2"/>
  <c r="M663" i="2"/>
  <c r="L663" i="2"/>
  <c r="K663" i="2"/>
  <c r="G663" i="2"/>
  <c r="E663" i="2"/>
  <c r="B663" i="2"/>
  <c r="S662" i="2"/>
  <c r="P662" i="2"/>
  <c r="M662" i="2"/>
  <c r="L662" i="2"/>
  <c r="K662" i="2"/>
  <c r="G662" i="2"/>
  <c r="E662" i="2"/>
  <c r="B662" i="2"/>
  <c r="S661" i="2"/>
  <c r="P661" i="2"/>
  <c r="M661" i="2"/>
  <c r="L661" i="2"/>
  <c r="K661" i="2"/>
  <c r="G661" i="2"/>
  <c r="E661" i="2"/>
  <c r="B661" i="2"/>
  <c r="S660" i="2"/>
  <c r="P660" i="2"/>
  <c r="M660" i="2"/>
  <c r="L660" i="2"/>
  <c r="K660" i="2"/>
  <c r="G660" i="2"/>
  <c r="E660" i="2"/>
  <c r="B660" i="2"/>
  <c r="S659" i="2"/>
  <c r="P659" i="2"/>
  <c r="M659" i="2"/>
  <c r="L659" i="2"/>
  <c r="K659" i="2"/>
  <c r="G659" i="2"/>
  <c r="E659" i="2"/>
  <c r="B659" i="2"/>
  <c r="S658" i="2"/>
  <c r="P658" i="2"/>
  <c r="M658" i="2"/>
  <c r="L658" i="2"/>
  <c r="K658" i="2"/>
  <c r="G658" i="2"/>
  <c r="E658" i="2"/>
  <c r="B658" i="2"/>
  <c r="S657" i="2"/>
  <c r="P657" i="2"/>
  <c r="M657" i="2"/>
  <c r="L657" i="2"/>
  <c r="K657" i="2"/>
  <c r="G657" i="2"/>
  <c r="E657" i="2"/>
  <c r="B657" i="2"/>
  <c r="S656" i="2"/>
  <c r="P656" i="2"/>
  <c r="M656" i="2"/>
  <c r="L656" i="2"/>
  <c r="K656" i="2"/>
  <c r="G656" i="2"/>
  <c r="E656" i="2"/>
  <c r="B656" i="2"/>
  <c r="S655" i="2"/>
  <c r="P655" i="2"/>
  <c r="M655" i="2"/>
  <c r="L655" i="2"/>
  <c r="K655" i="2"/>
  <c r="G655" i="2"/>
  <c r="E655" i="2"/>
  <c r="B655" i="2"/>
  <c r="S654" i="2"/>
  <c r="P654" i="2"/>
  <c r="M654" i="2"/>
  <c r="L654" i="2"/>
  <c r="K654" i="2"/>
  <c r="G654" i="2"/>
  <c r="E654" i="2"/>
  <c r="B654" i="2"/>
  <c r="S653" i="2"/>
  <c r="P653" i="2"/>
  <c r="M653" i="2"/>
  <c r="L653" i="2"/>
  <c r="K653" i="2"/>
  <c r="G653" i="2"/>
  <c r="E653" i="2"/>
  <c r="B653" i="2"/>
  <c r="S652" i="2"/>
  <c r="P652" i="2"/>
  <c r="M652" i="2"/>
  <c r="L652" i="2"/>
  <c r="K652" i="2"/>
  <c r="G652" i="2"/>
  <c r="E652" i="2"/>
  <c r="B652" i="2"/>
  <c r="S651" i="2"/>
  <c r="P651" i="2"/>
  <c r="M651" i="2"/>
  <c r="L651" i="2"/>
  <c r="K651" i="2"/>
  <c r="G651" i="2"/>
  <c r="E651" i="2"/>
  <c r="B651" i="2"/>
  <c r="S650" i="2"/>
  <c r="P650" i="2"/>
  <c r="M650" i="2"/>
  <c r="L650" i="2"/>
  <c r="K650" i="2"/>
  <c r="G650" i="2"/>
  <c r="E650" i="2"/>
  <c r="B650" i="2"/>
  <c r="S649" i="2"/>
  <c r="P649" i="2"/>
  <c r="M649" i="2"/>
  <c r="L649" i="2"/>
  <c r="K649" i="2"/>
  <c r="G649" i="2"/>
  <c r="E649" i="2"/>
  <c r="B649" i="2"/>
  <c r="S648" i="2"/>
  <c r="P648" i="2"/>
  <c r="M648" i="2"/>
  <c r="L648" i="2"/>
  <c r="K648" i="2"/>
  <c r="G648" i="2"/>
  <c r="E648" i="2"/>
  <c r="B648" i="2"/>
  <c r="S647" i="2"/>
  <c r="P647" i="2"/>
  <c r="M647" i="2"/>
  <c r="L647" i="2"/>
  <c r="K647" i="2"/>
  <c r="G647" i="2"/>
  <c r="E647" i="2"/>
  <c r="B647" i="2"/>
  <c r="S646" i="2"/>
  <c r="P646" i="2"/>
  <c r="M646" i="2"/>
  <c r="L646" i="2"/>
  <c r="K646" i="2"/>
  <c r="G646" i="2"/>
  <c r="E646" i="2"/>
  <c r="B646" i="2"/>
  <c r="S645" i="2"/>
  <c r="P645" i="2"/>
  <c r="M645" i="2"/>
  <c r="L645" i="2"/>
  <c r="K645" i="2"/>
  <c r="G645" i="2"/>
  <c r="E645" i="2"/>
  <c r="B645" i="2"/>
  <c r="S644" i="2"/>
  <c r="P644" i="2"/>
  <c r="M644" i="2"/>
  <c r="L644" i="2"/>
  <c r="K644" i="2"/>
  <c r="G644" i="2"/>
  <c r="E644" i="2"/>
  <c r="B644" i="2"/>
  <c r="S643" i="2"/>
  <c r="P643" i="2"/>
  <c r="M643" i="2"/>
  <c r="L643" i="2"/>
  <c r="K643" i="2"/>
  <c r="G643" i="2"/>
  <c r="E643" i="2"/>
  <c r="B643" i="2"/>
  <c r="S642" i="2"/>
  <c r="P642" i="2"/>
  <c r="M642" i="2"/>
  <c r="L642" i="2"/>
  <c r="K642" i="2"/>
  <c r="G642" i="2"/>
  <c r="E642" i="2"/>
  <c r="B642" i="2"/>
  <c r="S641" i="2"/>
  <c r="P641" i="2"/>
  <c r="M641" i="2"/>
  <c r="L641" i="2"/>
  <c r="K641" i="2"/>
  <c r="G641" i="2"/>
  <c r="E641" i="2"/>
  <c r="B641" i="2"/>
  <c r="S640" i="2"/>
  <c r="P640" i="2"/>
  <c r="M640" i="2"/>
  <c r="L640" i="2"/>
  <c r="K640" i="2"/>
  <c r="G640" i="2"/>
  <c r="E640" i="2"/>
  <c r="B640" i="2"/>
  <c r="S639" i="2"/>
  <c r="P639" i="2"/>
  <c r="M639" i="2"/>
  <c r="L639" i="2"/>
  <c r="K639" i="2"/>
  <c r="G639" i="2"/>
  <c r="E639" i="2"/>
  <c r="B639" i="2"/>
  <c r="S638" i="2"/>
  <c r="P638" i="2"/>
  <c r="M638" i="2"/>
  <c r="L638" i="2"/>
  <c r="K638" i="2"/>
  <c r="G638" i="2"/>
  <c r="E638" i="2"/>
  <c r="B638" i="2"/>
  <c r="S637" i="2"/>
  <c r="P637" i="2"/>
  <c r="M637" i="2"/>
  <c r="L637" i="2"/>
  <c r="K637" i="2"/>
  <c r="G637" i="2"/>
  <c r="E637" i="2"/>
  <c r="B637" i="2"/>
  <c r="S636" i="2"/>
  <c r="P636" i="2"/>
  <c r="M636" i="2"/>
  <c r="L636" i="2"/>
  <c r="K636" i="2"/>
  <c r="G636" i="2"/>
  <c r="E636" i="2"/>
  <c r="B636" i="2"/>
  <c r="S635" i="2"/>
  <c r="P635" i="2"/>
  <c r="M635" i="2"/>
  <c r="L635" i="2"/>
  <c r="K635" i="2"/>
  <c r="G635" i="2"/>
  <c r="E635" i="2"/>
  <c r="B635" i="2"/>
  <c r="S634" i="2"/>
  <c r="P634" i="2"/>
  <c r="M634" i="2"/>
  <c r="L634" i="2"/>
  <c r="K634" i="2"/>
  <c r="G634" i="2"/>
  <c r="E634" i="2"/>
  <c r="B634" i="2"/>
  <c r="S633" i="2"/>
  <c r="P633" i="2"/>
  <c r="M633" i="2"/>
  <c r="L633" i="2"/>
  <c r="K633" i="2"/>
  <c r="G633" i="2"/>
  <c r="E633" i="2"/>
  <c r="B633" i="2"/>
  <c r="S632" i="2"/>
  <c r="P632" i="2"/>
  <c r="M632" i="2"/>
  <c r="L632" i="2"/>
  <c r="K632" i="2"/>
  <c r="G632" i="2"/>
  <c r="E632" i="2"/>
  <c r="B632" i="2"/>
  <c r="S631" i="2"/>
  <c r="P631" i="2"/>
  <c r="M631" i="2"/>
  <c r="L631" i="2"/>
  <c r="K631" i="2"/>
  <c r="G631" i="2"/>
  <c r="E631" i="2"/>
  <c r="B631" i="2"/>
  <c r="S630" i="2"/>
  <c r="P630" i="2"/>
  <c r="M630" i="2"/>
  <c r="L630" i="2"/>
  <c r="K630" i="2"/>
  <c r="G630" i="2"/>
  <c r="E630" i="2"/>
  <c r="B630" i="2"/>
  <c r="S629" i="2"/>
  <c r="P629" i="2"/>
  <c r="M629" i="2"/>
  <c r="L629" i="2"/>
  <c r="K629" i="2"/>
  <c r="G629" i="2"/>
  <c r="E629" i="2"/>
  <c r="B629" i="2"/>
  <c r="S628" i="2"/>
  <c r="P628" i="2"/>
  <c r="M628" i="2"/>
  <c r="L628" i="2"/>
  <c r="K628" i="2"/>
  <c r="G628" i="2"/>
  <c r="E628" i="2"/>
  <c r="B628" i="2"/>
  <c r="S627" i="2"/>
  <c r="P627" i="2"/>
  <c r="M627" i="2"/>
  <c r="L627" i="2"/>
  <c r="K627" i="2"/>
  <c r="G627" i="2"/>
  <c r="E627" i="2"/>
  <c r="B627" i="2"/>
  <c r="S626" i="2"/>
  <c r="P626" i="2"/>
  <c r="M626" i="2"/>
  <c r="L626" i="2"/>
  <c r="K626" i="2"/>
  <c r="G626" i="2"/>
  <c r="E626" i="2"/>
  <c r="B626" i="2"/>
  <c r="S625" i="2"/>
  <c r="P625" i="2"/>
  <c r="M625" i="2"/>
  <c r="L625" i="2"/>
  <c r="K625" i="2"/>
  <c r="G625" i="2"/>
  <c r="E625" i="2"/>
  <c r="B625" i="2"/>
  <c r="S624" i="2"/>
  <c r="P624" i="2"/>
  <c r="M624" i="2"/>
  <c r="L624" i="2"/>
  <c r="K624" i="2"/>
  <c r="G624" i="2"/>
  <c r="E624" i="2"/>
  <c r="B624" i="2"/>
  <c r="S623" i="2"/>
  <c r="P623" i="2"/>
  <c r="M623" i="2"/>
  <c r="L623" i="2"/>
  <c r="K623" i="2"/>
  <c r="G623" i="2"/>
  <c r="E623" i="2"/>
  <c r="B623" i="2"/>
  <c r="S622" i="2"/>
  <c r="P622" i="2"/>
  <c r="M622" i="2"/>
  <c r="L622" i="2"/>
  <c r="K622" i="2"/>
  <c r="G622" i="2"/>
  <c r="E622" i="2"/>
  <c r="B622" i="2"/>
  <c r="S621" i="2"/>
  <c r="P621" i="2"/>
  <c r="M621" i="2"/>
  <c r="L621" i="2"/>
  <c r="K621" i="2"/>
  <c r="G621" i="2"/>
  <c r="E621" i="2"/>
  <c r="B621" i="2"/>
  <c r="S620" i="2"/>
  <c r="P620" i="2"/>
  <c r="M620" i="2"/>
  <c r="L620" i="2"/>
  <c r="K620" i="2"/>
  <c r="G620" i="2"/>
  <c r="E620" i="2"/>
  <c r="B620" i="2"/>
  <c r="S619" i="2"/>
  <c r="P619" i="2"/>
  <c r="M619" i="2"/>
  <c r="L619" i="2"/>
  <c r="K619" i="2"/>
  <c r="G619" i="2"/>
  <c r="E619" i="2"/>
  <c r="B619" i="2"/>
  <c r="S618" i="2"/>
  <c r="P618" i="2"/>
  <c r="M618" i="2"/>
  <c r="L618" i="2"/>
  <c r="K618" i="2"/>
  <c r="G618" i="2"/>
  <c r="E618" i="2"/>
  <c r="B618" i="2"/>
  <c r="S617" i="2"/>
  <c r="P617" i="2"/>
  <c r="M617" i="2"/>
  <c r="L617" i="2"/>
  <c r="K617" i="2"/>
  <c r="G617" i="2"/>
  <c r="E617" i="2"/>
  <c r="B617" i="2"/>
  <c r="S616" i="2"/>
  <c r="P616" i="2"/>
  <c r="M616" i="2"/>
  <c r="L616" i="2"/>
  <c r="K616" i="2"/>
  <c r="G616" i="2"/>
  <c r="E616" i="2"/>
  <c r="B616" i="2"/>
  <c r="S615" i="2"/>
  <c r="P615" i="2"/>
  <c r="M615" i="2"/>
  <c r="L615" i="2"/>
  <c r="K615" i="2"/>
  <c r="G615" i="2"/>
  <c r="E615" i="2"/>
  <c r="B615" i="2"/>
  <c r="S614" i="2"/>
  <c r="P614" i="2"/>
  <c r="M614" i="2"/>
  <c r="L614" i="2"/>
  <c r="K614" i="2"/>
  <c r="G614" i="2"/>
  <c r="E614" i="2"/>
  <c r="B614" i="2"/>
  <c r="S613" i="2"/>
  <c r="P613" i="2"/>
  <c r="M613" i="2"/>
  <c r="L613" i="2"/>
  <c r="K613" i="2"/>
  <c r="G613" i="2"/>
  <c r="E613" i="2"/>
  <c r="B613" i="2"/>
  <c r="S612" i="2"/>
  <c r="P612" i="2"/>
  <c r="M612" i="2"/>
  <c r="L612" i="2"/>
  <c r="K612" i="2"/>
  <c r="G612" i="2"/>
  <c r="E612" i="2"/>
  <c r="B612" i="2"/>
  <c r="S611" i="2"/>
  <c r="P611" i="2"/>
  <c r="M611" i="2"/>
  <c r="L611" i="2"/>
  <c r="K611" i="2"/>
  <c r="G611" i="2"/>
  <c r="E611" i="2"/>
  <c r="B611" i="2"/>
  <c r="S610" i="2"/>
  <c r="P610" i="2"/>
  <c r="M610" i="2"/>
  <c r="L610" i="2"/>
  <c r="K610" i="2"/>
  <c r="G610" i="2"/>
  <c r="E610" i="2"/>
  <c r="B610" i="2"/>
  <c r="S609" i="2"/>
  <c r="P609" i="2"/>
  <c r="M609" i="2"/>
  <c r="L609" i="2"/>
  <c r="K609" i="2"/>
  <c r="G609" i="2"/>
  <c r="E609" i="2"/>
  <c r="B609" i="2"/>
  <c r="S608" i="2"/>
  <c r="P608" i="2"/>
  <c r="M608" i="2"/>
  <c r="L608" i="2"/>
  <c r="K608" i="2"/>
  <c r="G608" i="2"/>
  <c r="E608" i="2"/>
  <c r="B608" i="2"/>
  <c r="S607" i="2"/>
  <c r="P607" i="2"/>
  <c r="M607" i="2"/>
  <c r="L607" i="2"/>
  <c r="K607" i="2"/>
  <c r="G607" i="2"/>
  <c r="E607" i="2"/>
  <c r="B607" i="2"/>
  <c r="S606" i="2"/>
  <c r="P606" i="2"/>
  <c r="M606" i="2"/>
  <c r="L606" i="2"/>
  <c r="K606" i="2"/>
  <c r="G606" i="2"/>
  <c r="E606" i="2"/>
  <c r="B606" i="2"/>
  <c r="S605" i="2"/>
  <c r="P605" i="2"/>
  <c r="M605" i="2"/>
  <c r="L605" i="2"/>
  <c r="K605" i="2"/>
  <c r="G605" i="2"/>
  <c r="E605" i="2"/>
  <c r="B605" i="2"/>
  <c r="S604" i="2"/>
  <c r="P604" i="2"/>
  <c r="M604" i="2"/>
  <c r="L604" i="2"/>
  <c r="K604" i="2"/>
  <c r="G604" i="2"/>
  <c r="E604" i="2"/>
  <c r="B604" i="2"/>
  <c r="S603" i="2"/>
  <c r="P603" i="2"/>
  <c r="M603" i="2"/>
  <c r="L603" i="2"/>
  <c r="K603" i="2"/>
  <c r="G603" i="2"/>
  <c r="E603" i="2"/>
  <c r="B603" i="2"/>
  <c r="S602" i="2"/>
  <c r="P602" i="2"/>
  <c r="M602" i="2"/>
  <c r="L602" i="2"/>
  <c r="K602" i="2"/>
  <c r="G602" i="2"/>
  <c r="E602" i="2"/>
  <c r="B602" i="2"/>
  <c r="S601" i="2"/>
  <c r="P601" i="2"/>
  <c r="M601" i="2"/>
  <c r="L601" i="2"/>
  <c r="K601" i="2"/>
  <c r="G601" i="2"/>
  <c r="E601" i="2"/>
  <c r="B601" i="2"/>
  <c r="S600" i="2"/>
  <c r="P600" i="2"/>
  <c r="M600" i="2"/>
  <c r="L600" i="2"/>
  <c r="K600" i="2"/>
  <c r="G600" i="2"/>
  <c r="E600" i="2"/>
  <c r="B600" i="2"/>
  <c r="S599" i="2"/>
  <c r="P599" i="2"/>
  <c r="M599" i="2"/>
  <c r="L599" i="2"/>
  <c r="K599" i="2"/>
  <c r="G599" i="2"/>
  <c r="E599" i="2"/>
  <c r="B599" i="2"/>
  <c r="S598" i="2"/>
  <c r="P598" i="2"/>
  <c r="M598" i="2"/>
  <c r="L598" i="2"/>
  <c r="K598" i="2"/>
  <c r="G598" i="2"/>
  <c r="E598" i="2"/>
  <c r="B598" i="2"/>
  <c r="S597" i="2"/>
  <c r="P597" i="2"/>
  <c r="M597" i="2"/>
  <c r="L597" i="2"/>
  <c r="K597" i="2"/>
  <c r="G597" i="2"/>
  <c r="E597" i="2"/>
  <c r="B597" i="2"/>
  <c r="S596" i="2"/>
  <c r="P596" i="2"/>
  <c r="M596" i="2"/>
  <c r="L596" i="2"/>
  <c r="K596" i="2"/>
  <c r="G596" i="2"/>
  <c r="E596" i="2"/>
  <c r="B596" i="2"/>
  <c r="S595" i="2"/>
  <c r="P595" i="2"/>
  <c r="M595" i="2"/>
  <c r="L595" i="2"/>
  <c r="K595" i="2"/>
  <c r="G595" i="2"/>
  <c r="E595" i="2"/>
  <c r="B595" i="2"/>
  <c r="S594" i="2"/>
  <c r="P594" i="2"/>
  <c r="M594" i="2"/>
  <c r="L594" i="2"/>
  <c r="K594" i="2"/>
  <c r="G594" i="2"/>
  <c r="E594" i="2"/>
  <c r="B594" i="2"/>
  <c r="S593" i="2"/>
  <c r="P593" i="2"/>
  <c r="M593" i="2"/>
  <c r="L593" i="2"/>
  <c r="K593" i="2"/>
  <c r="G593" i="2"/>
  <c r="E593" i="2"/>
  <c r="B593" i="2"/>
  <c r="S592" i="2"/>
  <c r="P592" i="2"/>
  <c r="M592" i="2"/>
  <c r="L592" i="2"/>
  <c r="K592" i="2"/>
  <c r="G592" i="2"/>
  <c r="E592" i="2"/>
  <c r="B592" i="2"/>
  <c r="S591" i="2"/>
  <c r="P591" i="2"/>
  <c r="M591" i="2"/>
  <c r="L591" i="2"/>
  <c r="K591" i="2"/>
  <c r="G591" i="2"/>
  <c r="E591" i="2"/>
  <c r="B591" i="2"/>
  <c r="S590" i="2"/>
  <c r="P590" i="2"/>
  <c r="M590" i="2"/>
  <c r="L590" i="2"/>
  <c r="K590" i="2"/>
  <c r="G590" i="2"/>
  <c r="E590" i="2"/>
  <c r="B590" i="2"/>
  <c r="S589" i="2"/>
  <c r="P589" i="2"/>
  <c r="M589" i="2"/>
  <c r="L589" i="2"/>
  <c r="K589" i="2"/>
  <c r="G589" i="2"/>
  <c r="E589" i="2"/>
  <c r="B589" i="2"/>
  <c r="S588" i="2"/>
  <c r="P588" i="2"/>
  <c r="M588" i="2"/>
  <c r="L588" i="2"/>
  <c r="K588" i="2"/>
  <c r="G588" i="2"/>
  <c r="E588" i="2"/>
  <c r="B588" i="2"/>
  <c r="S587" i="2"/>
  <c r="P587" i="2"/>
  <c r="M587" i="2"/>
  <c r="L587" i="2"/>
  <c r="K587" i="2"/>
  <c r="G587" i="2"/>
  <c r="E587" i="2"/>
  <c r="B587" i="2"/>
  <c r="S586" i="2"/>
  <c r="P586" i="2"/>
  <c r="M586" i="2"/>
  <c r="L586" i="2"/>
  <c r="K586" i="2"/>
  <c r="G586" i="2"/>
  <c r="E586" i="2"/>
  <c r="B586" i="2"/>
  <c r="S585" i="2"/>
  <c r="P585" i="2"/>
  <c r="M585" i="2"/>
  <c r="L585" i="2"/>
  <c r="K585" i="2"/>
  <c r="G585" i="2"/>
  <c r="E585" i="2"/>
  <c r="B585" i="2"/>
  <c r="S584" i="2"/>
  <c r="P584" i="2"/>
  <c r="M584" i="2"/>
  <c r="L584" i="2"/>
  <c r="K584" i="2"/>
  <c r="G584" i="2"/>
  <c r="E584" i="2"/>
  <c r="B584" i="2"/>
  <c r="S583" i="2"/>
  <c r="P583" i="2"/>
  <c r="M583" i="2"/>
  <c r="L583" i="2"/>
  <c r="K583" i="2"/>
  <c r="G583" i="2"/>
  <c r="E583" i="2"/>
  <c r="B583" i="2"/>
  <c r="S582" i="2"/>
  <c r="P582" i="2"/>
  <c r="M582" i="2"/>
  <c r="L582" i="2"/>
  <c r="K582" i="2"/>
  <c r="G582" i="2"/>
  <c r="E582" i="2"/>
  <c r="B582" i="2"/>
  <c r="S581" i="2"/>
  <c r="P581" i="2"/>
  <c r="M581" i="2"/>
  <c r="L581" i="2"/>
  <c r="K581" i="2"/>
  <c r="G581" i="2"/>
  <c r="E581" i="2"/>
  <c r="B581" i="2"/>
  <c r="S580" i="2"/>
  <c r="P580" i="2"/>
  <c r="M580" i="2"/>
  <c r="L580" i="2"/>
  <c r="K580" i="2"/>
  <c r="G580" i="2"/>
  <c r="E580" i="2"/>
  <c r="B580" i="2"/>
  <c r="S579" i="2"/>
  <c r="P579" i="2"/>
  <c r="M579" i="2"/>
  <c r="L579" i="2"/>
  <c r="K579" i="2"/>
  <c r="G579" i="2"/>
  <c r="E579" i="2"/>
  <c r="B579" i="2"/>
  <c r="S578" i="2"/>
  <c r="P578" i="2"/>
  <c r="M578" i="2"/>
  <c r="L578" i="2"/>
  <c r="K578" i="2"/>
  <c r="G578" i="2"/>
  <c r="E578" i="2"/>
  <c r="B578" i="2"/>
  <c r="S577" i="2"/>
  <c r="P577" i="2"/>
  <c r="M577" i="2"/>
  <c r="L577" i="2"/>
  <c r="K577" i="2"/>
  <c r="G577" i="2"/>
  <c r="E577" i="2"/>
  <c r="B577" i="2"/>
  <c r="S576" i="2"/>
  <c r="P576" i="2"/>
  <c r="M576" i="2"/>
  <c r="L576" i="2"/>
  <c r="K576" i="2"/>
  <c r="G576" i="2"/>
  <c r="E576" i="2"/>
  <c r="B576" i="2"/>
  <c r="S575" i="2"/>
  <c r="P575" i="2"/>
  <c r="M575" i="2"/>
  <c r="L575" i="2"/>
  <c r="K575" i="2"/>
  <c r="G575" i="2"/>
  <c r="E575" i="2"/>
  <c r="B575" i="2"/>
  <c r="S574" i="2"/>
  <c r="P574" i="2"/>
  <c r="M574" i="2"/>
  <c r="L574" i="2"/>
  <c r="K574" i="2"/>
  <c r="G574" i="2"/>
  <c r="E574" i="2"/>
  <c r="B574" i="2"/>
  <c r="S573" i="2"/>
  <c r="P573" i="2"/>
  <c r="M573" i="2"/>
  <c r="L573" i="2"/>
  <c r="K573" i="2"/>
  <c r="G573" i="2"/>
  <c r="E573" i="2"/>
  <c r="B573" i="2"/>
  <c r="S572" i="2"/>
  <c r="P572" i="2"/>
  <c r="M572" i="2"/>
  <c r="L572" i="2"/>
  <c r="K572" i="2"/>
  <c r="G572" i="2"/>
  <c r="E572" i="2"/>
  <c r="B572" i="2"/>
  <c r="S571" i="2"/>
  <c r="P571" i="2"/>
  <c r="M571" i="2"/>
  <c r="L571" i="2"/>
  <c r="K571" i="2"/>
  <c r="G571" i="2"/>
  <c r="E571" i="2"/>
  <c r="B571" i="2"/>
  <c r="S570" i="2"/>
  <c r="P570" i="2"/>
  <c r="M570" i="2"/>
  <c r="L570" i="2"/>
  <c r="K570" i="2"/>
  <c r="G570" i="2"/>
  <c r="E570" i="2"/>
  <c r="B570" i="2"/>
  <c r="S569" i="2"/>
  <c r="P569" i="2"/>
  <c r="M569" i="2"/>
  <c r="L569" i="2"/>
  <c r="K569" i="2"/>
  <c r="G569" i="2"/>
  <c r="E569" i="2"/>
  <c r="B569" i="2"/>
  <c r="S568" i="2"/>
  <c r="P568" i="2"/>
  <c r="M568" i="2"/>
  <c r="L568" i="2"/>
  <c r="K568" i="2"/>
  <c r="G568" i="2"/>
  <c r="E568" i="2"/>
  <c r="B568" i="2"/>
  <c r="S567" i="2"/>
  <c r="P567" i="2"/>
  <c r="M567" i="2"/>
  <c r="L567" i="2"/>
  <c r="K567" i="2"/>
  <c r="G567" i="2"/>
  <c r="E567" i="2"/>
  <c r="B567" i="2"/>
  <c r="S566" i="2"/>
  <c r="P566" i="2"/>
  <c r="M566" i="2"/>
  <c r="L566" i="2"/>
  <c r="K566" i="2"/>
  <c r="G566" i="2"/>
  <c r="E566" i="2"/>
  <c r="B566" i="2"/>
  <c r="S565" i="2"/>
  <c r="P565" i="2"/>
  <c r="M565" i="2"/>
  <c r="L565" i="2"/>
  <c r="K565" i="2"/>
  <c r="G565" i="2"/>
  <c r="E565" i="2"/>
  <c r="B565" i="2"/>
  <c r="S564" i="2"/>
  <c r="P564" i="2"/>
  <c r="M564" i="2"/>
  <c r="L564" i="2"/>
  <c r="K564" i="2"/>
  <c r="G564" i="2"/>
  <c r="E564" i="2"/>
  <c r="B564" i="2"/>
  <c r="S563" i="2"/>
  <c r="P563" i="2"/>
  <c r="M563" i="2"/>
  <c r="L563" i="2"/>
  <c r="K563" i="2"/>
  <c r="G563" i="2"/>
  <c r="E563" i="2"/>
  <c r="B563" i="2"/>
  <c r="S562" i="2"/>
  <c r="P562" i="2"/>
  <c r="M562" i="2"/>
  <c r="L562" i="2"/>
  <c r="K562" i="2"/>
  <c r="G562" i="2"/>
  <c r="E562" i="2"/>
  <c r="B562" i="2"/>
  <c r="S561" i="2"/>
  <c r="P561" i="2"/>
  <c r="M561" i="2"/>
  <c r="L561" i="2"/>
  <c r="K561" i="2"/>
  <c r="G561" i="2"/>
  <c r="E561" i="2"/>
  <c r="B561" i="2"/>
  <c r="S560" i="2"/>
  <c r="P560" i="2"/>
  <c r="M560" i="2"/>
  <c r="L560" i="2"/>
  <c r="K560" i="2"/>
  <c r="G560" i="2"/>
  <c r="E560" i="2"/>
  <c r="B560" i="2"/>
  <c r="S559" i="2"/>
  <c r="P559" i="2"/>
  <c r="M559" i="2"/>
  <c r="L559" i="2"/>
  <c r="K559" i="2"/>
  <c r="G559" i="2"/>
  <c r="E559" i="2"/>
  <c r="B559" i="2"/>
  <c r="S558" i="2"/>
  <c r="P558" i="2"/>
  <c r="M558" i="2"/>
  <c r="L558" i="2"/>
  <c r="K558" i="2"/>
  <c r="G558" i="2"/>
  <c r="E558" i="2"/>
  <c r="B558" i="2"/>
  <c r="S557" i="2"/>
  <c r="P557" i="2"/>
  <c r="M557" i="2"/>
  <c r="L557" i="2"/>
  <c r="K557" i="2"/>
  <c r="G557" i="2"/>
  <c r="E557" i="2"/>
  <c r="B557" i="2"/>
  <c r="S556" i="2"/>
  <c r="P556" i="2"/>
  <c r="M556" i="2"/>
  <c r="L556" i="2"/>
  <c r="K556" i="2"/>
  <c r="G556" i="2"/>
  <c r="E556" i="2"/>
  <c r="B556" i="2"/>
  <c r="S555" i="2"/>
  <c r="P555" i="2"/>
  <c r="M555" i="2"/>
  <c r="L555" i="2"/>
  <c r="K555" i="2"/>
  <c r="G555" i="2"/>
  <c r="E555" i="2"/>
  <c r="B555" i="2"/>
  <c r="S554" i="2"/>
  <c r="P554" i="2"/>
  <c r="M554" i="2"/>
  <c r="L554" i="2"/>
  <c r="K554" i="2"/>
  <c r="G554" i="2"/>
  <c r="E554" i="2"/>
  <c r="B554" i="2"/>
  <c r="S553" i="2"/>
  <c r="P553" i="2"/>
  <c r="M553" i="2"/>
  <c r="L553" i="2"/>
  <c r="K553" i="2"/>
  <c r="G553" i="2"/>
  <c r="E553" i="2"/>
  <c r="B553" i="2"/>
  <c r="S552" i="2"/>
  <c r="P552" i="2"/>
  <c r="M552" i="2"/>
  <c r="L552" i="2"/>
  <c r="K552" i="2"/>
  <c r="G552" i="2"/>
  <c r="E552" i="2"/>
  <c r="B552" i="2"/>
  <c r="S551" i="2"/>
  <c r="P551" i="2"/>
  <c r="M551" i="2"/>
  <c r="L551" i="2"/>
  <c r="K551" i="2"/>
  <c r="G551" i="2"/>
  <c r="E551" i="2"/>
  <c r="B551" i="2"/>
  <c r="S550" i="2"/>
  <c r="P550" i="2"/>
  <c r="M550" i="2"/>
  <c r="L550" i="2"/>
  <c r="K550" i="2"/>
  <c r="G550" i="2"/>
  <c r="E550" i="2"/>
  <c r="B550" i="2"/>
  <c r="S549" i="2"/>
  <c r="P549" i="2"/>
  <c r="M549" i="2"/>
  <c r="L549" i="2"/>
  <c r="K549" i="2"/>
  <c r="G549" i="2"/>
  <c r="E549" i="2"/>
  <c r="B549" i="2"/>
  <c r="S548" i="2"/>
  <c r="P548" i="2"/>
  <c r="M548" i="2"/>
  <c r="L548" i="2"/>
  <c r="K548" i="2"/>
  <c r="G548" i="2"/>
  <c r="E548" i="2"/>
  <c r="B548" i="2"/>
  <c r="S547" i="2"/>
  <c r="P547" i="2"/>
  <c r="M547" i="2"/>
  <c r="L547" i="2"/>
  <c r="K547" i="2"/>
  <c r="G547" i="2"/>
  <c r="E547" i="2"/>
  <c r="B547" i="2"/>
  <c r="S546" i="2"/>
  <c r="P546" i="2"/>
  <c r="M546" i="2"/>
  <c r="L546" i="2"/>
  <c r="K546" i="2"/>
  <c r="G546" i="2"/>
  <c r="E546" i="2"/>
  <c r="B546" i="2"/>
  <c r="S545" i="2"/>
  <c r="P545" i="2"/>
  <c r="M545" i="2"/>
  <c r="L545" i="2"/>
  <c r="K545" i="2"/>
  <c r="G545" i="2"/>
  <c r="E545" i="2"/>
  <c r="B545" i="2"/>
  <c r="S544" i="2"/>
  <c r="P544" i="2"/>
  <c r="M544" i="2"/>
  <c r="L544" i="2"/>
  <c r="K544" i="2"/>
  <c r="G544" i="2"/>
  <c r="E544" i="2"/>
  <c r="B544" i="2"/>
  <c r="S543" i="2"/>
  <c r="P543" i="2"/>
  <c r="M543" i="2"/>
  <c r="L543" i="2"/>
  <c r="K543" i="2"/>
  <c r="G543" i="2"/>
  <c r="E543" i="2"/>
  <c r="B543" i="2"/>
  <c r="S542" i="2"/>
  <c r="P542" i="2"/>
  <c r="M542" i="2"/>
  <c r="L542" i="2"/>
  <c r="K542" i="2"/>
  <c r="G542" i="2"/>
  <c r="E542" i="2"/>
  <c r="B542" i="2"/>
  <c r="S541" i="2"/>
  <c r="P541" i="2"/>
  <c r="M541" i="2"/>
  <c r="L541" i="2"/>
  <c r="K541" i="2"/>
  <c r="G541" i="2"/>
  <c r="E541" i="2"/>
  <c r="B541" i="2"/>
  <c r="S540" i="2"/>
  <c r="P540" i="2"/>
  <c r="M540" i="2"/>
  <c r="L540" i="2"/>
  <c r="K540" i="2"/>
  <c r="G540" i="2"/>
  <c r="E540" i="2"/>
  <c r="B540" i="2"/>
  <c r="S539" i="2"/>
  <c r="P539" i="2"/>
  <c r="M539" i="2"/>
  <c r="L539" i="2"/>
  <c r="K539" i="2"/>
  <c r="G539" i="2"/>
  <c r="E539" i="2"/>
  <c r="B539" i="2"/>
  <c r="S538" i="2"/>
  <c r="P538" i="2"/>
  <c r="M538" i="2"/>
  <c r="L538" i="2"/>
  <c r="K538" i="2"/>
  <c r="G538" i="2"/>
  <c r="E538" i="2"/>
  <c r="B538" i="2"/>
  <c r="S537" i="2"/>
  <c r="P537" i="2"/>
  <c r="M537" i="2"/>
  <c r="L537" i="2"/>
  <c r="K537" i="2"/>
  <c r="G537" i="2"/>
  <c r="E537" i="2"/>
  <c r="B537" i="2"/>
  <c r="S536" i="2"/>
  <c r="P536" i="2"/>
  <c r="M536" i="2"/>
  <c r="L536" i="2"/>
  <c r="K536" i="2"/>
  <c r="G536" i="2"/>
  <c r="E536" i="2"/>
  <c r="B536" i="2"/>
  <c r="S535" i="2"/>
  <c r="P535" i="2"/>
  <c r="M535" i="2"/>
  <c r="L535" i="2"/>
  <c r="K535" i="2"/>
  <c r="G535" i="2"/>
  <c r="E535" i="2"/>
  <c r="B535" i="2"/>
  <c r="S534" i="2"/>
  <c r="P534" i="2"/>
  <c r="M534" i="2"/>
  <c r="L534" i="2"/>
  <c r="K534" i="2"/>
  <c r="H534" i="2"/>
  <c r="G534" i="2"/>
  <c r="E534" i="2"/>
  <c r="B534" i="2"/>
  <c r="S533" i="2"/>
  <c r="P533" i="2"/>
  <c r="M533" i="2"/>
  <c r="L533" i="2"/>
  <c r="K533" i="2"/>
  <c r="H533" i="2"/>
  <c r="G533" i="2"/>
  <c r="E533" i="2"/>
  <c r="B533" i="2"/>
  <c r="S532" i="2"/>
  <c r="P532" i="2"/>
  <c r="M532" i="2"/>
  <c r="L532" i="2"/>
  <c r="K532" i="2"/>
  <c r="H532" i="2"/>
  <c r="G532" i="2"/>
  <c r="E532" i="2"/>
  <c r="B532" i="2"/>
  <c r="S531" i="2"/>
  <c r="P531" i="2"/>
  <c r="M531" i="2"/>
  <c r="L531" i="2"/>
  <c r="K531" i="2"/>
  <c r="H531" i="2"/>
  <c r="G531" i="2"/>
  <c r="E531" i="2"/>
  <c r="B531" i="2"/>
  <c r="S530" i="2"/>
  <c r="P530" i="2"/>
  <c r="M530" i="2"/>
  <c r="L530" i="2"/>
  <c r="K530" i="2"/>
  <c r="H530" i="2"/>
  <c r="G530" i="2"/>
  <c r="E530" i="2"/>
  <c r="B530" i="2"/>
  <c r="S529" i="2"/>
  <c r="P529" i="2"/>
  <c r="M529" i="2"/>
  <c r="L529" i="2"/>
  <c r="K529" i="2"/>
  <c r="G529" i="2"/>
  <c r="E529" i="2"/>
  <c r="B529" i="2"/>
  <c r="S528" i="2"/>
  <c r="P528" i="2"/>
  <c r="M528" i="2"/>
  <c r="L528" i="2"/>
  <c r="K528" i="2"/>
  <c r="G528" i="2"/>
  <c r="E528" i="2"/>
  <c r="B528" i="2"/>
  <c r="S527" i="2"/>
  <c r="P527" i="2"/>
  <c r="M527" i="2"/>
  <c r="L527" i="2"/>
  <c r="K527" i="2"/>
  <c r="H527" i="2"/>
  <c r="G527" i="2"/>
  <c r="E527" i="2"/>
  <c r="B527" i="2"/>
  <c r="S526" i="2"/>
  <c r="P526" i="2"/>
  <c r="M526" i="2"/>
  <c r="L526" i="2"/>
  <c r="K526" i="2"/>
  <c r="G526" i="2"/>
  <c r="E526" i="2"/>
  <c r="B526" i="2"/>
  <c r="S525" i="2"/>
  <c r="P525" i="2"/>
  <c r="M525" i="2"/>
  <c r="L525" i="2"/>
  <c r="K525" i="2"/>
  <c r="G525" i="2"/>
  <c r="E525" i="2"/>
  <c r="B525" i="2"/>
  <c r="S524" i="2"/>
  <c r="P524" i="2"/>
  <c r="M524" i="2"/>
  <c r="L524" i="2"/>
  <c r="K524" i="2"/>
  <c r="G524" i="2"/>
  <c r="E524" i="2"/>
  <c r="B524" i="2"/>
  <c r="S523" i="2"/>
  <c r="P523" i="2"/>
  <c r="M523" i="2"/>
  <c r="L523" i="2"/>
  <c r="K523" i="2"/>
  <c r="G523" i="2"/>
  <c r="E523" i="2"/>
  <c r="B523" i="2"/>
  <c r="S522" i="2"/>
  <c r="P522" i="2"/>
  <c r="M522" i="2"/>
  <c r="L522" i="2"/>
  <c r="K522" i="2"/>
  <c r="G522" i="2"/>
  <c r="E522" i="2"/>
  <c r="B522" i="2"/>
  <c r="S521" i="2"/>
  <c r="P521" i="2"/>
  <c r="M521" i="2"/>
  <c r="L521" i="2"/>
  <c r="K521" i="2"/>
  <c r="G521" i="2"/>
  <c r="E521" i="2"/>
  <c r="B521" i="2"/>
  <c r="S520" i="2"/>
  <c r="P520" i="2"/>
  <c r="M520" i="2"/>
  <c r="L520" i="2"/>
  <c r="K520" i="2"/>
  <c r="G520" i="2"/>
  <c r="E520" i="2"/>
  <c r="B520" i="2"/>
  <c r="S519" i="2"/>
  <c r="P519" i="2"/>
  <c r="M519" i="2"/>
  <c r="L519" i="2"/>
  <c r="K519" i="2"/>
  <c r="G519" i="2"/>
  <c r="E519" i="2"/>
  <c r="B519" i="2"/>
  <c r="S518" i="2"/>
  <c r="P518" i="2"/>
  <c r="M518" i="2"/>
  <c r="L518" i="2"/>
  <c r="K518" i="2"/>
  <c r="G518" i="2"/>
  <c r="E518" i="2"/>
  <c r="B518" i="2"/>
  <c r="S517" i="2"/>
  <c r="P517" i="2"/>
  <c r="M517" i="2"/>
  <c r="L517" i="2"/>
  <c r="K517" i="2"/>
  <c r="G517" i="2"/>
  <c r="E517" i="2"/>
  <c r="B517" i="2"/>
  <c r="S516" i="2"/>
  <c r="P516" i="2"/>
  <c r="M516" i="2"/>
  <c r="L516" i="2"/>
  <c r="K516" i="2"/>
  <c r="G516" i="2"/>
  <c r="E516" i="2"/>
  <c r="B516" i="2"/>
  <c r="S515" i="2"/>
  <c r="P515" i="2"/>
  <c r="M515" i="2"/>
  <c r="L515" i="2"/>
  <c r="K515" i="2"/>
  <c r="G515" i="2"/>
  <c r="E515" i="2"/>
  <c r="B515" i="2"/>
  <c r="S514" i="2"/>
  <c r="P514" i="2"/>
  <c r="M514" i="2"/>
  <c r="L514" i="2"/>
  <c r="K514" i="2"/>
  <c r="G514" i="2"/>
  <c r="E514" i="2"/>
  <c r="B514" i="2"/>
  <c r="S513" i="2"/>
  <c r="P513" i="2"/>
  <c r="M513" i="2"/>
  <c r="L513" i="2"/>
  <c r="K513" i="2"/>
  <c r="G513" i="2"/>
  <c r="E513" i="2"/>
  <c r="B513" i="2"/>
  <c r="S512" i="2"/>
  <c r="P512" i="2"/>
  <c r="M512" i="2"/>
  <c r="L512" i="2"/>
  <c r="K512" i="2"/>
  <c r="G512" i="2"/>
  <c r="E512" i="2"/>
  <c r="B512" i="2"/>
  <c r="S511" i="2"/>
  <c r="P511" i="2"/>
  <c r="M511" i="2"/>
  <c r="L511" i="2"/>
  <c r="K511" i="2"/>
  <c r="G511" i="2"/>
  <c r="E511" i="2"/>
  <c r="B511" i="2"/>
  <c r="S510" i="2"/>
  <c r="P510" i="2"/>
  <c r="M510" i="2"/>
  <c r="L510" i="2"/>
  <c r="K510" i="2"/>
  <c r="G510" i="2"/>
  <c r="E510" i="2"/>
  <c r="B510" i="2"/>
  <c r="S509" i="2"/>
  <c r="P509" i="2"/>
  <c r="M509" i="2"/>
  <c r="L509" i="2"/>
  <c r="K509" i="2"/>
  <c r="G509" i="2"/>
  <c r="E509" i="2"/>
  <c r="B509" i="2"/>
  <c r="S508" i="2"/>
  <c r="P508" i="2"/>
  <c r="M508" i="2"/>
  <c r="L508" i="2"/>
  <c r="K508" i="2"/>
  <c r="G508" i="2"/>
  <c r="E508" i="2"/>
  <c r="B508" i="2"/>
  <c r="S507" i="2"/>
  <c r="P507" i="2"/>
  <c r="M507" i="2"/>
  <c r="L507" i="2"/>
  <c r="K507" i="2"/>
  <c r="G507" i="2"/>
  <c r="E507" i="2"/>
  <c r="B507" i="2"/>
  <c r="S506" i="2"/>
  <c r="P506" i="2"/>
  <c r="M506" i="2"/>
  <c r="L506" i="2"/>
  <c r="K506" i="2"/>
  <c r="G506" i="2"/>
  <c r="E506" i="2"/>
  <c r="B506" i="2"/>
  <c r="S505" i="2"/>
  <c r="P505" i="2"/>
  <c r="M505" i="2"/>
  <c r="L505" i="2"/>
  <c r="K505" i="2"/>
  <c r="G505" i="2"/>
  <c r="E505" i="2"/>
  <c r="B505" i="2"/>
  <c r="S504" i="2"/>
  <c r="P504" i="2"/>
  <c r="M504" i="2"/>
  <c r="L504" i="2"/>
  <c r="K504" i="2"/>
  <c r="G504" i="2"/>
  <c r="E504" i="2"/>
  <c r="B504" i="2"/>
  <c r="S503" i="2"/>
  <c r="P503" i="2"/>
  <c r="M503" i="2"/>
  <c r="L503" i="2"/>
  <c r="K503" i="2"/>
  <c r="G503" i="2"/>
  <c r="E503" i="2"/>
  <c r="B503" i="2"/>
  <c r="S502" i="2"/>
  <c r="P502" i="2"/>
  <c r="M502" i="2"/>
  <c r="L502" i="2"/>
  <c r="K502" i="2"/>
  <c r="G502" i="2"/>
  <c r="E502" i="2"/>
  <c r="B502" i="2"/>
  <c r="S501" i="2"/>
  <c r="P501" i="2"/>
  <c r="M501" i="2"/>
  <c r="L501" i="2"/>
  <c r="K501" i="2"/>
  <c r="G501" i="2"/>
  <c r="E501" i="2"/>
  <c r="B501" i="2"/>
  <c r="S500" i="2"/>
  <c r="P500" i="2"/>
  <c r="M500" i="2"/>
  <c r="L500" i="2"/>
  <c r="K500" i="2"/>
  <c r="G500" i="2"/>
  <c r="E500" i="2"/>
  <c r="B500" i="2"/>
  <c r="S499" i="2"/>
  <c r="P499" i="2"/>
  <c r="M499" i="2"/>
  <c r="L499" i="2"/>
  <c r="K499" i="2"/>
  <c r="G499" i="2"/>
  <c r="E499" i="2"/>
  <c r="B499" i="2"/>
  <c r="S498" i="2"/>
  <c r="P498" i="2"/>
  <c r="M498" i="2"/>
  <c r="L498" i="2"/>
  <c r="K498" i="2"/>
  <c r="G498" i="2"/>
  <c r="E498" i="2"/>
  <c r="B498" i="2"/>
  <c r="S497" i="2"/>
  <c r="P497" i="2"/>
  <c r="M497" i="2"/>
  <c r="L497" i="2"/>
  <c r="K497" i="2"/>
  <c r="G497" i="2"/>
  <c r="E497" i="2"/>
  <c r="B497" i="2"/>
  <c r="S496" i="2"/>
  <c r="P496" i="2"/>
  <c r="M496" i="2"/>
  <c r="L496" i="2"/>
  <c r="K496" i="2"/>
  <c r="G496" i="2"/>
  <c r="E496" i="2"/>
  <c r="B496" i="2"/>
  <c r="S495" i="2"/>
  <c r="P495" i="2"/>
  <c r="M495" i="2"/>
  <c r="L495" i="2"/>
  <c r="K495" i="2"/>
  <c r="G495" i="2"/>
  <c r="E495" i="2"/>
  <c r="B495" i="2"/>
  <c r="S494" i="2"/>
  <c r="P494" i="2"/>
  <c r="M494" i="2"/>
  <c r="L494" i="2"/>
  <c r="K494" i="2"/>
  <c r="G494" i="2"/>
  <c r="E494" i="2"/>
  <c r="B494" i="2"/>
  <c r="S493" i="2"/>
  <c r="P493" i="2"/>
  <c r="M493" i="2"/>
  <c r="L493" i="2"/>
  <c r="K493" i="2"/>
  <c r="G493" i="2"/>
  <c r="E493" i="2"/>
  <c r="B493" i="2"/>
  <c r="S492" i="2"/>
  <c r="P492" i="2"/>
  <c r="M492" i="2"/>
  <c r="L492" i="2"/>
  <c r="K492" i="2"/>
  <c r="G492" i="2"/>
  <c r="E492" i="2"/>
  <c r="B492" i="2"/>
  <c r="S491" i="2"/>
  <c r="P491" i="2"/>
  <c r="M491" i="2"/>
  <c r="L491" i="2"/>
  <c r="K491" i="2"/>
  <c r="G491" i="2"/>
  <c r="E491" i="2"/>
  <c r="B491" i="2"/>
  <c r="S490" i="2"/>
  <c r="P490" i="2"/>
  <c r="M490" i="2"/>
  <c r="L490" i="2"/>
  <c r="K490" i="2"/>
  <c r="G490" i="2"/>
  <c r="E490" i="2"/>
  <c r="B490" i="2"/>
  <c r="S489" i="2"/>
  <c r="P489" i="2"/>
  <c r="M489" i="2"/>
  <c r="L489" i="2"/>
  <c r="K489" i="2"/>
  <c r="G489" i="2"/>
  <c r="E489" i="2"/>
  <c r="B489" i="2"/>
  <c r="S488" i="2"/>
  <c r="P488" i="2"/>
  <c r="M488" i="2"/>
  <c r="L488" i="2"/>
  <c r="K488" i="2"/>
  <c r="G488" i="2"/>
  <c r="E488" i="2"/>
  <c r="B488" i="2"/>
  <c r="S487" i="2"/>
  <c r="P487" i="2"/>
  <c r="M487" i="2"/>
  <c r="L487" i="2"/>
  <c r="K487" i="2"/>
  <c r="G487" i="2"/>
  <c r="E487" i="2"/>
  <c r="B487" i="2"/>
  <c r="S486" i="2"/>
  <c r="P486" i="2"/>
  <c r="M486" i="2"/>
  <c r="L486" i="2"/>
  <c r="K486" i="2"/>
  <c r="G486" i="2"/>
  <c r="E486" i="2"/>
  <c r="B486" i="2"/>
  <c r="S485" i="2"/>
  <c r="P485" i="2"/>
  <c r="M485" i="2"/>
  <c r="L485" i="2"/>
  <c r="K485" i="2"/>
  <c r="G485" i="2"/>
  <c r="E485" i="2"/>
  <c r="B485" i="2"/>
  <c r="S484" i="2"/>
  <c r="P484" i="2"/>
  <c r="M484" i="2"/>
  <c r="L484" i="2"/>
  <c r="K484" i="2"/>
  <c r="G484" i="2"/>
  <c r="E484" i="2"/>
  <c r="B484" i="2"/>
  <c r="S483" i="2"/>
  <c r="P483" i="2"/>
  <c r="M483" i="2"/>
  <c r="L483" i="2"/>
  <c r="K483" i="2"/>
  <c r="G483" i="2"/>
  <c r="E483" i="2"/>
  <c r="B483" i="2"/>
  <c r="S482" i="2"/>
  <c r="P482" i="2"/>
  <c r="M482" i="2"/>
  <c r="L482" i="2"/>
  <c r="K482" i="2"/>
  <c r="G482" i="2"/>
  <c r="E482" i="2"/>
  <c r="B482" i="2"/>
  <c r="S481" i="2"/>
  <c r="P481" i="2"/>
  <c r="M481" i="2"/>
  <c r="L481" i="2"/>
  <c r="K481" i="2"/>
  <c r="G481" i="2"/>
  <c r="E481" i="2"/>
  <c r="B481" i="2"/>
  <c r="S480" i="2"/>
  <c r="P480" i="2"/>
  <c r="M480" i="2"/>
  <c r="L480" i="2"/>
  <c r="K480" i="2"/>
  <c r="G480" i="2"/>
  <c r="E480" i="2"/>
  <c r="B480" i="2"/>
  <c r="S479" i="2"/>
  <c r="P479" i="2"/>
  <c r="M479" i="2"/>
  <c r="L479" i="2"/>
  <c r="K479" i="2"/>
  <c r="G479" i="2"/>
  <c r="E479" i="2"/>
  <c r="B479" i="2"/>
  <c r="S478" i="2"/>
  <c r="P478" i="2"/>
  <c r="M478" i="2"/>
  <c r="L478" i="2"/>
  <c r="K478" i="2"/>
  <c r="G478" i="2"/>
  <c r="E478" i="2"/>
  <c r="B478" i="2"/>
  <c r="S477" i="2"/>
  <c r="P477" i="2"/>
  <c r="M477" i="2"/>
  <c r="L477" i="2"/>
  <c r="K477" i="2"/>
  <c r="G477" i="2"/>
  <c r="E477" i="2"/>
  <c r="B477" i="2"/>
  <c r="S476" i="2"/>
  <c r="P476" i="2"/>
  <c r="M476" i="2"/>
  <c r="L476" i="2"/>
  <c r="K476" i="2"/>
  <c r="H476" i="2"/>
  <c r="G476" i="2"/>
  <c r="E476" i="2"/>
  <c r="B476" i="2"/>
  <c r="S475" i="2"/>
  <c r="P475" i="2"/>
  <c r="M475" i="2"/>
  <c r="L475" i="2"/>
  <c r="K475" i="2"/>
  <c r="H475" i="2"/>
  <c r="G475" i="2"/>
  <c r="E475" i="2"/>
  <c r="B475" i="2"/>
  <c r="S474" i="2"/>
  <c r="P474" i="2"/>
  <c r="M474" i="2"/>
  <c r="L474" i="2"/>
  <c r="K474" i="2"/>
  <c r="H474" i="2"/>
  <c r="G474" i="2"/>
  <c r="E474" i="2"/>
  <c r="B474" i="2"/>
  <c r="S473" i="2"/>
  <c r="P473" i="2"/>
  <c r="M473" i="2"/>
  <c r="L473" i="2"/>
  <c r="K473" i="2"/>
  <c r="H473" i="2"/>
  <c r="G473" i="2"/>
  <c r="E473" i="2"/>
  <c r="B473" i="2"/>
  <c r="S472" i="2"/>
  <c r="P472" i="2"/>
  <c r="M472" i="2"/>
  <c r="L472" i="2"/>
  <c r="K472" i="2"/>
  <c r="H472" i="2"/>
  <c r="G472" i="2"/>
  <c r="E472" i="2"/>
  <c r="B472" i="2"/>
  <c r="S471" i="2"/>
  <c r="P471" i="2"/>
  <c r="M471" i="2"/>
  <c r="L471" i="2"/>
  <c r="K471" i="2"/>
  <c r="H471" i="2"/>
  <c r="G471" i="2"/>
  <c r="E471" i="2"/>
  <c r="B471" i="2"/>
  <c r="S470" i="2"/>
  <c r="P470" i="2"/>
  <c r="M470" i="2"/>
  <c r="L470" i="2"/>
  <c r="K470" i="2"/>
  <c r="H470" i="2"/>
  <c r="G470" i="2"/>
  <c r="E470" i="2"/>
  <c r="B470" i="2"/>
  <c r="S469" i="2"/>
  <c r="P469" i="2"/>
  <c r="M469" i="2"/>
  <c r="L469" i="2"/>
  <c r="K469" i="2"/>
  <c r="H469" i="2"/>
  <c r="G469" i="2"/>
  <c r="E469" i="2"/>
  <c r="B469" i="2"/>
  <c r="S468" i="2"/>
  <c r="P468" i="2"/>
  <c r="M468" i="2"/>
  <c r="L468" i="2"/>
  <c r="K468" i="2"/>
  <c r="H468" i="2"/>
  <c r="G468" i="2"/>
  <c r="E468" i="2"/>
  <c r="B468" i="2"/>
  <c r="S467" i="2"/>
  <c r="P467" i="2"/>
  <c r="M467" i="2"/>
  <c r="L467" i="2"/>
  <c r="K467" i="2"/>
  <c r="H467" i="2"/>
  <c r="G467" i="2"/>
  <c r="E467" i="2"/>
  <c r="B467" i="2"/>
  <c r="S466" i="2"/>
  <c r="P466" i="2"/>
  <c r="M466" i="2"/>
  <c r="L466" i="2"/>
  <c r="K466" i="2"/>
  <c r="H466" i="2"/>
  <c r="G466" i="2"/>
  <c r="E466" i="2"/>
  <c r="B466" i="2"/>
  <c r="S465" i="2"/>
  <c r="P465" i="2"/>
  <c r="M465" i="2"/>
  <c r="L465" i="2"/>
  <c r="K465" i="2"/>
  <c r="H465" i="2"/>
  <c r="G465" i="2"/>
  <c r="E465" i="2"/>
  <c r="B465" i="2"/>
  <c r="S464" i="2"/>
  <c r="P464" i="2"/>
  <c r="M464" i="2"/>
  <c r="L464" i="2"/>
  <c r="K464" i="2"/>
  <c r="H464" i="2"/>
  <c r="G464" i="2"/>
  <c r="E464" i="2"/>
  <c r="B464" i="2"/>
  <c r="S463" i="2"/>
  <c r="P463" i="2"/>
  <c r="M463" i="2"/>
  <c r="L463" i="2"/>
  <c r="K463" i="2"/>
  <c r="H463" i="2"/>
  <c r="G463" i="2"/>
  <c r="E463" i="2"/>
  <c r="B463" i="2"/>
  <c r="S462" i="2"/>
  <c r="P462" i="2"/>
  <c r="M462" i="2"/>
  <c r="L462" i="2"/>
  <c r="K462" i="2"/>
  <c r="H462" i="2"/>
  <c r="G462" i="2"/>
  <c r="E462" i="2"/>
  <c r="B462" i="2"/>
  <c r="S461" i="2"/>
  <c r="P461" i="2"/>
  <c r="M461" i="2"/>
  <c r="L461" i="2"/>
  <c r="K461" i="2"/>
  <c r="H461" i="2"/>
  <c r="G461" i="2"/>
  <c r="E461" i="2"/>
  <c r="B461" i="2"/>
  <c r="S460" i="2"/>
  <c r="P460" i="2"/>
  <c r="M460" i="2"/>
  <c r="L460" i="2"/>
  <c r="K460" i="2"/>
  <c r="H460" i="2"/>
  <c r="G460" i="2"/>
  <c r="E460" i="2"/>
  <c r="B460" i="2"/>
  <c r="S459" i="2"/>
  <c r="P459" i="2"/>
  <c r="M459" i="2"/>
  <c r="L459" i="2"/>
  <c r="K459" i="2"/>
  <c r="H459" i="2"/>
  <c r="G459" i="2"/>
  <c r="E459" i="2"/>
  <c r="B459" i="2"/>
  <c r="S458" i="2"/>
  <c r="P458" i="2"/>
  <c r="M458" i="2"/>
  <c r="L458" i="2"/>
  <c r="K458" i="2"/>
  <c r="H458" i="2"/>
  <c r="G458" i="2"/>
  <c r="E458" i="2"/>
  <c r="B458" i="2"/>
  <c r="S457" i="2"/>
  <c r="P457" i="2"/>
  <c r="M457" i="2"/>
  <c r="L457" i="2"/>
  <c r="K457" i="2"/>
  <c r="G457" i="2"/>
  <c r="E457" i="2"/>
  <c r="B457" i="2"/>
  <c r="S456" i="2"/>
  <c r="P456" i="2"/>
  <c r="M456" i="2"/>
  <c r="L456" i="2"/>
  <c r="K456" i="2"/>
  <c r="G456" i="2"/>
  <c r="E456" i="2"/>
  <c r="B456" i="2"/>
  <c r="S455" i="2"/>
  <c r="P455" i="2"/>
  <c r="M455" i="2"/>
  <c r="L455" i="2"/>
  <c r="K455" i="2"/>
  <c r="G455" i="2"/>
  <c r="E455" i="2"/>
  <c r="B455" i="2"/>
  <c r="S454" i="2"/>
  <c r="P454" i="2"/>
  <c r="M454" i="2"/>
  <c r="L454" i="2"/>
  <c r="K454" i="2"/>
  <c r="G454" i="2"/>
  <c r="E454" i="2"/>
  <c r="B454" i="2"/>
  <c r="S453" i="2"/>
  <c r="P453" i="2"/>
  <c r="M453" i="2"/>
  <c r="L453" i="2"/>
  <c r="K453" i="2"/>
  <c r="G453" i="2"/>
  <c r="E453" i="2"/>
  <c r="B453" i="2"/>
  <c r="S452" i="2"/>
  <c r="P452" i="2"/>
  <c r="M452" i="2"/>
  <c r="L452" i="2"/>
  <c r="K452" i="2"/>
  <c r="G452" i="2"/>
  <c r="E452" i="2"/>
  <c r="B452" i="2"/>
  <c r="S451" i="2"/>
  <c r="P451" i="2"/>
  <c r="M451" i="2"/>
  <c r="L451" i="2"/>
  <c r="K451" i="2"/>
  <c r="G451" i="2"/>
  <c r="E451" i="2"/>
  <c r="B451" i="2"/>
  <c r="S450" i="2"/>
  <c r="P450" i="2"/>
  <c r="M450" i="2"/>
  <c r="L450" i="2"/>
  <c r="K450" i="2"/>
  <c r="G450" i="2"/>
  <c r="E450" i="2"/>
  <c r="B450" i="2"/>
  <c r="S449" i="2"/>
  <c r="P449" i="2"/>
  <c r="M449" i="2"/>
  <c r="L449" i="2"/>
  <c r="K449" i="2"/>
  <c r="G449" i="2"/>
  <c r="E449" i="2"/>
  <c r="B449" i="2"/>
  <c r="S448" i="2"/>
  <c r="P448" i="2"/>
  <c r="M448" i="2"/>
  <c r="L448" i="2"/>
  <c r="K448" i="2"/>
  <c r="G448" i="2"/>
  <c r="E448" i="2"/>
  <c r="B448" i="2"/>
  <c r="S447" i="2"/>
  <c r="P447" i="2"/>
  <c r="M447" i="2"/>
  <c r="L447" i="2"/>
  <c r="K447" i="2"/>
  <c r="G447" i="2"/>
  <c r="E447" i="2"/>
  <c r="B447" i="2"/>
  <c r="S446" i="2"/>
  <c r="P446" i="2"/>
  <c r="M446" i="2"/>
  <c r="L446" i="2"/>
  <c r="K446" i="2"/>
  <c r="G446" i="2"/>
  <c r="E446" i="2"/>
  <c r="B446" i="2"/>
  <c r="S445" i="2"/>
  <c r="P445" i="2"/>
  <c r="M445" i="2"/>
  <c r="L445" i="2"/>
  <c r="K445" i="2"/>
  <c r="G445" i="2"/>
  <c r="E445" i="2"/>
  <c r="B445" i="2"/>
  <c r="S444" i="2"/>
  <c r="P444" i="2"/>
  <c r="M444" i="2"/>
  <c r="L444" i="2"/>
  <c r="K444" i="2"/>
  <c r="G444" i="2"/>
  <c r="E444" i="2"/>
  <c r="B444" i="2"/>
  <c r="S443" i="2"/>
  <c r="P443" i="2"/>
  <c r="M443" i="2"/>
  <c r="L443" i="2"/>
  <c r="K443" i="2"/>
  <c r="G443" i="2"/>
  <c r="E443" i="2"/>
  <c r="B443" i="2"/>
  <c r="S442" i="2"/>
  <c r="P442" i="2"/>
  <c r="M442" i="2"/>
  <c r="L442" i="2"/>
  <c r="K442" i="2"/>
  <c r="G442" i="2"/>
  <c r="E442" i="2"/>
  <c r="B442" i="2"/>
  <c r="S441" i="2"/>
  <c r="P441" i="2"/>
  <c r="M441" i="2"/>
  <c r="L441" i="2"/>
  <c r="K441" i="2"/>
  <c r="G441" i="2"/>
  <c r="E441" i="2"/>
  <c r="B441" i="2"/>
  <c r="S440" i="2"/>
  <c r="P440" i="2"/>
  <c r="M440" i="2"/>
  <c r="L440" i="2"/>
  <c r="K440" i="2"/>
  <c r="G440" i="2"/>
  <c r="E440" i="2"/>
  <c r="B440" i="2"/>
  <c r="S439" i="2"/>
  <c r="P439" i="2"/>
  <c r="M439" i="2"/>
  <c r="L439" i="2"/>
  <c r="K439" i="2"/>
  <c r="G439" i="2"/>
  <c r="E439" i="2"/>
  <c r="B439" i="2"/>
  <c r="S438" i="2"/>
  <c r="P438" i="2"/>
  <c r="M438" i="2"/>
  <c r="L438" i="2"/>
  <c r="K438" i="2"/>
  <c r="G438" i="2"/>
  <c r="E438" i="2"/>
  <c r="B438" i="2"/>
  <c r="S437" i="2"/>
  <c r="P437" i="2"/>
  <c r="M437" i="2"/>
  <c r="L437" i="2"/>
  <c r="K437" i="2"/>
  <c r="G437" i="2"/>
  <c r="E437" i="2"/>
  <c r="B437" i="2"/>
  <c r="S436" i="2"/>
  <c r="P436" i="2"/>
  <c r="M436" i="2"/>
  <c r="L436" i="2"/>
  <c r="K436" i="2"/>
  <c r="G436" i="2"/>
  <c r="E436" i="2"/>
  <c r="B436" i="2"/>
  <c r="S435" i="2"/>
  <c r="P435" i="2"/>
  <c r="M435" i="2"/>
  <c r="L435" i="2"/>
  <c r="K435" i="2"/>
  <c r="G435" i="2"/>
  <c r="E435" i="2"/>
  <c r="B435" i="2"/>
  <c r="S434" i="2"/>
  <c r="P434" i="2"/>
  <c r="M434" i="2"/>
  <c r="L434" i="2"/>
  <c r="K434" i="2"/>
  <c r="G434" i="2"/>
  <c r="E434" i="2"/>
  <c r="B434" i="2"/>
  <c r="S433" i="2"/>
  <c r="P433" i="2"/>
  <c r="M433" i="2"/>
  <c r="L433" i="2"/>
  <c r="K433" i="2"/>
  <c r="G433" i="2"/>
  <c r="E433" i="2"/>
  <c r="B433" i="2"/>
  <c r="S432" i="2"/>
  <c r="P432" i="2"/>
  <c r="M432" i="2"/>
  <c r="L432" i="2"/>
  <c r="K432" i="2"/>
  <c r="G432" i="2"/>
  <c r="E432" i="2"/>
  <c r="B432" i="2"/>
  <c r="S431" i="2"/>
  <c r="P431" i="2"/>
  <c r="M431" i="2"/>
  <c r="L431" i="2"/>
  <c r="K431" i="2"/>
  <c r="G431" i="2"/>
  <c r="E431" i="2"/>
  <c r="B431" i="2"/>
  <c r="S430" i="2"/>
  <c r="P430" i="2"/>
  <c r="M430" i="2"/>
  <c r="L430" i="2"/>
  <c r="K430" i="2"/>
  <c r="G430" i="2"/>
  <c r="E430" i="2"/>
  <c r="B430" i="2"/>
  <c r="S429" i="2"/>
  <c r="P429" i="2"/>
  <c r="M429" i="2"/>
  <c r="L429" i="2"/>
  <c r="K429" i="2"/>
  <c r="G429" i="2"/>
  <c r="E429" i="2"/>
  <c r="B429" i="2"/>
  <c r="S428" i="2"/>
  <c r="P428" i="2"/>
  <c r="M428" i="2"/>
  <c r="L428" i="2"/>
  <c r="K428" i="2"/>
  <c r="G428" i="2"/>
  <c r="E428" i="2"/>
  <c r="B428" i="2"/>
  <c r="S427" i="2"/>
  <c r="P427" i="2"/>
  <c r="M427" i="2"/>
  <c r="L427" i="2"/>
  <c r="K427" i="2"/>
  <c r="G427" i="2"/>
  <c r="E427" i="2"/>
  <c r="B427" i="2"/>
  <c r="S426" i="2"/>
  <c r="P426" i="2"/>
  <c r="M426" i="2"/>
  <c r="L426" i="2"/>
  <c r="K426" i="2"/>
  <c r="G426" i="2"/>
  <c r="E426" i="2"/>
  <c r="B426" i="2"/>
  <c r="S425" i="2"/>
  <c r="P425" i="2"/>
  <c r="M425" i="2"/>
  <c r="L425" i="2"/>
  <c r="K425" i="2"/>
  <c r="G425" i="2"/>
  <c r="E425" i="2"/>
  <c r="B425" i="2"/>
  <c r="S424" i="2"/>
  <c r="P424" i="2"/>
  <c r="M424" i="2"/>
  <c r="L424" i="2"/>
  <c r="K424" i="2"/>
  <c r="G424" i="2"/>
  <c r="E424" i="2"/>
  <c r="B424" i="2"/>
  <c r="S423" i="2"/>
  <c r="P423" i="2"/>
  <c r="M423" i="2"/>
  <c r="L423" i="2"/>
  <c r="K423" i="2"/>
  <c r="G423" i="2"/>
  <c r="E423" i="2"/>
  <c r="B423" i="2"/>
  <c r="S422" i="2"/>
  <c r="P422" i="2"/>
  <c r="M422" i="2"/>
  <c r="L422" i="2"/>
  <c r="K422" i="2"/>
  <c r="G422" i="2"/>
  <c r="E422" i="2"/>
  <c r="B422" i="2"/>
  <c r="S421" i="2"/>
  <c r="P421" i="2"/>
  <c r="M421" i="2"/>
  <c r="L421" i="2"/>
  <c r="K421" i="2"/>
  <c r="G421" i="2"/>
  <c r="E421" i="2"/>
  <c r="B421" i="2"/>
  <c r="S420" i="2"/>
  <c r="P420" i="2"/>
  <c r="M420" i="2"/>
  <c r="L420" i="2"/>
  <c r="K420" i="2"/>
  <c r="G420" i="2"/>
  <c r="E420" i="2"/>
  <c r="B420" i="2"/>
  <c r="S419" i="2"/>
  <c r="P419" i="2"/>
  <c r="M419" i="2"/>
  <c r="L419" i="2"/>
  <c r="K419" i="2"/>
  <c r="G419" i="2"/>
  <c r="E419" i="2"/>
  <c r="B419" i="2"/>
  <c r="S418" i="2"/>
  <c r="P418" i="2"/>
  <c r="M418" i="2"/>
  <c r="L418" i="2"/>
  <c r="K418" i="2"/>
  <c r="G418" i="2"/>
  <c r="E418" i="2"/>
  <c r="B418" i="2"/>
  <c r="S417" i="2"/>
  <c r="P417" i="2"/>
  <c r="M417" i="2"/>
  <c r="L417" i="2"/>
  <c r="K417" i="2"/>
  <c r="G417" i="2"/>
  <c r="E417" i="2"/>
  <c r="B417" i="2"/>
  <c r="S416" i="2"/>
  <c r="P416" i="2"/>
  <c r="M416" i="2"/>
  <c r="L416" i="2"/>
  <c r="K416" i="2"/>
  <c r="G416" i="2"/>
  <c r="E416" i="2"/>
  <c r="B416" i="2"/>
  <c r="S415" i="2"/>
  <c r="P415" i="2"/>
  <c r="M415" i="2"/>
  <c r="L415" i="2"/>
  <c r="K415" i="2"/>
  <c r="G415" i="2"/>
  <c r="E415" i="2"/>
  <c r="B415" i="2"/>
  <c r="S414" i="2"/>
  <c r="P414" i="2"/>
  <c r="M414" i="2"/>
  <c r="L414" i="2"/>
  <c r="K414" i="2"/>
  <c r="G414" i="2"/>
  <c r="E414" i="2"/>
  <c r="B414" i="2"/>
  <c r="S413" i="2"/>
  <c r="P413" i="2"/>
  <c r="M413" i="2"/>
  <c r="L413" i="2"/>
  <c r="K413" i="2"/>
  <c r="G413" i="2"/>
  <c r="E413" i="2"/>
  <c r="B413" i="2"/>
  <c r="S412" i="2"/>
  <c r="P412" i="2"/>
  <c r="M412" i="2"/>
  <c r="L412" i="2"/>
  <c r="K412" i="2"/>
  <c r="G412" i="2"/>
  <c r="E412" i="2"/>
  <c r="B412" i="2"/>
  <c r="S411" i="2"/>
  <c r="P411" i="2"/>
  <c r="M411" i="2"/>
  <c r="L411" i="2"/>
  <c r="K411" i="2"/>
  <c r="G411" i="2"/>
  <c r="E411" i="2"/>
  <c r="B411" i="2"/>
  <c r="S410" i="2"/>
  <c r="P410" i="2"/>
  <c r="M410" i="2"/>
  <c r="L410" i="2"/>
  <c r="K410" i="2"/>
  <c r="G410" i="2"/>
  <c r="E410" i="2"/>
  <c r="B410" i="2"/>
  <c r="S409" i="2"/>
  <c r="P409" i="2"/>
  <c r="M409" i="2"/>
  <c r="L409" i="2"/>
  <c r="K409" i="2"/>
  <c r="G409" i="2"/>
  <c r="E409" i="2"/>
  <c r="B409" i="2"/>
  <c r="S408" i="2"/>
  <c r="P408" i="2"/>
  <c r="M408" i="2"/>
  <c r="L408" i="2"/>
  <c r="K408" i="2"/>
  <c r="G408" i="2"/>
  <c r="E408" i="2"/>
  <c r="B408" i="2"/>
  <c r="S407" i="2"/>
  <c r="P407" i="2"/>
  <c r="M407" i="2"/>
  <c r="L407" i="2"/>
  <c r="K407" i="2"/>
  <c r="G407" i="2"/>
  <c r="E407" i="2"/>
  <c r="B407" i="2"/>
  <c r="S406" i="2"/>
  <c r="P406" i="2"/>
  <c r="M406" i="2"/>
  <c r="L406" i="2"/>
  <c r="K406" i="2"/>
  <c r="G406" i="2"/>
  <c r="E406" i="2"/>
  <c r="B406" i="2"/>
  <c r="S405" i="2"/>
  <c r="P405" i="2"/>
  <c r="M405" i="2"/>
  <c r="L405" i="2"/>
  <c r="K405" i="2"/>
  <c r="G405" i="2"/>
  <c r="E405" i="2"/>
  <c r="B405" i="2"/>
  <c r="S404" i="2"/>
  <c r="P404" i="2"/>
  <c r="M404" i="2"/>
  <c r="L404" i="2"/>
  <c r="K404" i="2"/>
  <c r="G404" i="2"/>
  <c r="E404" i="2"/>
  <c r="B404" i="2"/>
  <c r="S403" i="2"/>
  <c r="P403" i="2"/>
  <c r="M403" i="2"/>
  <c r="L403" i="2"/>
  <c r="K403" i="2"/>
  <c r="G403" i="2"/>
  <c r="E403" i="2"/>
  <c r="B403" i="2"/>
  <c r="S402" i="2"/>
  <c r="P402" i="2"/>
  <c r="M402" i="2"/>
  <c r="L402" i="2"/>
  <c r="K402" i="2"/>
  <c r="G402" i="2"/>
  <c r="E402" i="2"/>
  <c r="B402" i="2"/>
  <c r="S401" i="2"/>
  <c r="P401" i="2"/>
  <c r="M401" i="2"/>
  <c r="L401" i="2"/>
  <c r="K401" i="2"/>
  <c r="G401" i="2"/>
  <c r="E401" i="2"/>
  <c r="B401" i="2"/>
  <c r="S400" i="2"/>
  <c r="P400" i="2"/>
  <c r="M400" i="2"/>
  <c r="L400" i="2"/>
  <c r="K400" i="2"/>
  <c r="G400" i="2"/>
  <c r="E400" i="2"/>
  <c r="B400" i="2"/>
  <c r="S399" i="2"/>
  <c r="P399" i="2"/>
  <c r="M399" i="2"/>
  <c r="L399" i="2"/>
  <c r="K399" i="2"/>
  <c r="G399" i="2"/>
  <c r="E399" i="2"/>
  <c r="B399" i="2"/>
  <c r="S398" i="2"/>
  <c r="P398" i="2"/>
  <c r="M398" i="2"/>
  <c r="L398" i="2"/>
  <c r="K398" i="2"/>
  <c r="G398" i="2"/>
  <c r="E398" i="2"/>
  <c r="B398" i="2"/>
  <c r="S397" i="2"/>
  <c r="P397" i="2"/>
  <c r="M397" i="2"/>
  <c r="L397" i="2"/>
  <c r="K397" i="2"/>
  <c r="G397" i="2"/>
  <c r="E397" i="2"/>
  <c r="B397" i="2"/>
  <c r="S396" i="2"/>
  <c r="P396" i="2"/>
  <c r="M396" i="2"/>
  <c r="L396" i="2"/>
  <c r="K396" i="2"/>
  <c r="G396" i="2"/>
  <c r="E396" i="2"/>
  <c r="B396" i="2"/>
  <c r="S395" i="2"/>
  <c r="P395" i="2"/>
  <c r="M395" i="2"/>
  <c r="L395" i="2"/>
  <c r="K395" i="2"/>
  <c r="G395" i="2"/>
  <c r="E395" i="2"/>
  <c r="B395" i="2"/>
  <c r="S394" i="2"/>
  <c r="P394" i="2"/>
  <c r="M394" i="2"/>
  <c r="L394" i="2"/>
  <c r="K394" i="2"/>
  <c r="G394" i="2"/>
  <c r="E394" i="2"/>
  <c r="B394" i="2"/>
  <c r="S393" i="2"/>
  <c r="P393" i="2"/>
  <c r="M393" i="2"/>
  <c r="L393" i="2"/>
  <c r="K393" i="2"/>
  <c r="G393" i="2"/>
  <c r="E393" i="2"/>
  <c r="B393" i="2"/>
  <c r="S392" i="2"/>
  <c r="P392" i="2"/>
  <c r="M392" i="2"/>
  <c r="L392" i="2"/>
  <c r="K392" i="2"/>
  <c r="G392" i="2"/>
  <c r="E392" i="2"/>
  <c r="B392" i="2"/>
  <c r="S391" i="2"/>
  <c r="P391" i="2"/>
  <c r="M391" i="2"/>
  <c r="L391" i="2"/>
  <c r="K391" i="2"/>
  <c r="G391" i="2"/>
  <c r="E391" i="2"/>
  <c r="B391" i="2"/>
  <c r="S390" i="2"/>
  <c r="P390" i="2"/>
  <c r="M390" i="2"/>
  <c r="L390" i="2"/>
  <c r="K390" i="2"/>
  <c r="G390" i="2"/>
  <c r="E390" i="2"/>
  <c r="B390" i="2"/>
  <c r="S389" i="2"/>
  <c r="P389" i="2"/>
  <c r="M389" i="2"/>
  <c r="L389" i="2"/>
  <c r="K389" i="2"/>
  <c r="G389" i="2"/>
  <c r="E389" i="2"/>
  <c r="B389" i="2"/>
  <c r="S388" i="2"/>
  <c r="P388" i="2"/>
  <c r="M388" i="2"/>
  <c r="L388" i="2"/>
  <c r="K388" i="2"/>
  <c r="G388" i="2"/>
  <c r="E388" i="2"/>
  <c r="B388" i="2"/>
  <c r="S387" i="2"/>
  <c r="P387" i="2"/>
  <c r="M387" i="2"/>
  <c r="L387" i="2"/>
  <c r="K387" i="2"/>
  <c r="G387" i="2"/>
  <c r="E387" i="2"/>
  <c r="B387" i="2"/>
  <c r="S386" i="2"/>
  <c r="P386" i="2"/>
  <c r="M386" i="2"/>
  <c r="L386" i="2"/>
  <c r="K386" i="2"/>
  <c r="G386" i="2"/>
  <c r="E386" i="2"/>
  <c r="B386" i="2"/>
  <c r="S385" i="2"/>
  <c r="P385" i="2"/>
  <c r="M385" i="2"/>
  <c r="L385" i="2"/>
  <c r="K385" i="2"/>
  <c r="G385" i="2"/>
  <c r="E385" i="2"/>
  <c r="B385" i="2"/>
  <c r="S384" i="2"/>
  <c r="P384" i="2"/>
  <c r="M384" i="2"/>
  <c r="L384" i="2"/>
  <c r="K384" i="2"/>
  <c r="G384" i="2"/>
  <c r="E384" i="2"/>
  <c r="B384" i="2"/>
  <c r="S383" i="2"/>
  <c r="P383" i="2"/>
  <c r="M383" i="2"/>
  <c r="L383" i="2"/>
  <c r="K383" i="2"/>
  <c r="G383" i="2"/>
  <c r="E383" i="2"/>
  <c r="B383" i="2"/>
  <c r="S382" i="2"/>
  <c r="P382" i="2"/>
  <c r="M382" i="2"/>
  <c r="L382" i="2"/>
  <c r="K382" i="2"/>
  <c r="G382" i="2"/>
  <c r="E382" i="2"/>
  <c r="B382" i="2"/>
  <c r="S381" i="2"/>
  <c r="P381" i="2"/>
  <c r="M381" i="2"/>
  <c r="L381" i="2"/>
  <c r="K381" i="2"/>
  <c r="G381" i="2"/>
  <c r="E381" i="2"/>
  <c r="B381" i="2"/>
  <c r="S380" i="2"/>
  <c r="P380" i="2"/>
  <c r="M380" i="2"/>
  <c r="L380" i="2"/>
  <c r="K380" i="2"/>
  <c r="G380" i="2"/>
  <c r="E380" i="2"/>
  <c r="B380" i="2"/>
  <c r="S379" i="2"/>
  <c r="P379" i="2"/>
  <c r="M379" i="2"/>
  <c r="L379" i="2"/>
  <c r="K379" i="2"/>
  <c r="G379" i="2"/>
  <c r="E379" i="2"/>
  <c r="B379" i="2"/>
  <c r="S378" i="2"/>
  <c r="P378" i="2"/>
  <c r="M378" i="2"/>
  <c r="L378" i="2"/>
  <c r="K378" i="2"/>
  <c r="G378" i="2"/>
  <c r="E378" i="2"/>
  <c r="B378" i="2"/>
  <c r="S377" i="2"/>
  <c r="P377" i="2"/>
  <c r="M377" i="2"/>
  <c r="L377" i="2"/>
  <c r="K377" i="2"/>
  <c r="G377" i="2"/>
  <c r="E377" i="2"/>
  <c r="B377" i="2"/>
  <c r="S376" i="2"/>
  <c r="P376" i="2"/>
  <c r="M376" i="2"/>
  <c r="L376" i="2"/>
  <c r="K376" i="2"/>
  <c r="G376" i="2"/>
  <c r="E376" i="2"/>
  <c r="B376" i="2"/>
  <c r="S375" i="2"/>
  <c r="P375" i="2"/>
  <c r="M375" i="2"/>
  <c r="L375" i="2"/>
  <c r="K375" i="2"/>
  <c r="G375" i="2"/>
  <c r="E375" i="2"/>
  <c r="B375" i="2"/>
  <c r="S374" i="2"/>
  <c r="P374" i="2"/>
  <c r="M374" i="2"/>
  <c r="L374" i="2"/>
  <c r="K374" i="2"/>
  <c r="G374" i="2"/>
  <c r="E374" i="2"/>
  <c r="B374" i="2"/>
  <c r="S373" i="2"/>
  <c r="P373" i="2"/>
  <c r="M373" i="2"/>
  <c r="L373" i="2"/>
  <c r="K373" i="2"/>
  <c r="G373" i="2"/>
  <c r="E373" i="2"/>
  <c r="B373" i="2"/>
  <c r="S372" i="2"/>
  <c r="P372" i="2"/>
  <c r="M372" i="2"/>
  <c r="L372" i="2"/>
  <c r="K372" i="2"/>
  <c r="G372" i="2"/>
  <c r="E372" i="2"/>
  <c r="B372" i="2"/>
  <c r="S371" i="2"/>
  <c r="P371" i="2"/>
  <c r="M371" i="2"/>
  <c r="L371" i="2"/>
  <c r="K371" i="2"/>
  <c r="G371" i="2"/>
  <c r="E371" i="2"/>
  <c r="B371" i="2"/>
  <c r="S370" i="2"/>
  <c r="P370" i="2"/>
  <c r="M370" i="2"/>
  <c r="L370" i="2"/>
  <c r="K370" i="2"/>
  <c r="G370" i="2"/>
  <c r="E370" i="2"/>
  <c r="B370" i="2"/>
  <c r="S369" i="2"/>
  <c r="P369" i="2"/>
  <c r="M369" i="2"/>
  <c r="L369" i="2"/>
  <c r="K369" i="2"/>
  <c r="G369" i="2"/>
  <c r="E369" i="2"/>
  <c r="B369" i="2"/>
  <c r="S368" i="2"/>
  <c r="P368" i="2"/>
  <c r="M368" i="2"/>
  <c r="L368" i="2"/>
  <c r="K368" i="2"/>
  <c r="G368" i="2"/>
  <c r="E368" i="2"/>
  <c r="B368" i="2"/>
  <c r="S367" i="2"/>
  <c r="P367" i="2"/>
  <c r="M367" i="2"/>
  <c r="L367" i="2"/>
  <c r="K367" i="2"/>
  <c r="G367" i="2"/>
  <c r="E367" i="2"/>
  <c r="B367" i="2"/>
  <c r="S366" i="2"/>
  <c r="P366" i="2"/>
  <c r="M366" i="2"/>
  <c r="L366" i="2"/>
  <c r="K366" i="2"/>
  <c r="G366" i="2"/>
  <c r="E366" i="2"/>
  <c r="B366" i="2"/>
  <c r="S365" i="2"/>
  <c r="P365" i="2"/>
  <c r="M365" i="2"/>
  <c r="L365" i="2"/>
  <c r="K365" i="2"/>
  <c r="G365" i="2"/>
  <c r="E365" i="2"/>
  <c r="B365" i="2"/>
  <c r="S364" i="2"/>
  <c r="P364" i="2"/>
  <c r="M364" i="2"/>
  <c r="L364" i="2"/>
  <c r="K364" i="2"/>
  <c r="G364" i="2"/>
  <c r="E364" i="2"/>
  <c r="B364" i="2"/>
  <c r="S363" i="2"/>
  <c r="P363" i="2"/>
  <c r="M363" i="2"/>
  <c r="L363" i="2"/>
  <c r="K363" i="2"/>
  <c r="G363" i="2"/>
  <c r="E363" i="2"/>
  <c r="B363" i="2"/>
  <c r="S362" i="2"/>
  <c r="P362" i="2"/>
  <c r="M362" i="2"/>
  <c r="L362" i="2"/>
  <c r="K362" i="2"/>
  <c r="G362" i="2"/>
  <c r="E362" i="2"/>
  <c r="B362" i="2"/>
  <c r="S361" i="2"/>
  <c r="P361" i="2"/>
  <c r="M361" i="2"/>
  <c r="L361" i="2"/>
  <c r="K361" i="2"/>
  <c r="G361" i="2"/>
  <c r="E361" i="2"/>
  <c r="B361" i="2"/>
  <c r="S360" i="2"/>
  <c r="P360" i="2"/>
  <c r="M360" i="2"/>
  <c r="L360" i="2"/>
  <c r="K360" i="2"/>
  <c r="G360" i="2"/>
  <c r="E360" i="2"/>
  <c r="B360" i="2"/>
  <c r="S359" i="2"/>
  <c r="P359" i="2"/>
  <c r="M359" i="2"/>
  <c r="L359" i="2"/>
  <c r="K359" i="2"/>
  <c r="G359" i="2"/>
  <c r="E359" i="2"/>
  <c r="B359" i="2"/>
  <c r="S358" i="2"/>
  <c r="P358" i="2"/>
  <c r="M358" i="2"/>
  <c r="L358" i="2"/>
  <c r="K358" i="2"/>
  <c r="G358" i="2"/>
  <c r="E358" i="2"/>
  <c r="B358" i="2"/>
  <c r="S357" i="2"/>
  <c r="P357" i="2"/>
  <c r="M357" i="2"/>
  <c r="L357" i="2"/>
  <c r="K357" i="2"/>
  <c r="G357" i="2"/>
  <c r="E357" i="2"/>
  <c r="B357" i="2"/>
  <c r="S356" i="2"/>
  <c r="P356" i="2"/>
  <c r="M356" i="2"/>
  <c r="L356" i="2"/>
  <c r="K356" i="2"/>
  <c r="G356" i="2"/>
  <c r="E356" i="2"/>
  <c r="B356" i="2"/>
  <c r="S355" i="2"/>
  <c r="P355" i="2"/>
  <c r="M355" i="2"/>
  <c r="L355" i="2"/>
  <c r="K355" i="2"/>
  <c r="G355" i="2"/>
  <c r="E355" i="2"/>
  <c r="B355" i="2"/>
  <c r="S354" i="2"/>
  <c r="P354" i="2"/>
  <c r="M354" i="2"/>
  <c r="L354" i="2"/>
  <c r="K354" i="2"/>
  <c r="G354" i="2"/>
  <c r="E354" i="2"/>
  <c r="B354" i="2"/>
  <c r="S353" i="2"/>
  <c r="P353" i="2"/>
  <c r="M353" i="2"/>
  <c r="L353" i="2"/>
  <c r="K353" i="2"/>
  <c r="G353" i="2"/>
  <c r="E353" i="2"/>
  <c r="B353" i="2"/>
  <c r="S352" i="2"/>
  <c r="P352" i="2"/>
  <c r="M352" i="2"/>
  <c r="L352" i="2"/>
  <c r="K352" i="2"/>
  <c r="G352" i="2"/>
  <c r="E352" i="2"/>
  <c r="B352" i="2"/>
  <c r="S351" i="2"/>
  <c r="P351" i="2"/>
  <c r="M351" i="2"/>
  <c r="L351" i="2"/>
  <c r="K351" i="2"/>
  <c r="G351" i="2"/>
  <c r="E351" i="2"/>
  <c r="B351" i="2"/>
  <c r="S350" i="2"/>
  <c r="P350" i="2"/>
  <c r="M350" i="2"/>
  <c r="L350" i="2"/>
  <c r="K350" i="2"/>
  <c r="G350" i="2"/>
  <c r="E350" i="2"/>
  <c r="B350" i="2"/>
  <c r="S349" i="2"/>
  <c r="P349" i="2"/>
  <c r="M349" i="2"/>
  <c r="L349" i="2"/>
  <c r="K349" i="2"/>
  <c r="G349" i="2"/>
  <c r="E349" i="2"/>
  <c r="B349" i="2"/>
  <c r="S348" i="2"/>
  <c r="P348" i="2"/>
  <c r="M348" i="2"/>
  <c r="L348" i="2"/>
  <c r="K348" i="2"/>
  <c r="G348" i="2"/>
  <c r="E348" i="2"/>
  <c r="B348" i="2"/>
  <c r="S347" i="2"/>
  <c r="P347" i="2"/>
  <c r="M347" i="2"/>
  <c r="L347" i="2"/>
  <c r="K347" i="2"/>
  <c r="G347" i="2"/>
  <c r="E347" i="2"/>
  <c r="B347" i="2"/>
  <c r="S346" i="2"/>
  <c r="P346" i="2"/>
  <c r="M346" i="2"/>
  <c r="L346" i="2"/>
  <c r="K346" i="2"/>
  <c r="G346" i="2"/>
  <c r="E346" i="2"/>
  <c r="B346" i="2"/>
  <c r="S345" i="2"/>
  <c r="P345" i="2"/>
  <c r="M345" i="2"/>
  <c r="L345" i="2"/>
  <c r="K345" i="2"/>
  <c r="G345" i="2"/>
  <c r="E345" i="2"/>
  <c r="B345" i="2"/>
  <c r="S344" i="2"/>
  <c r="P344" i="2"/>
  <c r="M344" i="2"/>
  <c r="L344" i="2"/>
  <c r="K344" i="2"/>
  <c r="G344" i="2"/>
  <c r="E344" i="2"/>
  <c r="B344" i="2"/>
  <c r="S343" i="2"/>
  <c r="P343" i="2"/>
  <c r="M343" i="2"/>
  <c r="L343" i="2"/>
  <c r="K343" i="2"/>
  <c r="G343" i="2"/>
  <c r="E343" i="2"/>
  <c r="B343" i="2"/>
  <c r="S342" i="2"/>
  <c r="P342" i="2"/>
  <c r="M342" i="2"/>
  <c r="L342" i="2"/>
  <c r="K342" i="2"/>
  <c r="G342" i="2"/>
  <c r="E342" i="2"/>
  <c r="B342" i="2"/>
  <c r="S341" i="2"/>
  <c r="P341" i="2"/>
  <c r="M341" i="2"/>
  <c r="L341" i="2"/>
  <c r="K341" i="2"/>
  <c r="G341" i="2"/>
  <c r="E341" i="2"/>
  <c r="B341" i="2"/>
  <c r="S340" i="2"/>
  <c r="P340" i="2"/>
  <c r="M340" i="2"/>
  <c r="L340" i="2"/>
  <c r="K340" i="2"/>
  <c r="G340" i="2"/>
  <c r="E340" i="2"/>
  <c r="B340" i="2"/>
  <c r="S339" i="2"/>
  <c r="P339" i="2"/>
  <c r="M339" i="2"/>
  <c r="L339" i="2"/>
  <c r="K339" i="2"/>
  <c r="G339" i="2"/>
  <c r="E339" i="2"/>
  <c r="B339" i="2"/>
  <c r="S338" i="2"/>
  <c r="P338" i="2"/>
  <c r="M338" i="2"/>
  <c r="L338" i="2"/>
  <c r="K338" i="2"/>
  <c r="G338" i="2"/>
  <c r="E338" i="2"/>
  <c r="B338" i="2"/>
  <c r="S337" i="2"/>
  <c r="P337" i="2"/>
  <c r="M337" i="2"/>
  <c r="L337" i="2"/>
  <c r="K337" i="2"/>
  <c r="G337" i="2"/>
  <c r="E337" i="2"/>
  <c r="B337" i="2"/>
  <c r="S336" i="2"/>
  <c r="P336" i="2"/>
  <c r="M336" i="2"/>
  <c r="L336" i="2"/>
  <c r="K336" i="2"/>
  <c r="G336" i="2"/>
  <c r="E336" i="2"/>
  <c r="B336" i="2"/>
  <c r="S335" i="2"/>
  <c r="P335" i="2"/>
  <c r="M335" i="2"/>
  <c r="L335" i="2"/>
  <c r="K335" i="2"/>
  <c r="G335" i="2"/>
  <c r="E335" i="2"/>
  <c r="B335" i="2"/>
  <c r="S334" i="2"/>
  <c r="P334" i="2"/>
  <c r="M334" i="2"/>
  <c r="L334" i="2"/>
  <c r="K334" i="2"/>
  <c r="G334" i="2"/>
  <c r="E334" i="2"/>
  <c r="B334" i="2"/>
  <c r="S333" i="2"/>
  <c r="P333" i="2"/>
  <c r="M333" i="2"/>
  <c r="L333" i="2"/>
  <c r="K333" i="2"/>
  <c r="G333" i="2"/>
  <c r="E333" i="2"/>
  <c r="B333" i="2"/>
  <c r="S332" i="2"/>
  <c r="P332" i="2"/>
  <c r="M332" i="2"/>
  <c r="L332" i="2"/>
  <c r="K332" i="2"/>
  <c r="G332" i="2"/>
  <c r="E332" i="2"/>
  <c r="B332" i="2"/>
  <c r="S331" i="2"/>
  <c r="P331" i="2"/>
  <c r="M331" i="2"/>
  <c r="L331" i="2"/>
  <c r="K331" i="2"/>
  <c r="G331" i="2"/>
  <c r="E331" i="2"/>
  <c r="B331" i="2"/>
  <c r="S330" i="2"/>
  <c r="P330" i="2"/>
  <c r="M330" i="2"/>
  <c r="L330" i="2"/>
  <c r="K330" i="2"/>
  <c r="G330" i="2"/>
  <c r="E330" i="2"/>
  <c r="B330" i="2"/>
  <c r="S329" i="2"/>
  <c r="P329" i="2"/>
  <c r="M329" i="2"/>
  <c r="L329" i="2"/>
  <c r="K329" i="2"/>
  <c r="G329" i="2"/>
  <c r="E329" i="2"/>
  <c r="B329" i="2"/>
  <c r="S328" i="2"/>
  <c r="P328" i="2"/>
  <c r="M328" i="2"/>
  <c r="L328" i="2"/>
  <c r="K328" i="2"/>
  <c r="G328" i="2"/>
  <c r="E328" i="2"/>
  <c r="B328" i="2"/>
  <c r="S327" i="2"/>
  <c r="P327" i="2"/>
  <c r="M327" i="2"/>
  <c r="L327" i="2"/>
  <c r="K327" i="2"/>
  <c r="G327" i="2"/>
  <c r="E327" i="2"/>
  <c r="B327" i="2"/>
  <c r="S326" i="2"/>
  <c r="P326" i="2"/>
  <c r="M326" i="2"/>
  <c r="L326" i="2"/>
  <c r="K326" i="2"/>
  <c r="G326" i="2"/>
  <c r="E326" i="2"/>
  <c r="B326" i="2"/>
  <c r="S325" i="2"/>
  <c r="P325" i="2"/>
  <c r="M325" i="2"/>
  <c r="L325" i="2"/>
  <c r="K325" i="2"/>
  <c r="G325" i="2"/>
  <c r="E325" i="2"/>
  <c r="B325" i="2"/>
  <c r="S324" i="2"/>
  <c r="P324" i="2"/>
  <c r="M324" i="2"/>
  <c r="L324" i="2"/>
  <c r="K324" i="2"/>
  <c r="G324" i="2"/>
  <c r="E324" i="2"/>
  <c r="B324" i="2"/>
  <c r="S323" i="2"/>
  <c r="P323" i="2"/>
  <c r="M323" i="2"/>
  <c r="L323" i="2"/>
  <c r="K323" i="2"/>
  <c r="G323" i="2"/>
  <c r="E323" i="2"/>
  <c r="B323" i="2"/>
  <c r="S322" i="2"/>
  <c r="P322" i="2"/>
  <c r="M322" i="2"/>
  <c r="L322" i="2"/>
  <c r="K322" i="2"/>
  <c r="G322" i="2"/>
  <c r="E322" i="2"/>
  <c r="B322" i="2"/>
  <c r="S321" i="2"/>
  <c r="P321" i="2"/>
  <c r="M321" i="2"/>
  <c r="L321" i="2"/>
  <c r="K321" i="2"/>
  <c r="G321" i="2"/>
  <c r="E321" i="2"/>
  <c r="B321" i="2"/>
  <c r="S320" i="2"/>
  <c r="P320" i="2"/>
  <c r="M320" i="2"/>
  <c r="L320" i="2"/>
  <c r="K320" i="2"/>
  <c r="G320" i="2"/>
  <c r="E320" i="2"/>
  <c r="B320" i="2"/>
  <c r="S319" i="2"/>
  <c r="P319" i="2"/>
  <c r="M319" i="2"/>
  <c r="L319" i="2"/>
  <c r="K319" i="2"/>
  <c r="G319" i="2"/>
  <c r="E319" i="2"/>
  <c r="B319" i="2"/>
  <c r="S318" i="2"/>
  <c r="P318" i="2"/>
  <c r="M318" i="2"/>
  <c r="L318" i="2"/>
  <c r="K318" i="2"/>
  <c r="G318" i="2"/>
  <c r="E318" i="2"/>
  <c r="B318" i="2"/>
  <c r="S317" i="2"/>
  <c r="P317" i="2"/>
  <c r="M317" i="2"/>
  <c r="L317" i="2"/>
  <c r="K317" i="2"/>
  <c r="G317" i="2"/>
  <c r="E317" i="2"/>
  <c r="B317" i="2"/>
  <c r="S316" i="2"/>
  <c r="P316" i="2"/>
  <c r="M316" i="2"/>
  <c r="L316" i="2"/>
  <c r="K316" i="2"/>
  <c r="G316" i="2"/>
  <c r="E316" i="2"/>
  <c r="B316" i="2"/>
  <c r="S315" i="2"/>
  <c r="P315" i="2"/>
  <c r="M315" i="2"/>
  <c r="L315" i="2"/>
  <c r="K315" i="2"/>
  <c r="G315" i="2"/>
  <c r="E315" i="2"/>
  <c r="B315" i="2"/>
  <c r="S314" i="2"/>
  <c r="P314" i="2"/>
  <c r="M314" i="2"/>
  <c r="L314" i="2"/>
  <c r="K314" i="2"/>
  <c r="G314" i="2"/>
  <c r="E314" i="2"/>
  <c r="B314" i="2"/>
  <c r="S313" i="2"/>
  <c r="P313" i="2"/>
  <c r="M313" i="2"/>
  <c r="L313" i="2"/>
  <c r="K313" i="2"/>
  <c r="G313" i="2"/>
  <c r="E313" i="2"/>
  <c r="B313" i="2"/>
  <c r="S312" i="2"/>
  <c r="P312" i="2"/>
  <c r="M312" i="2"/>
  <c r="L312" i="2"/>
  <c r="K312" i="2"/>
  <c r="G312" i="2"/>
  <c r="E312" i="2"/>
  <c r="B312" i="2"/>
  <c r="S311" i="2"/>
  <c r="P311" i="2"/>
  <c r="M311" i="2"/>
  <c r="L311" i="2"/>
  <c r="K311" i="2"/>
  <c r="G311" i="2"/>
  <c r="E311" i="2"/>
  <c r="B311" i="2"/>
  <c r="S310" i="2"/>
  <c r="P310" i="2"/>
  <c r="M310" i="2"/>
  <c r="L310" i="2"/>
  <c r="K310" i="2"/>
  <c r="G310" i="2"/>
  <c r="E310" i="2"/>
  <c r="B310" i="2"/>
  <c r="S309" i="2"/>
  <c r="P309" i="2"/>
  <c r="M309" i="2"/>
  <c r="L309" i="2"/>
  <c r="K309" i="2"/>
  <c r="G309" i="2"/>
  <c r="E309" i="2"/>
  <c r="B309" i="2"/>
  <c r="S308" i="2"/>
  <c r="P308" i="2"/>
  <c r="M308" i="2"/>
  <c r="L308" i="2"/>
  <c r="K308" i="2"/>
  <c r="G308" i="2"/>
  <c r="E308" i="2"/>
  <c r="B308" i="2"/>
  <c r="S307" i="2"/>
  <c r="P307" i="2"/>
  <c r="M307" i="2"/>
  <c r="L307" i="2"/>
  <c r="K307" i="2"/>
  <c r="G307" i="2"/>
  <c r="E307" i="2"/>
  <c r="B307" i="2"/>
  <c r="S306" i="2"/>
  <c r="P306" i="2"/>
  <c r="M306" i="2"/>
  <c r="L306" i="2"/>
  <c r="K306" i="2"/>
  <c r="G306" i="2"/>
  <c r="E306" i="2"/>
  <c r="B306" i="2"/>
  <c r="S305" i="2"/>
  <c r="P305" i="2"/>
  <c r="M305" i="2"/>
  <c r="L305" i="2"/>
  <c r="K305" i="2"/>
  <c r="G305" i="2"/>
  <c r="E305" i="2"/>
  <c r="B305" i="2"/>
  <c r="S304" i="2"/>
  <c r="P304" i="2"/>
  <c r="M304" i="2"/>
  <c r="L304" i="2"/>
  <c r="K304" i="2"/>
  <c r="G304" i="2"/>
  <c r="E304" i="2"/>
  <c r="B304" i="2"/>
  <c r="S303" i="2"/>
  <c r="P303" i="2"/>
  <c r="M303" i="2"/>
  <c r="L303" i="2"/>
  <c r="K303" i="2"/>
  <c r="G303" i="2"/>
  <c r="E303" i="2"/>
  <c r="B303" i="2"/>
  <c r="S302" i="2"/>
  <c r="P302" i="2"/>
  <c r="M302" i="2"/>
  <c r="L302" i="2"/>
  <c r="K302" i="2"/>
  <c r="G302" i="2"/>
  <c r="E302" i="2"/>
  <c r="B302" i="2"/>
  <c r="S301" i="2"/>
  <c r="P301" i="2"/>
  <c r="M301" i="2"/>
  <c r="L301" i="2"/>
  <c r="K301" i="2"/>
  <c r="G301" i="2"/>
  <c r="E301" i="2"/>
  <c r="B301" i="2"/>
  <c r="S300" i="2"/>
  <c r="P300" i="2"/>
  <c r="M300" i="2"/>
  <c r="L300" i="2"/>
  <c r="K300" i="2"/>
  <c r="G300" i="2"/>
  <c r="E300" i="2"/>
  <c r="B300" i="2"/>
  <c r="S299" i="2"/>
  <c r="P299" i="2"/>
  <c r="M299" i="2"/>
  <c r="L299" i="2"/>
  <c r="K299" i="2"/>
  <c r="G299" i="2"/>
  <c r="E299" i="2"/>
  <c r="B299" i="2"/>
  <c r="S298" i="2"/>
  <c r="P298" i="2"/>
  <c r="M298" i="2"/>
  <c r="L298" i="2"/>
  <c r="K298" i="2"/>
  <c r="G298" i="2"/>
  <c r="E298" i="2"/>
  <c r="B298" i="2"/>
  <c r="S297" i="2"/>
  <c r="P297" i="2"/>
  <c r="M297" i="2"/>
  <c r="L297" i="2"/>
  <c r="K297" i="2"/>
  <c r="G297" i="2"/>
  <c r="E297" i="2"/>
  <c r="B297" i="2"/>
  <c r="S296" i="2"/>
  <c r="P296" i="2"/>
  <c r="M296" i="2"/>
  <c r="L296" i="2"/>
  <c r="K296" i="2"/>
  <c r="G296" i="2"/>
  <c r="E296" i="2"/>
  <c r="B296" i="2"/>
  <c r="S295" i="2"/>
  <c r="P295" i="2"/>
  <c r="M295" i="2"/>
  <c r="L295" i="2"/>
  <c r="K295" i="2"/>
  <c r="G295" i="2"/>
  <c r="E295" i="2"/>
  <c r="B295" i="2"/>
  <c r="S294" i="2"/>
  <c r="P294" i="2"/>
  <c r="M294" i="2"/>
  <c r="L294" i="2"/>
  <c r="K294" i="2"/>
  <c r="G294" i="2"/>
  <c r="E294" i="2"/>
  <c r="B294" i="2"/>
  <c r="S293" i="2"/>
  <c r="P293" i="2"/>
  <c r="M293" i="2"/>
  <c r="L293" i="2"/>
  <c r="K293" i="2"/>
  <c r="G293" i="2"/>
  <c r="E293" i="2"/>
  <c r="B293" i="2"/>
  <c r="S292" i="2"/>
  <c r="P292" i="2"/>
  <c r="M292" i="2"/>
  <c r="L292" i="2"/>
  <c r="K292" i="2"/>
  <c r="G292" i="2"/>
  <c r="E292" i="2"/>
  <c r="B292" i="2"/>
  <c r="S291" i="2"/>
  <c r="P291" i="2"/>
  <c r="M291" i="2"/>
  <c r="L291" i="2"/>
  <c r="K291" i="2"/>
  <c r="G291" i="2"/>
  <c r="E291" i="2"/>
  <c r="B291" i="2"/>
  <c r="S290" i="2"/>
  <c r="P290" i="2"/>
  <c r="M290" i="2"/>
  <c r="L290" i="2"/>
  <c r="K290" i="2"/>
  <c r="G290" i="2"/>
  <c r="E290" i="2"/>
  <c r="B290" i="2"/>
  <c r="S289" i="2"/>
  <c r="P289" i="2"/>
  <c r="M289" i="2"/>
  <c r="L289" i="2"/>
  <c r="K289" i="2"/>
  <c r="G289" i="2"/>
  <c r="E289" i="2"/>
  <c r="B289" i="2"/>
  <c r="S288" i="2"/>
  <c r="P288" i="2"/>
  <c r="M288" i="2"/>
  <c r="L288" i="2"/>
  <c r="K288" i="2"/>
  <c r="G288" i="2"/>
  <c r="E288" i="2"/>
  <c r="B288" i="2"/>
  <c r="S287" i="2"/>
  <c r="P287" i="2"/>
  <c r="M287" i="2"/>
  <c r="L287" i="2"/>
  <c r="K287" i="2"/>
  <c r="G287" i="2"/>
  <c r="E287" i="2"/>
  <c r="B287" i="2"/>
  <c r="S286" i="2"/>
  <c r="P286" i="2"/>
  <c r="M286" i="2"/>
  <c r="L286" i="2"/>
  <c r="K286" i="2"/>
  <c r="G286" i="2"/>
  <c r="E286" i="2"/>
  <c r="B286" i="2"/>
  <c r="S285" i="2"/>
  <c r="P285" i="2"/>
  <c r="M285" i="2"/>
  <c r="L285" i="2"/>
  <c r="K285" i="2"/>
  <c r="G285" i="2"/>
  <c r="E285" i="2"/>
  <c r="B285" i="2"/>
  <c r="S284" i="2"/>
  <c r="P284" i="2"/>
  <c r="M284" i="2"/>
  <c r="L284" i="2"/>
  <c r="K284" i="2"/>
  <c r="G284" i="2"/>
  <c r="E284" i="2"/>
  <c r="B284" i="2"/>
  <c r="S283" i="2"/>
  <c r="P283" i="2"/>
  <c r="M283" i="2"/>
  <c r="L283" i="2"/>
  <c r="K283" i="2"/>
  <c r="G283" i="2"/>
  <c r="E283" i="2"/>
  <c r="B283" i="2"/>
  <c r="S282" i="2"/>
  <c r="P282" i="2"/>
  <c r="M282" i="2"/>
  <c r="L282" i="2"/>
  <c r="K282" i="2"/>
  <c r="G282" i="2"/>
  <c r="E282" i="2"/>
  <c r="B282" i="2"/>
  <c r="S281" i="2"/>
  <c r="P281" i="2"/>
  <c r="M281" i="2"/>
  <c r="L281" i="2"/>
  <c r="K281" i="2"/>
  <c r="G281" i="2"/>
  <c r="E281" i="2"/>
  <c r="B281" i="2"/>
  <c r="S280" i="2"/>
  <c r="P280" i="2"/>
  <c r="M280" i="2"/>
  <c r="L280" i="2"/>
  <c r="K280" i="2"/>
  <c r="G280" i="2"/>
  <c r="E280" i="2"/>
  <c r="B280" i="2"/>
  <c r="S279" i="2"/>
  <c r="P279" i="2"/>
  <c r="M279" i="2"/>
  <c r="L279" i="2"/>
  <c r="K279" i="2"/>
  <c r="G279" i="2"/>
  <c r="E279" i="2"/>
  <c r="B279" i="2"/>
  <c r="S278" i="2"/>
  <c r="P278" i="2"/>
  <c r="M278" i="2"/>
  <c r="L278" i="2"/>
  <c r="K278" i="2"/>
  <c r="G278" i="2"/>
  <c r="E278" i="2"/>
  <c r="B278" i="2"/>
  <c r="S277" i="2"/>
  <c r="P277" i="2"/>
  <c r="M277" i="2"/>
  <c r="L277" i="2"/>
  <c r="K277" i="2"/>
  <c r="G277" i="2"/>
  <c r="E277" i="2"/>
  <c r="B277" i="2"/>
  <c r="S276" i="2"/>
  <c r="P276" i="2"/>
  <c r="M276" i="2"/>
  <c r="L276" i="2"/>
  <c r="K276" i="2"/>
  <c r="G276" i="2"/>
  <c r="E276" i="2"/>
  <c r="B276" i="2"/>
  <c r="S275" i="2"/>
  <c r="P275" i="2"/>
  <c r="M275" i="2"/>
  <c r="L275" i="2"/>
  <c r="K275" i="2"/>
  <c r="G275" i="2"/>
  <c r="E275" i="2"/>
  <c r="B275" i="2"/>
  <c r="S274" i="2"/>
  <c r="P274" i="2"/>
  <c r="M274" i="2"/>
  <c r="L274" i="2"/>
  <c r="K274" i="2"/>
  <c r="G274" i="2"/>
  <c r="E274" i="2"/>
  <c r="B274" i="2"/>
  <c r="S273" i="2"/>
  <c r="P273" i="2"/>
  <c r="M273" i="2"/>
  <c r="L273" i="2"/>
  <c r="K273" i="2"/>
  <c r="G273" i="2"/>
  <c r="E273" i="2"/>
  <c r="B273" i="2"/>
  <c r="S272" i="2"/>
  <c r="P272" i="2"/>
  <c r="M272" i="2"/>
  <c r="L272" i="2"/>
  <c r="K272" i="2"/>
  <c r="G272" i="2"/>
  <c r="E272" i="2"/>
  <c r="B272" i="2"/>
  <c r="S271" i="2"/>
  <c r="P271" i="2"/>
  <c r="M271" i="2"/>
  <c r="L271" i="2"/>
  <c r="K271" i="2"/>
  <c r="G271" i="2"/>
  <c r="E271" i="2"/>
  <c r="B271" i="2"/>
  <c r="S270" i="2"/>
  <c r="P270" i="2"/>
  <c r="M270" i="2"/>
  <c r="L270" i="2"/>
  <c r="K270" i="2"/>
  <c r="G270" i="2"/>
  <c r="E270" i="2"/>
  <c r="B270" i="2"/>
  <c r="S269" i="2"/>
  <c r="P269" i="2"/>
  <c r="M269" i="2"/>
  <c r="L269" i="2"/>
  <c r="K269" i="2"/>
  <c r="G269" i="2"/>
  <c r="E269" i="2"/>
  <c r="B269" i="2"/>
  <c r="S268" i="2"/>
  <c r="P268" i="2"/>
  <c r="M268" i="2"/>
  <c r="L268" i="2"/>
  <c r="K268" i="2"/>
  <c r="G268" i="2"/>
  <c r="E268" i="2"/>
  <c r="B268" i="2"/>
  <c r="S267" i="2"/>
  <c r="P267" i="2"/>
  <c r="M267" i="2"/>
  <c r="L267" i="2"/>
  <c r="K267" i="2"/>
  <c r="G267" i="2"/>
  <c r="E267" i="2"/>
  <c r="B267" i="2"/>
  <c r="S266" i="2"/>
  <c r="P266" i="2"/>
  <c r="M266" i="2"/>
  <c r="L266" i="2"/>
  <c r="K266" i="2"/>
  <c r="G266" i="2"/>
  <c r="E266" i="2"/>
  <c r="B266" i="2"/>
  <c r="S265" i="2"/>
  <c r="P265" i="2"/>
  <c r="M265" i="2"/>
  <c r="L265" i="2"/>
  <c r="K265" i="2"/>
  <c r="G265" i="2"/>
  <c r="E265" i="2"/>
  <c r="B265" i="2"/>
  <c r="S264" i="2"/>
  <c r="P264" i="2"/>
  <c r="M264" i="2"/>
  <c r="L264" i="2"/>
  <c r="K264" i="2"/>
  <c r="G264" i="2"/>
  <c r="E264" i="2"/>
  <c r="B264" i="2"/>
  <c r="S263" i="2"/>
  <c r="P263" i="2"/>
  <c r="M263" i="2"/>
  <c r="L263" i="2"/>
  <c r="K263" i="2"/>
  <c r="G263" i="2"/>
  <c r="E263" i="2"/>
  <c r="B263" i="2"/>
  <c r="S262" i="2"/>
  <c r="P262" i="2"/>
  <c r="M262" i="2"/>
  <c r="L262" i="2"/>
  <c r="K262" i="2"/>
  <c r="G262" i="2"/>
  <c r="E262" i="2"/>
  <c r="B262" i="2"/>
  <c r="S261" i="2"/>
  <c r="P261" i="2"/>
  <c r="M261" i="2"/>
  <c r="L261" i="2"/>
  <c r="K261" i="2"/>
  <c r="G261" i="2"/>
  <c r="E261" i="2"/>
  <c r="B261" i="2"/>
  <c r="S260" i="2"/>
  <c r="P260" i="2"/>
  <c r="M260" i="2"/>
  <c r="L260" i="2"/>
  <c r="K260" i="2"/>
  <c r="G260" i="2"/>
  <c r="E260" i="2"/>
  <c r="B260" i="2"/>
  <c r="S259" i="2"/>
  <c r="P259" i="2"/>
  <c r="M259" i="2"/>
  <c r="L259" i="2"/>
  <c r="K259" i="2"/>
  <c r="G259" i="2"/>
  <c r="E259" i="2"/>
  <c r="B259" i="2"/>
  <c r="S258" i="2"/>
  <c r="P258" i="2"/>
  <c r="M258" i="2"/>
  <c r="L258" i="2"/>
  <c r="K258" i="2"/>
  <c r="G258" i="2"/>
  <c r="E258" i="2"/>
  <c r="B258" i="2"/>
  <c r="S257" i="2"/>
  <c r="P257" i="2"/>
  <c r="M257" i="2"/>
  <c r="L257" i="2"/>
  <c r="K257" i="2"/>
  <c r="G257" i="2"/>
  <c r="E257" i="2"/>
  <c r="B257" i="2"/>
  <c r="S256" i="2"/>
  <c r="P256" i="2"/>
  <c r="M256" i="2"/>
  <c r="L256" i="2"/>
  <c r="K256" i="2"/>
  <c r="G256" i="2"/>
  <c r="E256" i="2"/>
  <c r="B256" i="2"/>
  <c r="S255" i="2"/>
  <c r="P255" i="2"/>
  <c r="M255" i="2"/>
  <c r="L255" i="2"/>
  <c r="K255" i="2"/>
  <c r="G255" i="2"/>
  <c r="E255" i="2"/>
  <c r="B255" i="2"/>
  <c r="S254" i="2"/>
  <c r="P254" i="2"/>
  <c r="M254" i="2"/>
  <c r="L254" i="2"/>
  <c r="K254" i="2"/>
  <c r="G254" i="2"/>
  <c r="E254" i="2"/>
  <c r="B254" i="2"/>
  <c r="S253" i="2"/>
  <c r="P253" i="2"/>
  <c r="M253" i="2"/>
  <c r="L253" i="2"/>
  <c r="K253" i="2"/>
  <c r="G253" i="2"/>
  <c r="E253" i="2"/>
  <c r="B253" i="2"/>
  <c r="S252" i="2"/>
  <c r="P252" i="2"/>
  <c r="M252" i="2"/>
  <c r="L252" i="2"/>
  <c r="K252" i="2"/>
  <c r="G252" i="2"/>
  <c r="E252" i="2"/>
  <c r="B252" i="2"/>
  <c r="S251" i="2"/>
  <c r="P251" i="2"/>
  <c r="M251" i="2"/>
  <c r="L251" i="2"/>
  <c r="K251" i="2"/>
  <c r="G251" i="2"/>
  <c r="E251" i="2"/>
  <c r="B251" i="2"/>
  <c r="S250" i="2"/>
  <c r="P250" i="2"/>
  <c r="M250" i="2"/>
  <c r="L250" i="2"/>
  <c r="K250" i="2"/>
  <c r="G250" i="2"/>
  <c r="E250" i="2"/>
  <c r="B250" i="2"/>
  <c r="S249" i="2"/>
  <c r="P249" i="2"/>
  <c r="M249" i="2"/>
  <c r="L249" i="2"/>
  <c r="K249" i="2"/>
  <c r="G249" i="2"/>
  <c r="E249" i="2"/>
  <c r="B249" i="2"/>
  <c r="S248" i="2"/>
  <c r="P248" i="2"/>
  <c r="M248" i="2"/>
  <c r="L248" i="2"/>
  <c r="K248" i="2"/>
  <c r="G248" i="2"/>
  <c r="E248" i="2"/>
  <c r="B248" i="2"/>
  <c r="S247" i="2"/>
  <c r="P247" i="2"/>
  <c r="M247" i="2"/>
  <c r="L247" i="2"/>
  <c r="K247" i="2"/>
  <c r="G247" i="2"/>
  <c r="E247" i="2"/>
  <c r="B247" i="2"/>
  <c r="S246" i="2"/>
  <c r="P246" i="2"/>
  <c r="M246" i="2"/>
  <c r="L246" i="2"/>
  <c r="K246" i="2"/>
  <c r="G246" i="2"/>
  <c r="E246" i="2"/>
  <c r="B246" i="2"/>
  <c r="S245" i="2"/>
  <c r="P245" i="2"/>
  <c r="M245" i="2"/>
  <c r="L245" i="2"/>
  <c r="K245" i="2"/>
  <c r="G245" i="2"/>
  <c r="E245" i="2"/>
  <c r="B245" i="2"/>
  <c r="S244" i="2"/>
  <c r="P244" i="2"/>
  <c r="M244" i="2"/>
  <c r="L244" i="2"/>
  <c r="K244" i="2"/>
  <c r="G244" i="2"/>
  <c r="E244" i="2"/>
  <c r="B244" i="2"/>
  <c r="S243" i="2"/>
  <c r="P243" i="2"/>
  <c r="M243" i="2"/>
  <c r="L243" i="2"/>
  <c r="K243" i="2"/>
  <c r="G243" i="2"/>
  <c r="E243" i="2"/>
  <c r="B243" i="2"/>
  <c r="S242" i="2"/>
  <c r="P242" i="2"/>
  <c r="M242" i="2"/>
  <c r="L242" i="2"/>
  <c r="K242" i="2"/>
  <c r="G242" i="2"/>
  <c r="E242" i="2"/>
  <c r="B242" i="2"/>
  <c r="S241" i="2"/>
  <c r="P241" i="2"/>
  <c r="M241" i="2"/>
  <c r="L241" i="2"/>
  <c r="K241" i="2"/>
  <c r="G241" i="2"/>
  <c r="E241" i="2"/>
  <c r="B241" i="2"/>
  <c r="S240" i="2"/>
  <c r="P240" i="2"/>
  <c r="M240" i="2"/>
  <c r="L240" i="2"/>
  <c r="K240" i="2"/>
  <c r="G240" i="2"/>
  <c r="E240" i="2"/>
  <c r="B240" i="2"/>
  <c r="S239" i="2"/>
  <c r="P239" i="2"/>
  <c r="M239" i="2"/>
  <c r="L239" i="2"/>
  <c r="K239" i="2"/>
  <c r="G239" i="2"/>
  <c r="E239" i="2"/>
  <c r="B239" i="2"/>
  <c r="S238" i="2"/>
  <c r="P238" i="2"/>
  <c r="M238" i="2"/>
  <c r="L238" i="2"/>
  <c r="K238" i="2"/>
  <c r="G238" i="2"/>
  <c r="E238" i="2"/>
  <c r="B238" i="2"/>
  <c r="S237" i="2"/>
  <c r="P237" i="2"/>
  <c r="M237" i="2"/>
  <c r="L237" i="2"/>
  <c r="K237" i="2"/>
  <c r="G237" i="2"/>
  <c r="E237" i="2"/>
  <c r="B237" i="2"/>
  <c r="S236" i="2"/>
  <c r="P236" i="2"/>
  <c r="M236" i="2"/>
  <c r="L236" i="2"/>
  <c r="K236" i="2"/>
  <c r="G236" i="2"/>
  <c r="E236" i="2"/>
  <c r="B236" i="2"/>
  <c r="S235" i="2"/>
  <c r="P235" i="2"/>
  <c r="M235" i="2"/>
  <c r="L235" i="2"/>
  <c r="K235" i="2"/>
  <c r="G235" i="2"/>
  <c r="E235" i="2"/>
  <c r="B235" i="2"/>
  <c r="S234" i="2"/>
  <c r="P234" i="2"/>
  <c r="M234" i="2"/>
  <c r="L234" i="2"/>
  <c r="K234" i="2"/>
  <c r="G234" i="2"/>
  <c r="E234" i="2"/>
  <c r="B234" i="2"/>
  <c r="S233" i="2"/>
  <c r="P233" i="2"/>
  <c r="M233" i="2"/>
  <c r="L233" i="2"/>
  <c r="K233" i="2"/>
  <c r="G233" i="2"/>
  <c r="E233" i="2"/>
  <c r="B233" i="2"/>
  <c r="S232" i="2"/>
  <c r="P232" i="2"/>
  <c r="M232" i="2"/>
  <c r="L232" i="2"/>
  <c r="K232" i="2"/>
  <c r="G232" i="2"/>
  <c r="E232" i="2"/>
  <c r="B232" i="2"/>
  <c r="S231" i="2"/>
  <c r="P231" i="2"/>
  <c r="M231" i="2"/>
  <c r="L231" i="2"/>
  <c r="K231" i="2"/>
  <c r="G231" i="2"/>
  <c r="E231" i="2"/>
  <c r="B231" i="2"/>
  <c r="S230" i="2"/>
  <c r="P230" i="2"/>
  <c r="M230" i="2"/>
  <c r="L230" i="2"/>
  <c r="K230" i="2"/>
  <c r="G230" i="2"/>
  <c r="E230" i="2"/>
  <c r="B230" i="2"/>
  <c r="S229" i="2"/>
  <c r="P229" i="2"/>
  <c r="M229" i="2"/>
  <c r="L229" i="2"/>
  <c r="K229" i="2"/>
  <c r="G229" i="2"/>
  <c r="E229" i="2"/>
  <c r="B229" i="2"/>
  <c r="S228" i="2"/>
  <c r="P228" i="2"/>
  <c r="M228" i="2"/>
  <c r="L228" i="2"/>
  <c r="K228" i="2"/>
  <c r="G228" i="2"/>
  <c r="E228" i="2"/>
  <c r="B228" i="2"/>
  <c r="S227" i="2"/>
  <c r="P227" i="2"/>
  <c r="M227" i="2"/>
  <c r="L227" i="2"/>
  <c r="K227" i="2"/>
  <c r="G227" i="2"/>
  <c r="E227" i="2"/>
  <c r="B227" i="2"/>
  <c r="S226" i="2"/>
  <c r="P226" i="2"/>
  <c r="M226" i="2"/>
  <c r="L226" i="2"/>
  <c r="K226" i="2"/>
  <c r="G226" i="2"/>
  <c r="E226" i="2"/>
  <c r="B226" i="2"/>
  <c r="S225" i="2"/>
  <c r="P225" i="2"/>
  <c r="M225" i="2"/>
  <c r="L225" i="2"/>
  <c r="K225" i="2"/>
  <c r="G225" i="2"/>
  <c r="E225" i="2"/>
  <c r="B225" i="2"/>
  <c r="S224" i="2"/>
  <c r="P224" i="2"/>
  <c r="M224" i="2"/>
  <c r="L224" i="2"/>
  <c r="K224" i="2"/>
  <c r="G224" i="2"/>
  <c r="E224" i="2"/>
  <c r="B224" i="2"/>
  <c r="S223" i="2"/>
  <c r="P223" i="2"/>
  <c r="M223" i="2"/>
  <c r="L223" i="2"/>
  <c r="K223" i="2"/>
  <c r="G223" i="2"/>
  <c r="E223" i="2"/>
  <c r="B223" i="2"/>
  <c r="S222" i="2"/>
  <c r="P222" i="2"/>
  <c r="M222" i="2"/>
  <c r="L222" i="2"/>
  <c r="K222" i="2"/>
  <c r="G222" i="2"/>
  <c r="E222" i="2"/>
  <c r="B222" i="2"/>
  <c r="S221" i="2"/>
  <c r="P221" i="2"/>
  <c r="M221" i="2"/>
  <c r="L221" i="2"/>
  <c r="K221" i="2"/>
  <c r="G221" i="2"/>
  <c r="E221" i="2"/>
  <c r="B221" i="2"/>
  <c r="S220" i="2"/>
  <c r="P220" i="2"/>
  <c r="M220" i="2"/>
  <c r="L220" i="2"/>
  <c r="K220" i="2"/>
  <c r="G220" i="2"/>
  <c r="E220" i="2"/>
  <c r="B220" i="2"/>
  <c r="S219" i="2"/>
  <c r="P219" i="2"/>
  <c r="M219" i="2"/>
  <c r="L219" i="2"/>
  <c r="K219" i="2"/>
  <c r="G219" i="2"/>
  <c r="E219" i="2"/>
  <c r="B219" i="2"/>
  <c r="S218" i="2"/>
  <c r="P218" i="2"/>
  <c r="M218" i="2"/>
  <c r="L218" i="2"/>
  <c r="K218" i="2"/>
  <c r="G218" i="2"/>
  <c r="E218" i="2"/>
  <c r="B218" i="2"/>
  <c r="S217" i="2"/>
  <c r="P217" i="2"/>
  <c r="M217" i="2"/>
  <c r="L217" i="2"/>
  <c r="K217" i="2"/>
  <c r="G217" i="2"/>
  <c r="E217" i="2"/>
  <c r="B217" i="2"/>
  <c r="S216" i="2"/>
  <c r="P216" i="2"/>
  <c r="M216" i="2"/>
  <c r="L216" i="2"/>
  <c r="K216" i="2"/>
  <c r="G216" i="2"/>
  <c r="E216" i="2"/>
  <c r="B216" i="2"/>
  <c r="S215" i="2"/>
  <c r="P215" i="2"/>
  <c r="M215" i="2"/>
  <c r="L215" i="2"/>
  <c r="K215" i="2"/>
  <c r="G215" i="2"/>
  <c r="E215" i="2"/>
  <c r="B215" i="2"/>
  <c r="S214" i="2"/>
  <c r="P214" i="2"/>
  <c r="M214" i="2"/>
  <c r="L214" i="2"/>
  <c r="K214" i="2"/>
  <c r="G214" i="2"/>
  <c r="E214" i="2"/>
  <c r="B214" i="2"/>
  <c r="S213" i="2"/>
  <c r="P213" i="2"/>
  <c r="M213" i="2"/>
  <c r="L213" i="2"/>
  <c r="K213" i="2"/>
  <c r="G213" i="2"/>
  <c r="E213" i="2"/>
  <c r="B213" i="2"/>
  <c r="S212" i="2"/>
  <c r="P212" i="2"/>
  <c r="M212" i="2"/>
  <c r="L212" i="2"/>
  <c r="K212" i="2"/>
  <c r="G212" i="2"/>
  <c r="E212" i="2"/>
  <c r="B212" i="2"/>
  <c r="S211" i="2"/>
  <c r="P211" i="2"/>
  <c r="M211" i="2"/>
  <c r="L211" i="2"/>
  <c r="K211" i="2"/>
  <c r="G211" i="2"/>
  <c r="E211" i="2"/>
  <c r="B211" i="2"/>
  <c r="S210" i="2"/>
  <c r="P210" i="2"/>
  <c r="M210" i="2"/>
  <c r="L210" i="2"/>
  <c r="K210" i="2"/>
  <c r="G210" i="2"/>
  <c r="E210" i="2"/>
  <c r="B210" i="2"/>
  <c r="S209" i="2"/>
  <c r="P209" i="2"/>
  <c r="M209" i="2"/>
  <c r="L209" i="2"/>
  <c r="K209" i="2"/>
  <c r="G209" i="2"/>
  <c r="E209" i="2"/>
  <c r="B209" i="2"/>
  <c r="S208" i="2"/>
  <c r="P208" i="2"/>
  <c r="M208" i="2"/>
  <c r="L208" i="2"/>
  <c r="K208" i="2"/>
  <c r="G208" i="2"/>
  <c r="E208" i="2"/>
  <c r="B208" i="2"/>
  <c r="S207" i="2"/>
  <c r="P207" i="2"/>
  <c r="M207" i="2"/>
  <c r="L207" i="2"/>
  <c r="K207" i="2"/>
  <c r="G207" i="2"/>
  <c r="E207" i="2"/>
  <c r="B207" i="2"/>
  <c r="S206" i="2"/>
  <c r="P206" i="2"/>
  <c r="M206" i="2"/>
  <c r="L206" i="2"/>
  <c r="K206" i="2"/>
  <c r="G206" i="2"/>
  <c r="E206" i="2"/>
  <c r="B206" i="2"/>
  <c r="S205" i="2"/>
  <c r="P205" i="2"/>
  <c r="M205" i="2"/>
  <c r="L205" i="2"/>
  <c r="K205" i="2"/>
  <c r="G205" i="2"/>
  <c r="E205" i="2"/>
  <c r="B205" i="2"/>
  <c r="S204" i="2"/>
  <c r="P204" i="2"/>
  <c r="M204" i="2"/>
  <c r="L204" i="2"/>
  <c r="K204" i="2"/>
  <c r="G204" i="2"/>
  <c r="E204" i="2"/>
  <c r="B204" i="2"/>
  <c r="S203" i="2"/>
  <c r="P203" i="2"/>
  <c r="M203" i="2"/>
  <c r="L203" i="2"/>
  <c r="K203" i="2"/>
  <c r="G203" i="2"/>
  <c r="E203" i="2"/>
  <c r="B203" i="2"/>
  <c r="S202" i="2"/>
  <c r="P202" i="2"/>
  <c r="M202" i="2"/>
  <c r="L202" i="2"/>
  <c r="K202" i="2"/>
  <c r="G202" i="2"/>
  <c r="E202" i="2"/>
  <c r="B202" i="2"/>
  <c r="S201" i="2"/>
  <c r="P201" i="2"/>
  <c r="M201" i="2"/>
  <c r="L201" i="2"/>
  <c r="K201" i="2"/>
  <c r="G201" i="2"/>
  <c r="E201" i="2"/>
  <c r="B201" i="2"/>
  <c r="S200" i="2"/>
  <c r="P200" i="2"/>
  <c r="M200" i="2"/>
  <c r="L200" i="2"/>
  <c r="K200" i="2"/>
  <c r="G200" i="2"/>
  <c r="E200" i="2"/>
  <c r="B200" i="2"/>
  <c r="S199" i="2"/>
  <c r="P199" i="2"/>
  <c r="M199" i="2"/>
  <c r="L199" i="2"/>
  <c r="K199" i="2"/>
  <c r="G199" i="2"/>
  <c r="E199" i="2"/>
  <c r="B199" i="2"/>
  <c r="S198" i="2"/>
  <c r="P198" i="2"/>
  <c r="M198" i="2"/>
  <c r="L198" i="2"/>
  <c r="K198" i="2"/>
  <c r="G198" i="2"/>
  <c r="E198" i="2"/>
  <c r="B198" i="2"/>
  <c r="S197" i="2"/>
  <c r="P197" i="2"/>
  <c r="M197" i="2"/>
  <c r="L197" i="2"/>
  <c r="K197" i="2"/>
  <c r="G197" i="2"/>
  <c r="E197" i="2"/>
  <c r="B197" i="2"/>
  <c r="S196" i="2"/>
  <c r="P196" i="2"/>
  <c r="M196" i="2"/>
  <c r="L196" i="2"/>
  <c r="K196" i="2"/>
  <c r="G196" i="2"/>
  <c r="E196" i="2"/>
  <c r="B196" i="2"/>
  <c r="S195" i="2"/>
  <c r="P195" i="2"/>
  <c r="M195" i="2"/>
  <c r="L195" i="2"/>
  <c r="K195" i="2"/>
  <c r="G195" i="2"/>
  <c r="E195" i="2"/>
  <c r="B195" i="2"/>
  <c r="S194" i="2"/>
  <c r="P194" i="2"/>
  <c r="M194" i="2"/>
  <c r="L194" i="2"/>
  <c r="K194" i="2"/>
  <c r="G194" i="2"/>
  <c r="E194" i="2"/>
  <c r="B194" i="2"/>
  <c r="S193" i="2"/>
  <c r="P193" i="2"/>
  <c r="M193" i="2"/>
  <c r="L193" i="2"/>
  <c r="K193" i="2"/>
  <c r="G193" i="2"/>
  <c r="E193" i="2"/>
  <c r="B193" i="2"/>
  <c r="S192" i="2"/>
  <c r="P192" i="2"/>
  <c r="M192" i="2"/>
  <c r="L192" i="2"/>
  <c r="K192" i="2"/>
  <c r="G192" i="2"/>
  <c r="E192" i="2"/>
  <c r="B192" i="2"/>
  <c r="S191" i="2"/>
  <c r="P191" i="2"/>
  <c r="M191" i="2"/>
  <c r="L191" i="2"/>
  <c r="K191" i="2"/>
  <c r="G191" i="2"/>
  <c r="E191" i="2"/>
  <c r="B191" i="2"/>
  <c r="S190" i="2"/>
  <c r="P190" i="2"/>
  <c r="M190" i="2"/>
  <c r="L190" i="2"/>
  <c r="K190" i="2"/>
  <c r="G190" i="2"/>
  <c r="E190" i="2"/>
  <c r="B190" i="2"/>
  <c r="S189" i="2"/>
  <c r="P189" i="2"/>
  <c r="M189" i="2"/>
  <c r="L189" i="2"/>
  <c r="K189" i="2"/>
  <c r="E189" i="2"/>
  <c r="B189" i="2"/>
  <c r="S188" i="2"/>
  <c r="P188" i="2"/>
  <c r="M188" i="2"/>
  <c r="L188" i="2"/>
  <c r="K188" i="2"/>
  <c r="E188" i="2"/>
  <c r="B188" i="2"/>
  <c r="S187" i="2"/>
  <c r="P187" i="2"/>
  <c r="M187" i="2"/>
  <c r="L187" i="2"/>
  <c r="K187" i="2"/>
  <c r="E187" i="2"/>
  <c r="B187" i="2"/>
  <c r="S186" i="2"/>
  <c r="P186" i="2"/>
  <c r="M186" i="2"/>
  <c r="L186" i="2"/>
  <c r="K186" i="2"/>
  <c r="E186" i="2"/>
  <c r="B186" i="2"/>
  <c r="S185" i="2"/>
  <c r="P185" i="2"/>
  <c r="M185" i="2"/>
  <c r="L185" i="2"/>
  <c r="K185" i="2"/>
  <c r="G185" i="2"/>
  <c r="E185" i="2"/>
  <c r="B185" i="2"/>
  <c r="S184" i="2"/>
  <c r="P184" i="2"/>
  <c r="M184" i="2"/>
  <c r="L184" i="2"/>
  <c r="K184" i="2"/>
  <c r="G184" i="2"/>
  <c r="E184" i="2"/>
  <c r="B184" i="2"/>
  <c r="S183" i="2"/>
  <c r="P183" i="2"/>
  <c r="M183" i="2"/>
  <c r="L183" i="2"/>
  <c r="K183" i="2"/>
  <c r="G183" i="2"/>
  <c r="E183" i="2"/>
  <c r="B183" i="2"/>
  <c r="S182" i="2"/>
  <c r="P182" i="2"/>
  <c r="M182" i="2"/>
  <c r="L182" i="2"/>
  <c r="K182" i="2"/>
  <c r="G182" i="2"/>
  <c r="E182" i="2"/>
  <c r="B182" i="2"/>
  <c r="S181" i="2"/>
  <c r="P181" i="2"/>
  <c r="M181" i="2"/>
  <c r="L181" i="2"/>
  <c r="K181" i="2"/>
  <c r="G181" i="2"/>
  <c r="E181" i="2"/>
  <c r="B181" i="2"/>
  <c r="S180" i="2"/>
  <c r="P180" i="2"/>
  <c r="M180" i="2"/>
  <c r="L180" i="2"/>
  <c r="K180" i="2"/>
  <c r="G180" i="2"/>
  <c r="E180" i="2"/>
  <c r="B180" i="2"/>
  <c r="S179" i="2"/>
  <c r="P179" i="2"/>
  <c r="M179" i="2"/>
  <c r="L179" i="2"/>
  <c r="K179" i="2"/>
  <c r="G179" i="2"/>
  <c r="E179" i="2"/>
  <c r="B179" i="2"/>
  <c r="S178" i="2"/>
  <c r="P178" i="2"/>
  <c r="M178" i="2"/>
  <c r="L178" i="2"/>
  <c r="K178" i="2"/>
  <c r="G178" i="2"/>
  <c r="E178" i="2"/>
  <c r="B178" i="2"/>
  <c r="S177" i="2"/>
  <c r="P177" i="2"/>
  <c r="M177" i="2"/>
  <c r="L177" i="2"/>
  <c r="K177" i="2"/>
  <c r="G177" i="2"/>
  <c r="E177" i="2"/>
  <c r="B177" i="2"/>
  <c r="S176" i="2"/>
  <c r="P176" i="2"/>
  <c r="M176" i="2"/>
  <c r="L176" i="2"/>
  <c r="K176" i="2"/>
  <c r="G176" i="2"/>
  <c r="E176" i="2"/>
  <c r="B176" i="2"/>
  <c r="S175" i="2"/>
  <c r="P175" i="2"/>
  <c r="M175" i="2"/>
  <c r="L175" i="2"/>
  <c r="K175" i="2"/>
  <c r="G175" i="2"/>
  <c r="E175" i="2"/>
  <c r="B175" i="2"/>
  <c r="S174" i="2"/>
  <c r="P174" i="2"/>
  <c r="M174" i="2"/>
  <c r="L174" i="2"/>
  <c r="K174" i="2"/>
  <c r="G174" i="2"/>
  <c r="E174" i="2"/>
  <c r="B174" i="2"/>
  <c r="S173" i="2"/>
  <c r="P173" i="2"/>
  <c r="M173" i="2"/>
  <c r="L173" i="2"/>
  <c r="K173" i="2"/>
  <c r="G173" i="2"/>
  <c r="E173" i="2"/>
  <c r="B173" i="2"/>
  <c r="S172" i="2"/>
  <c r="P172" i="2"/>
  <c r="M172" i="2"/>
  <c r="L172" i="2"/>
  <c r="K172" i="2"/>
  <c r="G172" i="2"/>
  <c r="E172" i="2"/>
  <c r="B172" i="2"/>
  <c r="S171" i="2"/>
  <c r="P171" i="2"/>
  <c r="M171" i="2"/>
  <c r="L171" i="2"/>
  <c r="K171" i="2"/>
  <c r="G171" i="2"/>
  <c r="E171" i="2"/>
  <c r="B171" i="2"/>
  <c r="S170" i="2"/>
  <c r="P170" i="2"/>
  <c r="M170" i="2"/>
  <c r="L170" i="2"/>
  <c r="K170" i="2"/>
  <c r="G170" i="2"/>
  <c r="E170" i="2"/>
  <c r="B170" i="2"/>
  <c r="S169" i="2"/>
  <c r="P169" i="2"/>
  <c r="M169" i="2"/>
  <c r="L169" i="2"/>
  <c r="K169" i="2"/>
  <c r="G169" i="2"/>
  <c r="E169" i="2"/>
  <c r="B169" i="2"/>
  <c r="S168" i="2"/>
  <c r="P168" i="2"/>
  <c r="M168" i="2"/>
  <c r="L168" i="2"/>
  <c r="K168" i="2"/>
  <c r="G168" i="2"/>
  <c r="E168" i="2"/>
  <c r="B168" i="2"/>
  <c r="S167" i="2"/>
  <c r="P167" i="2"/>
  <c r="M167" i="2"/>
  <c r="L167" i="2"/>
  <c r="K167" i="2"/>
  <c r="G167" i="2"/>
  <c r="E167" i="2"/>
  <c r="B167" i="2"/>
  <c r="S166" i="2"/>
  <c r="P166" i="2"/>
  <c r="M166" i="2"/>
  <c r="L166" i="2"/>
  <c r="K166" i="2"/>
  <c r="G166" i="2"/>
  <c r="E166" i="2"/>
  <c r="B166" i="2"/>
  <c r="S165" i="2"/>
  <c r="P165" i="2"/>
  <c r="M165" i="2"/>
  <c r="L165" i="2"/>
  <c r="K165" i="2"/>
  <c r="G165" i="2"/>
  <c r="E165" i="2"/>
  <c r="B165" i="2"/>
  <c r="S164" i="2"/>
  <c r="P164" i="2"/>
  <c r="M164" i="2"/>
  <c r="L164" i="2"/>
  <c r="K164" i="2"/>
  <c r="G164" i="2"/>
  <c r="E164" i="2"/>
  <c r="B164" i="2"/>
  <c r="S163" i="2"/>
  <c r="P163" i="2"/>
  <c r="M163" i="2"/>
  <c r="L163" i="2"/>
  <c r="K163" i="2"/>
  <c r="G163" i="2"/>
  <c r="E163" i="2"/>
  <c r="B163" i="2"/>
  <c r="S162" i="2"/>
  <c r="P162" i="2"/>
  <c r="M162" i="2"/>
  <c r="L162" i="2"/>
  <c r="K162" i="2"/>
  <c r="G162" i="2"/>
  <c r="E162" i="2"/>
  <c r="B162" i="2"/>
  <c r="S161" i="2"/>
  <c r="P161" i="2"/>
  <c r="M161" i="2"/>
  <c r="L161" i="2"/>
  <c r="K161" i="2"/>
  <c r="G161" i="2"/>
  <c r="E161" i="2"/>
  <c r="B161" i="2"/>
  <c r="S160" i="2"/>
  <c r="P160" i="2"/>
  <c r="M160" i="2"/>
  <c r="L160" i="2"/>
  <c r="K160" i="2"/>
  <c r="G160" i="2"/>
  <c r="E160" i="2"/>
  <c r="B160" i="2"/>
  <c r="S159" i="2"/>
  <c r="P159" i="2"/>
  <c r="M159" i="2"/>
  <c r="L159" i="2"/>
  <c r="K159" i="2"/>
  <c r="G159" i="2"/>
  <c r="E159" i="2"/>
  <c r="B159" i="2"/>
  <c r="S158" i="2"/>
  <c r="P158" i="2"/>
  <c r="M158" i="2"/>
  <c r="L158" i="2"/>
  <c r="K158" i="2"/>
  <c r="G158" i="2"/>
  <c r="E158" i="2"/>
  <c r="B158" i="2"/>
  <c r="S157" i="2"/>
  <c r="P157" i="2"/>
  <c r="M157" i="2"/>
  <c r="L157" i="2"/>
  <c r="K157" i="2"/>
  <c r="G157" i="2"/>
  <c r="E157" i="2"/>
  <c r="B157" i="2"/>
  <c r="S156" i="2"/>
  <c r="P156" i="2"/>
  <c r="M156" i="2"/>
  <c r="L156" i="2"/>
  <c r="K156" i="2"/>
  <c r="G156" i="2"/>
  <c r="E156" i="2"/>
  <c r="B156" i="2"/>
  <c r="S155" i="2"/>
  <c r="P155" i="2"/>
  <c r="M155" i="2"/>
  <c r="L155" i="2"/>
  <c r="K155" i="2"/>
  <c r="G155" i="2"/>
  <c r="E155" i="2"/>
  <c r="B155" i="2"/>
  <c r="S154" i="2"/>
  <c r="P154" i="2"/>
  <c r="M154" i="2"/>
  <c r="L154" i="2"/>
  <c r="K154" i="2"/>
  <c r="G154" i="2"/>
  <c r="E154" i="2"/>
  <c r="B154" i="2"/>
  <c r="S153" i="2"/>
  <c r="P153" i="2"/>
  <c r="M153" i="2"/>
  <c r="L153" i="2"/>
  <c r="K153" i="2"/>
  <c r="G153" i="2"/>
  <c r="E153" i="2"/>
  <c r="B153" i="2"/>
  <c r="S152" i="2"/>
  <c r="P152" i="2"/>
  <c r="M152" i="2"/>
  <c r="L152" i="2"/>
  <c r="K152" i="2"/>
  <c r="G152" i="2"/>
  <c r="E152" i="2"/>
  <c r="B152" i="2"/>
  <c r="S151" i="2"/>
  <c r="P151" i="2"/>
  <c r="M151" i="2"/>
  <c r="L151" i="2"/>
  <c r="K151" i="2"/>
  <c r="G151" i="2"/>
  <c r="E151" i="2"/>
  <c r="B151" i="2"/>
  <c r="S150" i="2"/>
  <c r="P150" i="2"/>
  <c r="M150" i="2"/>
  <c r="L150" i="2"/>
  <c r="K150" i="2"/>
  <c r="G150" i="2"/>
  <c r="E150" i="2"/>
  <c r="B150" i="2"/>
  <c r="S149" i="2"/>
  <c r="P149" i="2"/>
  <c r="M149" i="2"/>
  <c r="L149" i="2"/>
  <c r="K149" i="2"/>
  <c r="G149" i="2"/>
  <c r="E149" i="2"/>
  <c r="B149" i="2"/>
  <c r="S148" i="2"/>
  <c r="P148" i="2"/>
  <c r="M148" i="2"/>
  <c r="L148" i="2"/>
  <c r="K148" i="2"/>
  <c r="G148" i="2"/>
  <c r="E148" i="2"/>
  <c r="B148" i="2"/>
  <c r="S147" i="2"/>
  <c r="P147" i="2"/>
  <c r="M147" i="2"/>
  <c r="L147" i="2"/>
  <c r="K147" i="2"/>
  <c r="G147" i="2"/>
  <c r="E147" i="2"/>
  <c r="B147" i="2"/>
  <c r="S146" i="2"/>
  <c r="P146" i="2"/>
  <c r="M146" i="2"/>
  <c r="L146" i="2"/>
  <c r="K146" i="2"/>
  <c r="G146" i="2"/>
  <c r="E146" i="2"/>
  <c r="B146" i="2"/>
  <c r="S145" i="2"/>
  <c r="P145" i="2"/>
  <c r="M145" i="2"/>
  <c r="L145" i="2"/>
  <c r="K145" i="2"/>
  <c r="G145" i="2"/>
  <c r="E145" i="2"/>
  <c r="B145" i="2"/>
  <c r="S144" i="2"/>
  <c r="P144" i="2"/>
  <c r="M144" i="2"/>
  <c r="L144" i="2"/>
  <c r="K144" i="2"/>
  <c r="G144" i="2"/>
  <c r="E144" i="2"/>
  <c r="B144" i="2"/>
  <c r="S143" i="2"/>
  <c r="P143" i="2"/>
  <c r="M143" i="2"/>
  <c r="L143" i="2"/>
  <c r="K143" i="2"/>
  <c r="G143" i="2"/>
  <c r="E143" i="2"/>
  <c r="B143" i="2"/>
  <c r="S142" i="2"/>
  <c r="P142" i="2"/>
  <c r="M142" i="2"/>
  <c r="L142" i="2"/>
  <c r="K142" i="2"/>
  <c r="G142" i="2"/>
  <c r="E142" i="2"/>
  <c r="B142" i="2"/>
  <c r="S141" i="2"/>
  <c r="P141" i="2"/>
  <c r="M141" i="2"/>
  <c r="L141" i="2"/>
  <c r="K141" i="2"/>
  <c r="G141" i="2"/>
  <c r="E141" i="2"/>
  <c r="B141" i="2"/>
  <c r="S140" i="2"/>
  <c r="P140" i="2"/>
  <c r="M140" i="2"/>
  <c r="L140" i="2"/>
  <c r="K140" i="2"/>
  <c r="G140" i="2"/>
  <c r="E140" i="2"/>
  <c r="B140" i="2"/>
  <c r="S139" i="2"/>
  <c r="P139" i="2"/>
  <c r="M139" i="2"/>
  <c r="L139" i="2"/>
  <c r="K139" i="2"/>
  <c r="G139" i="2"/>
  <c r="E139" i="2"/>
  <c r="B139" i="2"/>
  <c r="S138" i="2"/>
  <c r="P138" i="2"/>
  <c r="M138" i="2"/>
  <c r="L138" i="2"/>
  <c r="K138" i="2"/>
  <c r="G138" i="2"/>
  <c r="E138" i="2"/>
  <c r="B138" i="2"/>
  <c r="S137" i="2"/>
  <c r="P137" i="2"/>
  <c r="M137" i="2"/>
  <c r="L137" i="2"/>
  <c r="K137" i="2"/>
  <c r="G137" i="2"/>
  <c r="E137" i="2"/>
  <c r="B137" i="2"/>
  <c r="S136" i="2"/>
  <c r="P136" i="2"/>
  <c r="M136" i="2"/>
  <c r="L136" i="2"/>
  <c r="K136" i="2"/>
  <c r="G136" i="2"/>
  <c r="E136" i="2"/>
  <c r="B136" i="2"/>
  <c r="S135" i="2"/>
  <c r="P135" i="2"/>
  <c r="M135" i="2"/>
  <c r="L135" i="2"/>
  <c r="K135" i="2"/>
  <c r="G135" i="2"/>
  <c r="E135" i="2"/>
  <c r="B135" i="2"/>
  <c r="S134" i="2"/>
  <c r="P134" i="2"/>
  <c r="M134" i="2"/>
  <c r="L134" i="2"/>
  <c r="K134" i="2"/>
  <c r="G134" i="2"/>
  <c r="E134" i="2"/>
  <c r="B134" i="2"/>
  <c r="S133" i="2"/>
  <c r="P133" i="2"/>
  <c r="M133" i="2"/>
  <c r="L133" i="2"/>
  <c r="K133" i="2"/>
  <c r="G133" i="2"/>
  <c r="E133" i="2"/>
  <c r="B133" i="2"/>
  <c r="S132" i="2"/>
  <c r="P132" i="2"/>
  <c r="M132" i="2"/>
  <c r="L132" i="2"/>
  <c r="K132" i="2"/>
  <c r="G132" i="2"/>
  <c r="E132" i="2"/>
  <c r="B132" i="2"/>
  <c r="S131" i="2"/>
  <c r="P131" i="2"/>
  <c r="M131" i="2"/>
  <c r="L131" i="2"/>
  <c r="K131" i="2"/>
  <c r="G131" i="2"/>
  <c r="E131" i="2"/>
  <c r="B131" i="2"/>
  <c r="S130" i="2"/>
  <c r="P130" i="2"/>
  <c r="M130" i="2"/>
  <c r="L130" i="2"/>
  <c r="K130" i="2"/>
  <c r="G130" i="2"/>
  <c r="E130" i="2"/>
  <c r="B130" i="2"/>
  <c r="S129" i="2"/>
  <c r="P129" i="2"/>
  <c r="M129" i="2"/>
  <c r="L129" i="2"/>
  <c r="K129" i="2"/>
  <c r="G129" i="2"/>
  <c r="E129" i="2"/>
  <c r="B129" i="2"/>
  <c r="S128" i="2"/>
  <c r="P128" i="2"/>
  <c r="M128" i="2"/>
  <c r="L128" i="2"/>
  <c r="K128" i="2"/>
  <c r="G128" i="2"/>
  <c r="E128" i="2"/>
  <c r="B128" i="2"/>
  <c r="S127" i="2"/>
  <c r="P127" i="2"/>
  <c r="M127" i="2"/>
  <c r="L127" i="2"/>
  <c r="K127" i="2"/>
  <c r="G127" i="2"/>
  <c r="E127" i="2"/>
  <c r="B127" i="2"/>
  <c r="S126" i="2"/>
  <c r="P126" i="2"/>
  <c r="M126" i="2"/>
  <c r="L126" i="2"/>
  <c r="K126" i="2"/>
  <c r="G126" i="2"/>
  <c r="E126" i="2"/>
  <c r="B126" i="2"/>
  <c r="S125" i="2"/>
  <c r="P125" i="2"/>
  <c r="M125" i="2"/>
  <c r="L125" i="2"/>
  <c r="K125" i="2"/>
  <c r="G125" i="2"/>
  <c r="E125" i="2"/>
  <c r="B125" i="2"/>
  <c r="S124" i="2"/>
  <c r="P124" i="2"/>
  <c r="M124" i="2"/>
  <c r="L124" i="2"/>
  <c r="K124" i="2"/>
  <c r="G124" i="2"/>
  <c r="E124" i="2"/>
  <c r="B124" i="2"/>
  <c r="S123" i="2"/>
  <c r="P123" i="2"/>
  <c r="M123" i="2"/>
  <c r="L123" i="2"/>
  <c r="K123" i="2"/>
  <c r="G123" i="2"/>
  <c r="E123" i="2"/>
  <c r="B123" i="2"/>
  <c r="S122" i="2"/>
  <c r="P122" i="2"/>
  <c r="M122" i="2"/>
  <c r="L122" i="2"/>
  <c r="K122" i="2"/>
  <c r="G122" i="2"/>
  <c r="E122" i="2"/>
  <c r="B122" i="2"/>
  <c r="S121" i="2"/>
  <c r="P121" i="2"/>
  <c r="M121" i="2"/>
  <c r="L121" i="2"/>
  <c r="K121" i="2"/>
  <c r="G121" i="2"/>
  <c r="E121" i="2"/>
  <c r="B121" i="2"/>
  <c r="S120" i="2"/>
  <c r="P120" i="2"/>
  <c r="M120" i="2"/>
  <c r="L120" i="2"/>
  <c r="K120" i="2"/>
  <c r="G120" i="2"/>
  <c r="E120" i="2"/>
  <c r="B120" i="2"/>
  <c r="S119" i="2"/>
  <c r="P119" i="2"/>
  <c r="M119" i="2"/>
  <c r="L119" i="2"/>
  <c r="K119" i="2"/>
  <c r="G119" i="2"/>
  <c r="E119" i="2"/>
  <c r="B119" i="2"/>
  <c r="S118" i="2"/>
  <c r="P118" i="2"/>
  <c r="M118" i="2"/>
  <c r="L118" i="2"/>
  <c r="K118" i="2"/>
  <c r="G118" i="2"/>
  <c r="E118" i="2"/>
  <c r="B118" i="2"/>
  <c r="S117" i="2"/>
  <c r="P117" i="2"/>
  <c r="M117" i="2"/>
  <c r="L117" i="2"/>
  <c r="K117" i="2"/>
  <c r="G117" i="2"/>
  <c r="E117" i="2"/>
  <c r="B117" i="2"/>
  <c r="S116" i="2"/>
  <c r="P116" i="2"/>
  <c r="M116" i="2"/>
  <c r="L116" i="2"/>
  <c r="K116" i="2"/>
  <c r="G116" i="2"/>
  <c r="E116" i="2"/>
  <c r="B116" i="2"/>
  <c r="S115" i="2"/>
  <c r="P115" i="2"/>
  <c r="M115" i="2"/>
  <c r="L115" i="2"/>
  <c r="K115" i="2"/>
  <c r="G115" i="2"/>
  <c r="E115" i="2"/>
  <c r="B115" i="2"/>
  <c r="S114" i="2"/>
  <c r="P114" i="2"/>
  <c r="M114" i="2"/>
  <c r="L114" i="2"/>
  <c r="K114" i="2"/>
  <c r="G114" i="2"/>
  <c r="E114" i="2"/>
  <c r="B114" i="2"/>
  <c r="S113" i="2"/>
  <c r="P113" i="2"/>
  <c r="M113" i="2"/>
  <c r="L113" i="2"/>
  <c r="K113" i="2"/>
  <c r="G113" i="2"/>
  <c r="E113" i="2"/>
  <c r="B113" i="2"/>
  <c r="S112" i="2"/>
  <c r="P112" i="2"/>
  <c r="M112" i="2"/>
  <c r="L112" i="2"/>
  <c r="K112" i="2"/>
  <c r="G112" i="2"/>
  <c r="E112" i="2"/>
  <c r="B112" i="2"/>
  <c r="S111" i="2"/>
  <c r="P111" i="2"/>
  <c r="M111" i="2"/>
  <c r="L111" i="2"/>
  <c r="K111" i="2"/>
  <c r="G111" i="2"/>
  <c r="E111" i="2"/>
  <c r="B111" i="2"/>
  <c r="S110" i="2"/>
  <c r="P110" i="2"/>
  <c r="M110" i="2"/>
  <c r="L110" i="2"/>
  <c r="K110" i="2"/>
  <c r="G110" i="2"/>
  <c r="E110" i="2"/>
  <c r="B110" i="2"/>
  <c r="S109" i="2"/>
  <c r="P109" i="2"/>
  <c r="M109" i="2"/>
  <c r="L109" i="2"/>
  <c r="K109" i="2"/>
  <c r="G109" i="2"/>
  <c r="E109" i="2"/>
  <c r="B109" i="2"/>
  <c r="S108" i="2"/>
  <c r="P108" i="2"/>
  <c r="M108" i="2"/>
  <c r="L108" i="2"/>
  <c r="K108" i="2"/>
  <c r="G108" i="2"/>
  <c r="E108" i="2"/>
  <c r="B108" i="2"/>
  <c r="S107" i="2"/>
  <c r="P107" i="2"/>
  <c r="M107" i="2"/>
  <c r="L107" i="2"/>
  <c r="K107" i="2"/>
  <c r="G107" i="2"/>
  <c r="E107" i="2"/>
  <c r="B107" i="2"/>
  <c r="S106" i="2"/>
  <c r="P106" i="2"/>
  <c r="M106" i="2"/>
  <c r="L106" i="2"/>
  <c r="K106" i="2"/>
  <c r="G106" i="2"/>
  <c r="E106" i="2"/>
  <c r="B106" i="2"/>
  <c r="S105" i="2"/>
  <c r="P105" i="2"/>
  <c r="M105" i="2"/>
  <c r="L105" i="2"/>
  <c r="K105" i="2"/>
  <c r="G105" i="2"/>
  <c r="E105" i="2"/>
  <c r="B105" i="2"/>
  <c r="S104" i="2"/>
  <c r="P104" i="2"/>
  <c r="M104" i="2"/>
  <c r="L104" i="2"/>
  <c r="K104" i="2"/>
  <c r="G104" i="2"/>
  <c r="E104" i="2"/>
  <c r="B104" i="2"/>
  <c r="S103" i="2"/>
  <c r="P103" i="2"/>
  <c r="M103" i="2"/>
  <c r="L103" i="2"/>
  <c r="K103" i="2"/>
  <c r="G103" i="2"/>
  <c r="E103" i="2"/>
  <c r="B103" i="2"/>
  <c r="S102" i="2"/>
  <c r="P102" i="2"/>
  <c r="M102" i="2"/>
  <c r="L102" i="2"/>
  <c r="K102" i="2"/>
  <c r="G102" i="2"/>
  <c r="E102" i="2"/>
  <c r="B102" i="2"/>
  <c r="S101" i="2"/>
  <c r="P101" i="2"/>
  <c r="M101" i="2"/>
  <c r="L101" i="2"/>
  <c r="K101" i="2"/>
  <c r="G101" i="2"/>
  <c r="E101" i="2"/>
  <c r="B101" i="2"/>
  <c r="S100" i="2"/>
  <c r="P100" i="2"/>
  <c r="M100" i="2"/>
  <c r="L100" i="2"/>
  <c r="K100" i="2"/>
  <c r="G100" i="2"/>
  <c r="E100" i="2"/>
  <c r="B100" i="2"/>
  <c r="S99" i="2"/>
  <c r="P99" i="2"/>
  <c r="M99" i="2"/>
  <c r="L99" i="2"/>
  <c r="K99" i="2"/>
  <c r="G99" i="2"/>
  <c r="E99" i="2"/>
  <c r="B99" i="2"/>
  <c r="S98" i="2"/>
  <c r="P98" i="2"/>
  <c r="M98" i="2"/>
  <c r="L98" i="2"/>
  <c r="K98" i="2"/>
  <c r="G98" i="2"/>
  <c r="E98" i="2"/>
  <c r="B98" i="2"/>
  <c r="S97" i="2"/>
  <c r="P97" i="2"/>
  <c r="M97" i="2"/>
  <c r="L97" i="2"/>
  <c r="K97" i="2"/>
  <c r="G97" i="2"/>
  <c r="E97" i="2"/>
  <c r="B97" i="2"/>
  <c r="S96" i="2"/>
  <c r="P96" i="2"/>
  <c r="M96" i="2"/>
  <c r="L96" i="2"/>
  <c r="K96" i="2"/>
  <c r="G96" i="2"/>
  <c r="E96" i="2"/>
  <c r="B96" i="2"/>
  <c r="S95" i="2"/>
  <c r="P95" i="2"/>
  <c r="M95" i="2"/>
  <c r="L95" i="2"/>
  <c r="K95" i="2"/>
  <c r="G95" i="2"/>
  <c r="E95" i="2"/>
  <c r="B95" i="2"/>
  <c r="S94" i="2"/>
  <c r="P94" i="2"/>
  <c r="M94" i="2"/>
  <c r="L94" i="2"/>
  <c r="K94" i="2"/>
  <c r="G94" i="2"/>
  <c r="E94" i="2"/>
  <c r="B94" i="2"/>
  <c r="S93" i="2"/>
  <c r="P93" i="2"/>
  <c r="M93" i="2"/>
  <c r="L93" i="2"/>
  <c r="K93" i="2"/>
  <c r="G93" i="2"/>
  <c r="E93" i="2"/>
  <c r="B93" i="2"/>
  <c r="S92" i="2"/>
  <c r="P92" i="2"/>
  <c r="M92" i="2"/>
  <c r="L92" i="2"/>
  <c r="K92" i="2"/>
  <c r="G92" i="2"/>
  <c r="E92" i="2"/>
  <c r="B92" i="2"/>
  <c r="S91" i="2"/>
  <c r="P91" i="2"/>
  <c r="M91" i="2"/>
  <c r="L91" i="2"/>
  <c r="K91" i="2"/>
  <c r="G91" i="2"/>
  <c r="E91" i="2"/>
  <c r="B91" i="2"/>
  <c r="S90" i="2"/>
  <c r="P90" i="2"/>
  <c r="M90" i="2"/>
  <c r="L90" i="2"/>
  <c r="K90" i="2"/>
  <c r="G90" i="2"/>
  <c r="E90" i="2"/>
  <c r="B90" i="2"/>
  <c r="S89" i="2"/>
  <c r="P89" i="2"/>
  <c r="M89" i="2"/>
  <c r="L89" i="2"/>
  <c r="K89" i="2"/>
  <c r="G89" i="2"/>
  <c r="E89" i="2"/>
  <c r="B89" i="2"/>
  <c r="S88" i="2"/>
  <c r="P88" i="2"/>
  <c r="M88" i="2"/>
  <c r="L88" i="2"/>
  <c r="K88" i="2"/>
  <c r="G88" i="2"/>
  <c r="E88" i="2"/>
  <c r="B88" i="2"/>
  <c r="S87" i="2"/>
  <c r="P87" i="2"/>
  <c r="M87" i="2"/>
  <c r="L87" i="2"/>
  <c r="K87" i="2"/>
  <c r="G87" i="2"/>
  <c r="E87" i="2"/>
  <c r="B87" i="2"/>
  <c r="S86" i="2"/>
  <c r="P86" i="2"/>
  <c r="M86" i="2"/>
  <c r="L86" i="2"/>
  <c r="K86" i="2"/>
  <c r="G86" i="2"/>
  <c r="E86" i="2"/>
  <c r="B86" i="2"/>
  <c r="S85" i="2"/>
  <c r="P85" i="2"/>
  <c r="M85" i="2"/>
  <c r="L85" i="2"/>
  <c r="K85" i="2"/>
  <c r="G85" i="2"/>
  <c r="E85" i="2"/>
  <c r="B85" i="2"/>
  <c r="S84" i="2"/>
  <c r="P84" i="2"/>
  <c r="M84" i="2"/>
  <c r="L84" i="2"/>
  <c r="K84" i="2"/>
  <c r="G84" i="2"/>
  <c r="E84" i="2"/>
  <c r="B84" i="2"/>
  <c r="S83" i="2"/>
  <c r="P83" i="2"/>
  <c r="M83" i="2"/>
  <c r="L83" i="2"/>
  <c r="K83" i="2"/>
  <c r="G83" i="2"/>
  <c r="E83" i="2"/>
  <c r="B83" i="2"/>
  <c r="S82" i="2"/>
  <c r="P82" i="2"/>
  <c r="M82" i="2"/>
  <c r="L82" i="2"/>
  <c r="K82" i="2"/>
  <c r="G82" i="2"/>
  <c r="E82" i="2"/>
  <c r="B82" i="2"/>
  <c r="S81" i="2"/>
  <c r="P81" i="2"/>
  <c r="M81" i="2"/>
  <c r="L81" i="2"/>
  <c r="K81" i="2"/>
  <c r="G81" i="2"/>
  <c r="E81" i="2"/>
  <c r="B81" i="2"/>
  <c r="S80" i="2"/>
  <c r="P80" i="2"/>
  <c r="M80" i="2"/>
  <c r="L80" i="2"/>
  <c r="K80" i="2"/>
  <c r="G80" i="2"/>
  <c r="E80" i="2"/>
  <c r="B80" i="2"/>
  <c r="S79" i="2"/>
  <c r="P79" i="2"/>
  <c r="M79" i="2"/>
  <c r="L79" i="2"/>
  <c r="K79" i="2"/>
  <c r="G79" i="2"/>
  <c r="E79" i="2"/>
  <c r="B79" i="2"/>
  <c r="S78" i="2"/>
  <c r="P78" i="2"/>
  <c r="M78" i="2"/>
  <c r="L78" i="2"/>
  <c r="K78" i="2"/>
  <c r="G78" i="2"/>
  <c r="E78" i="2"/>
  <c r="B78" i="2"/>
  <c r="S77" i="2"/>
  <c r="P77" i="2"/>
  <c r="M77" i="2"/>
  <c r="L77" i="2"/>
  <c r="K77" i="2"/>
  <c r="G77" i="2"/>
  <c r="E77" i="2"/>
  <c r="B77" i="2"/>
  <c r="S76" i="2"/>
  <c r="P76" i="2"/>
  <c r="M76" i="2"/>
  <c r="L76" i="2"/>
  <c r="K76" i="2"/>
  <c r="G76" i="2"/>
  <c r="E76" i="2"/>
  <c r="B76" i="2"/>
  <c r="S75" i="2"/>
  <c r="P75" i="2"/>
  <c r="M75" i="2"/>
  <c r="L75" i="2"/>
  <c r="K75" i="2"/>
  <c r="G75" i="2"/>
  <c r="E75" i="2"/>
  <c r="B75" i="2"/>
  <c r="S74" i="2"/>
  <c r="P74" i="2"/>
  <c r="M74" i="2"/>
  <c r="L74" i="2"/>
  <c r="K74" i="2"/>
  <c r="G74" i="2"/>
  <c r="E74" i="2"/>
  <c r="B74" i="2"/>
  <c r="S73" i="2"/>
  <c r="P73" i="2"/>
  <c r="M73" i="2"/>
  <c r="L73" i="2"/>
  <c r="K73" i="2"/>
  <c r="G73" i="2"/>
  <c r="E73" i="2"/>
  <c r="B73" i="2"/>
  <c r="S72" i="2"/>
  <c r="P72" i="2"/>
  <c r="M72" i="2"/>
  <c r="L72" i="2"/>
  <c r="K72" i="2"/>
  <c r="H72" i="2"/>
  <c r="G72" i="2"/>
  <c r="E72" i="2"/>
  <c r="B72" i="2"/>
  <c r="S71" i="2"/>
  <c r="P71" i="2"/>
  <c r="M71" i="2"/>
  <c r="L71" i="2"/>
  <c r="K71" i="2"/>
  <c r="G71" i="2"/>
  <c r="E71" i="2"/>
  <c r="B71" i="2"/>
  <c r="S70" i="2"/>
  <c r="P70" i="2"/>
  <c r="M70" i="2"/>
  <c r="L70" i="2"/>
  <c r="K70" i="2"/>
  <c r="G70" i="2"/>
  <c r="E70" i="2"/>
  <c r="B70" i="2"/>
  <c r="S69" i="2"/>
  <c r="P69" i="2"/>
  <c r="M69" i="2"/>
  <c r="L69" i="2"/>
  <c r="K69" i="2"/>
  <c r="G69" i="2"/>
  <c r="E69" i="2"/>
  <c r="B69" i="2"/>
  <c r="S68" i="2"/>
  <c r="P68" i="2"/>
  <c r="M68" i="2"/>
  <c r="L68" i="2"/>
  <c r="K68" i="2"/>
  <c r="G68" i="2"/>
  <c r="E68" i="2"/>
  <c r="B68" i="2"/>
  <c r="S67" i="2"/>
  <c r="P67" i="2"/>
  <c r="M67" i="2"/>
  <c r="L67" i="2"/>
  <c r="K67" i="2"/>
  <c r="G67" i="2"/>
  <c r="E67" i="2"/>
  <c r="B67" i="2"/>
  <c r="S66" i="2"/>
  <c r="P66" i="2"/>
  <c r="M66" i="2"/>
  <c r="L66" i="2"/>
  <c r="K66" i="2"/>
  <c r="G66" i="2"/>
  <c r="E66" i="2"/>
  <c r="B66" i="2"/>
  <c r="S65" i="2"/>
  <c r="P65" i="2"/>
  <c r="M65" i="2"/>
  <c r="L65" i="2"/>
  <c r="K65" i="2"/>
  <c r="G65" i="2"/>
  <c r="E65" i="2"/>
  <c r="B65" i="2"/>
  <c r="S64" i="2"/>
  <c r="P64" i="2"/>
  <c r="M64" i="2"/>
  <c r="L64" i="2"/>
  <c r="K64" i="2"/>
  <c r="G64" i="2"/>
  <c r="E64" i="2"/>
  <c r="B64" i="2"/>
  <c r="S63" i="2"/>
  <c r="P63" i="2"/>
  <c r="M63" i="2"/>
  <c r="L63" i="2"/>
  <c r="K63" i="2"/>
  <c r="G63" i="2"/>
  <c r="E63" i="2"/>
  <c r="B63" i="2"/>
  <c r="S62" i="2"/>
  <c r="P62" i="2"/>
  <c r="M62" i="2"/>
  <c r="L62" i="2"/>
  <c r="K62" i="2"/>
  <c r="G62" i="2"/>
  <c r="E62" i="2"/>
  <c r="B62" i="2"/>
  <c r="S61" i="2"/>
  <c r="P61" i="2"/>
  <c r="M61" i="2"/>
  <c r="L61" i="2"/>
  <c r="K61" i="2"/>
  <c r="G61" i="2"/>
  <c r="E61" i="2"/>
  <c r="B61" i="2"/>
  <c r="S60" i="2"/>
  <c r="P60" i="2"/>
  <c r="M60" i="2"/>
  <c r="L60" i="2"/>
  <c r="K60" i="2"/>
  <c r="G60" i="2"/>
  <c r="E60" i="2"/>
  <c r="B60" i="2"/>
  <c r="S59" i="2"/>
  <c r="P59" i="2"/>
  <c r="M59" i="2"/>
  <c r="L59" i="2"/>
  <c r="K59" i="2"/>
  <c r="G59" i="2"/>
  <c r="E59" i="2"/>
  <c r="B59" i="2"/>
  <c r="S58" i="2"/>
  <c r="P58" i="2"/>
  <c r="M58" i="2"/>
  <c r="L58" i="2"/>
  <c r="K58" i="2"/>
  <c r="G58" i="2"/>
  <c r="E58" i="2"/>
  <c r="B58" i="2"/>
  <c r="S57" i="2"/>
  <c r="P57" i="2"/>
  <c r="M57" i="2"/>
  <c r="L57" i="2"/>
  <c r="K57" i="2"/>
  <c r="G57" i="2"/>
  <c r="E57" i="2"/>
  <c r="B57" i="2"/>
  <c r="S56" i="2"/>
  <c r="P56" i="2"/>
  <c r="M56" i="2"/>
  <c r="L56" i="2"/>
  <c r="K56" i="2"/>
  <c r="H56" i="2"/>
  <c r="G56" i="2"/>
  <c r="E56" i="2"/>
  <c r="B56" i="2"/>
  <c r="S55" i="2"/>
  <c r="P55" i="2"/>
  <c r="M55" i="2"/>
  <c r="L55" i="2"/>
  <c r="K55" i="2"/>
  <c r="G55" i="2"/>
  <c r="E55" i="2"/>
  <c r="B55" i="2"/>
  <c r="S54" i="2"/>
  <c r="P54" i="2"/>
  <c r="M54" i="2"/>
  <c r="L54" i="2"/>
  <c r="K54" i="2"/>
  <c r="G54" i="2"/>
  <c r="E54" i="2"/>
  <c r="B54" i="2"/>
  <c r="S53" i="2"/>
  <c r="P53" i="2"/>
  <c r="M53" i="2"/>
  <c r="L53" i="2"/>
  <c r="K53" i="2"/>
  <c r="G53" i="2"/>
  <c r="E53" i="2"/>
  <c r="B53" i="2"/>
  <c r="S52" i="2"/>
  <c r="P52" i="2"/>
  <c r="M52" i="2"/>
  <c r="L52" i="2"/>
  <c r="K52" i="2"/>
  <c r="G52" i="2"/>
  <c r="E52" i="2"/>
  <c r="B52" i="2"/>
  <c r="S51" i="2"/>
  <c r="P51" i="2"/>
  <c r="M51" i="2"/>
  <c r="L51" i="2"/>
  <c r="K51" i="2"/>
  <c r="G51" i="2"/>
  <c r="E51" i="2"/>
  <c r="B51" i="2"/>
  <c r="S50" i="2"/>
  <c r="P50" i="2"/>
  <c r="M50" i="2"/>
  <c r="L50" i="2"/>
  <c r="K50" i="2"/>
  <c r="G50" i="2"/>
  <c r="E50" i="2"/>
  <c r="B50" i="2"/>
  <c r="S49" i="2"/>
  <c r="P49" i="2"/>
  <c r="M49" i="2"/>
  <c r="L49" i="2"/>
  <c r="K49" i="2"/>
  <c r="G49" i="2"/>
  <c r="E49" i="2"/>
  <c r="B49" i="2"/>
  <c r="S48" i="2"/>
  <c r="P48" i="2"/>
  <c r="M48" i="2"/>
  <c r="L48" i="2"/>
  <c r="K48" i="2"/>
  <c r="G48" i="2"/>
  <c r="E48" i="2"/>
  <c r="B48" i="2"/>
  <c r="S47" i="2"/>
  <c r="P47" i="2"/>
  <c r="M47" i="2"/>
  <c r="L47" i="2"/>
  <c r="K47" i="2"/>
  <c r="G47" i="2"/>
  <c r="E47" i="2"/>
  <c r="B47" i="2"/>
  <c r="S46" i="2"/>
  <c r="P46" i="2"/>
  <c r="M46" i="2"/>
  <c r="L46" i="2"/>
  <c r="K46" i="2"/>
  <c r="G46" i="2"/>
  <c r="E46" i="2"/>
  <c r="B46" i="2"/>
  <c r="S45" i="2"/>
  <c r="P45" i="2"/>
  <c r="M45" i="2"/>
  <c r="L45" i="2"/>
  <c r="K45" i="2"/>
  <c r="G45" i="2"/>
  <c r="E45" i="2"/>
  <c r="B45" i="2"/>
  <c r="S44" i="2"/>
  <c r="P44" i="2"/>
  <c r="M44" i="2"/>
  <c r="L44" i="2"/>
  <c r="K44" i="2"/>
  <c r="G44" i="2"/>
  <c r="E44" i="2"/>
  <c r="B44" i="2"/>
  <c r="S43" i="2"/>
  <c r="P43" i="2"/>
  <c r="M43" i="2"/>
  <c r="L43" i="2"/>
  <c r="K43" i="2"/>
  <c r="G43" i="2"/>
  <c r="E43" i="2"/>
  <c r="B43" i="2"/>
  <c r="S42" i="2"/>
  <c r="P42" i="2"/>
  <c r="M42" i="2"/>
  <c r="L42" i="2"/>
  <c r="K42" i="2"/>
  <c r="G42" i="2"/>
  <c r="E42" i="2"/>
  <c r="B42" i="2"/>
  <c r="S41" i="2"/>
  <c r="P41" i="2"/>
  <c r="M41" i="2"/>
  <c r="L41" i="2"/>
  <c r="K41" i="2"/>
  <c r="G41" i="2"/>
  <c r="E41" i="2"/>
  <c r="B41" i="2"/>
  <c r="S40" i="2"/>
  <c r="P40" i="2"/>
  <c r="M40" i="2"/>
  <c r="L40" i="2"/>
  <c r="K40" i="2"/>
  <c r="G40" i="2"/>
  <c r="E40" i="2"/>
  <c r="B40" i="2"/>
  <c r="S39" i="2"/>
  <c r="P39" i="2"/>
  <c r="M39" i="2"/>
  <c r="L39" i="2"/>
  <c r="K39" i="2"/>
  <c r="G39" i="2"/>
  <c r="E39" i="2"/>
  <c r="B39" i="2"/>
  <c r="S38" i="2"/>
  <c r="P38" i="2"/>
  <c r="M38" i="2"/>
  <c r="L38" i="2"/>
  <c r="K38" i="2"/>
  <c r="G38" i="2"/>
  <c r="E38" i="2"/>
  <c r="B38" i="2"/>
  <c r="S37" i="2"/>
  <c r="P37" i="2"/>
  <c r="M37" i="2"/>
  <c r="L37" i="2"/>
  <c r="K37" i="2"/>
  <c r="G37" i="2"/>
  <c r="E37" i="2"/>
  <c r="B37" i="2"/>
  <c r="S36" i="2"/>
  <c r="P36" i="2"/>
  <c r="M36" i="2"/>
  <c r="L36" i="2"/>
  <c r="K36" i="2"/>
  <c r="G36" i="2"/>
  <c r="E36" i="2"/>
  <c r="B36" i="2"/>
  <c r="S35" i="2"/>
  <c r="P35" i="2"/>
  <c r="M35" i="2"/>
  <c r="L35" i="2"/>
  <c r="K35" i="2"/>
  <c r="G35" i="2"/>
  <c r="E35" i="2"/>
  <c r="B35" i="2"/>
  <c r="S34" i="2"/>
  <c r="P34" i="2"/>
  <c r="M34" i="2"/>
  <c r="L34" i="2"/>
  <c r="K34" i="2"/>
  <c r="G34" i="2"/>
  <c r="E34" i="2"/>
  <c r="B34" i="2"/>
  <c r="S33" i="2"/>
  <c r="P33" i="2"/>
  <c r="M33" i="2"/>
  <c r="L33" i="2"/>
  <c r="K33" i="2"/>
  <c r="G33" i="2"/>
  <c r="E33" i="2"/>
  <c r="B33" i="2"/>
  <c r="S32" i="2"/>
  <c r="P32" i="2"/>
  <c r="M32" i="2"/>
  <c r="L32" i="2"/>
  <c r="K32" i="2"/>
  <c r="G32" i="2"/>
  <c r="E32" i="2"/>
  <c r="B32" i="2"/>
  <c r="S31" i="2"/>
  <c r="P31" i="2"/>
  <c r="M31" i="2"/>
  <c r="L31" i="2"/>
  <c r="K31" i="2"/>
  <c r="G31" i="2"/>
  <c r="E31" i="2"/>
  <c r="B31" i="2"/>
  <c r="S30" i="2"/>
  <c r="P30" i="2"/>
  <c r="M30" i="2"/>
  <c r="L30" i="2"/>
  <c r="K30" i="2"/>
  <c r="G30" i="2"/>
  <c r="E30" i="2"/>
  <c r="B30" i="2"/>
  <c r="S29" i="2"/>
  <c r="P29" i="2"/>
  <c r="M29" i="2"/>
  <c r="L29" i="2"/>
  <c r="K29" i="2"/>
  <c r="G29" i="2"/>
  <c r="E29" i="2"/>
  <c r="B29" i="2"/>
  <c r="S28" i="2"/>
  <c r="P28" i="2"/>
  <c r="M28" i="2"/>
  <c r="L28" i="2"/>
  <c r="K28" i="2"/>
  <c r="G28" i="2"/>
  <c r="E28" i="2"/>
  <c r="B28" i="2"/>
  <c r="S27" i="2"/>
  <c r="P27" i="2"/>
  <c r="M27" i="2"/>
  <c r="L27" i="2"/>
  <c r="K27" i="2"/>
  <c r="G27" i="2"/>
  <c r="E27" i="2"/>
  <c r="B27" i="2"/>
  <c r="S26" i="2"/>
  <c r="P26" i="2"/>
  <c r="M26" i="2"/>
  <c r="L26" i="2"/>
  <c r="K26" i="2"/>
  <c r="G26" i="2"/>
  <c r="E26" i="2"/>
  <c r="B26" i="2"/>
  <c r="S25" i="2"/>
  <c r="P25" i="2"/>
  <c r="M25" i="2"/>
  <c r="L25" i="2"/>
  <c r="K25" i="2"/>
  <c r="G25" i="2"/>
  <c r="E25" i="2"/>
  <c r="B25" i="2"/>
  <c r="S24" i="2"/>
  <c r="P24" i="2"/>
  <c r="M24" i="2"/>
  <c r="L24" i="2"/>
  <c r="K24" i="2"/>
  <c r="G24" i="2"/>
  <c r="E24" i="2"/>
  <c r="B24" i="2"/>
  <c r="S23" i="2"/>
  <c r="P23" i="2"/>
  <c r="M23" i="2"/>
  <c r="L23" i="2"/>
  <c r="K23" i="2"/>
  <c r="G23" i="2"/>
  <c r="E23" i="2"/>
  <c r="B23" i="2"/>
  <c r="S22" i="2"/>
  <c r="P22" i="2"/>
  <c r="M22" i="2"/>
  <c r="L22" i="2"/>
  <c r="K22" i="2"/>
  <c r="G22" i="2"/>
  <c r="E22" i="2"/>
  <c r="B22" i="2"/>
  <c r="S21" i="2"/>
  <c r="P21" i="2"/>
  <c r="M21" i="2"/>
  <c r="L21" i="2"/>
  <c r="K21" i="2"/>
  <c r="G21" i="2"/>
  <c r="E21" i="2"/>
  <c r="B21" i="2"/>
  <c r="S20" i="2"/>
  <c r="P20" i="2"/>
  <c r="M20" i="2"/>
  <c r="L20" i="2"/>
  <c r="K20" i="2"/>
  <c r="G20" i="2"/>
  <c r="E20" i="2"/>
  <c r="B20" i="2"/>
  <c r="S19" i="2"/>
  <c r="P19" i="2"/>
  <c r="M19" i="2"/>
  <c r="L19" i="2"/>
  <c r="K19" i="2"/>
  <c r="G19" i="2"/>
  <c r="E19" i="2"/>
  <c r="B19" i="2"/>
  <c r="S18" i="2"/>
  <c r="P18" i="2"/>
  <c r="M18" i="2"/>
  <c r="L18" i="2"/>
  <c r="K18" i="2"/>
  <c r="G18" i="2"/>
  <c r="E18" i="2"/>
  <c r="B18" i="2"/>
  <c r="S17" i="2"/>
  <c r="P17" i="2"/>
  <c r="M17" i="2"/>
  <c r="L17" i="2"/>
  <c r="K17" i="2"/>
  <c r="G17" i="2"/>
  <c r="E17" i="2"/>
  <c r="B17" i="2"/>
  <c r="S16" i="2"/>
  <c r="P16" i="2"/>
  <c r="M16" i="2"/>
  <c r="L16" i="2"/>
  <c r="K16" i="2"/>
  <c r="G16" i="2"/>
  <c r="E16" i="2"/>
  <c r="B16" i="2"/>
  <c r="S15" i="2"/>
  <c r="P15" i="2"/>
  <c r="M15" i="2"/>
  <c r="L15" i="2"/>
  <c r="K15" i="2"/>
  <c r="G15" i="2"/>
  <c r="E15" i="2"/>
  <c r="B15" i="2"/>
  <c r="S14" i="2"/>
  <c r="P14" i="2"/>
  <c r="M14" i="2"/>
  <c r="L14" i="2"/>
  <c r="K14" i="2"/>
  <c r="G14" i="2"/>
  <c r="E14" i="2"/>
  <c r="B14" i="2"/>
  <c r="S13" i="2"/>
  <c r="P13" i="2"/>
  <c r="M13" i="2"/>
  <c r="L13" i="2"/>
  <c r="K13" i="2"/>
  <c r="G13" i="2"/>
  <c r="E13" i="2"/>
  <c r="B13" i="2"/>
  <c r="S12" i="2"/>
  <c r="P12" i="2"/>
  <c r="M12" i="2"/>
  <c r="L12" i="2"/>
  <c r="K12" i="2"/>
  <c r="G12" i="2"/>
  <c r="E12" i="2"/>
  <c r="B12" i="2"/>
  <c r="S11" i="2"/>
  <c r="P11" i="2"/>
  <c r="M11" i="2"/>
  <c r="L11" i="2"/>
  <c r="K11" i="2"/>
  <c r="G11" i="2"/>
  <c r="E11" i="2"/>
  <c r="B11" i="2"/>
  <c r="S10" i="2"/>
  <c r="P10" i="2"/>
  <c r="M10" i="2"/>
  <c r="L10" i="2"/>
  <c r="K10" i="2"/>
  <c r="G10" i="2"/>
  <c r="E10" i="2"/>
  <c r="B10" i="2"/>
  <c r="S9" i="2"/>
  <c r="P9" i="2"/>
  <c r="M9" i="2"/>
  <c r="L9" i="2"/>
  <c r="K9" i="2"/>
  <c r="G9" i="2"/>
  <c r="E9" i="2"/>
  <c r="B9" i="2"/>
  <c r="S8" i="2"/>
  <c r="P8" i="2"/>
  <c r="M8" i="2"/>
  <c r="L8" i="2"/>
  <c r="K8" i="2"/>
  <c r="G8" i="2"/>
  <c r="E8" i="2"/>
  <c r="B8" i="2"/>
  <c r="S7" i="2"/>
  <c r="P7" i="2"/>
  <c r="M7" i="2"/>
  <c r="L7" i="2"/>
  <c r="K7" i="2"/>
  <c r="G7" i="2"/>
  <c r="E7" i="2"/>
  <c r="B7" i="2"/>
  <c r="S6" i="2"/>
  <c r="P6" i="2"/>
  <c r="M6" i="2"/>
  <c r="L6" i="2"/>
  <c r="K6" i="2"/>
  <c r="G6" i="2"/>
  <c r="E6" i="2"/>
  <c r="B6" i="2"/>
  <c r="S5" i="2"/>
  <c r="P5" i="2"/>
  <c r="M5" i="2"/>
  <c r="L5" i="2"/>
  <c r="K5" i="2"/>
  <c r="G5" i="2"/>
  <c r="E5" i="2"/>
  <c r="B5" i="2"/>
</calcChain>
</file>

<file path=xl/sharedStrings.xml><?xml version="1.0" encoding="utf-8"?>
<sst xmlns="http://schemas.openxmlformats.org/spreadsheetml/2006/main" count="22438" uniqueCount="2392">
  <si>
    <r>
      <t xml:space="preserve">REGISTAR UGOVORA O JAVNOJ NABAVI I OKVIRNIH SPORAZUMA </t>
    </r>
    <r>
      <rPr>
        <sz val="11"/>
        <color rgb="FF000000"/>
        <rFont val="Calibri"/>
        <family val="2"/>
        <scheme val="minor"/>
      </rPr>
      <t xml:space="preserve">zaključenih u razdoblju od </t>
    </r>
    <r>
      <rPr>
        <b/>
        <sz val="11"/>
        <color rgb="FF000000"/>
        <rFont val="Calibri"/>
        <family val="2"/>
        <scheme val="minor"/>
      </rPr>
      <t>01.01.2019.</t>
    </r>
    <r>
      <rPr>
        <sz val="11"/>
        <color rgb="FF000000"/>
        <rFont val="Calibri"/>
        <family val="2"/>
        <scheme val="minor"/>
      </rPr>
      <t xml:space="preserve"> do </t>
    </r>
    <r>
      <rPr>
        <b/>
        <sz val="11"/>
        <color rgb="FF000000"/>
        <rFont val="Calibri"/>
        <family val="2"/>
        <scheme val="minor"/>
      </rPr>
      <t>30.06.2019.</t>
    </r>
  </si>
  <si>
    <t>Rbr</t>
  </si>
  <si>
    <t>Evidencijski broj nabave</t>
  </si>
  <si>
    <t>Predmet ugovora/okvirnog sporazuma</t>
  </si>
  <si>
    <t>CPV</t>
  </si>
  <si>
    <t>Broj objave</t>
  </si>
  <si>
    <t>Vrsta provedenog postupka</t>
  </si>
  <si>
    <t>Naziv i OIB ugovaratelja</t>
  </si>
  <si>
    <t>Naziv i OIB podugovaratelja</t>
  </si>
  <si>
    <t>Datum sklapanja ugovora/okvirnog sporazuma</t>
  </si>
  <si>
    <t>Rok sklapanja ugovora/okvirnog sporazuma</t>
  </si>
  <si>
    <t>Iznos sklopljenog ugovora/okvirnog sporazuma (procijenjenja vrijednost)/ugovora po o.s.</t>
  </si>
  <si>
    <t>Iznos PDV-a</t>
  </si>
  <si>
    <t>Ukupan iznos sklopljenog ugovora/okvirnog sporazuma/ugovora po o.s. s PDV-om</t>
  </si>
  <si>
    <t>Konačni datum izvršenja</t>
  </si>
  <si>
    <t>Datum prijevremenog raskida</t>
  </si>
  <si>
    <t>Ukupni isplaćeni iznos s PDV-om</t>
  </si>
  <si>
    <t>Obrazloženje konačnog isplaćenog iznosa</t>
  </si>
  <si>
    <t>Napomena</t>
  </si>
  <si>
    <t>Broj ugovora/okvirnog sporazuma</t>
  </si>
  <si>
    <t>Naručitelji</t>
  </si>
  <si>
    <t>VODOVODNA I KANALSKA ARMATURA</t>
  </si>
  <si>
    <t>28570000-8</t>
  </si>
  <si>
    <t>Otvoreni postupak javne nabave</t>
  </si>
  <si>
    <t>20.05.2015.</t>
  </si>
  <si>
    <t>20.05.2019.</t>
  </si>
  <si>
    <t>VODOOPSKRBA I ODVODNJA D.O.O., ZAGREBAČKI HOLDING D.O.O.</t>
  </si>
  <si>
    <t>Sklapanje ugovora po okvirnom sporazumu</t>
  </si>
  <si>
    <t>30.09.2019.</t>
  </si>
  <si>
    <t>VODOOPSKRBA I ODVODNJA D.O.O.</t>
  </si>
  <si>
    <t>12.04.2019.</t>
  </si>
  <si>
    <t>8 dana</t>
  </si>
  <si>
    <t>24.05.2019.</t>
  </si>
  <si>
    <t>ZAGREBAČKI HOLDING D.O.O.</t>
  </si>
  <si>
    <t>KAMEN I KAMENI AGREGATI - DOLOMITNI</t>
  </si>
  <si>
    <t>14212000-0</t>
  </si>
  <si>
    <t>15.06.2015.</t>
  </si>
  <si>
    <t>15.06.2019.</t>
  </si>
  <si>
    <t>DOLOMITNI KAMENI AGREGATI</t>
  </si>
  <si>
    <t>23.08.2018.</t>
  </si>
  <si>
    <t>31.01.2019.</t>
  </si>
  <si>
    <t>10.12.2018.</t>
  </si>
  <si>
    <t>31.03.2019.</t>
  </si>
  <si>
    <t>29.01.2019.</t>
  </si>
  <si>
    <t>28.03.2019.</t>
  </si>
  <si>
    <t>31.12.2019.</t>
  </si>
  <si>
    <t>18.06.2019.</t>
  </si>
  <si>
    <t>2 dana</t>
  </si>
  <si>
    <t>ODRŽAVANJE SERVERSKE INFRASTRUKTURE PROIZVOĐAČA HP I PERIFERNE INFORMATIČKE OPREME PROIZVOĐAČA HP, BLUEBIRD I EPSON</t>
  </si>
  <si>
    <t>50312000-5</t>
  </si>
  <si>
    <t>31.03.2016.</t>
  </si>
  <si>
    <t>Dodatak ugovora/ugovor-narudžbenice ODRŽAVANJE SERVERSKE INFRASTRUKTURE PROIZVOĐAČA HP I PERIFERNE INFORMATIČKE OPREME PROIZVOĐAČA HP, BLUEBIRD I EPSON</t>
  </si>
  <si>
    <t>Sklapanje ugovora po okvirnom sporazumu temeljem članka 320 stavak 1. ZJN2016</t>
  </si>
  <si>
    <t>31.12.2018.</t>
  </si>
  <si>
    <t>UREDSKI MATERIJAL</t>
  </si>
  <si>
    <t>30190000-7</t>
  </si>
  <si>
    <t>27.10.2016.</t>
  </si>
  <si>
    <t>27.10.2018.</t>
  </si>
  <si>
    <t>AGM D.O.O., GRADSKA PLINARA ZAGREB D.O.O., GRADSKA PLINARA ZAGREB OPSKRBA D.O.O., GRADSKO STAMBENO KOMUNALNO GOSPODARSTVO D.O.O., VODOOPSKRBA I ODVODNJA D.O.O., ZAGREBAČKI HOLDING D.O.O.</t>
  </si>
  <si>
    <t>24.10.2018.</t>
  </si>
  <si>
    <t>GRADSKA PLINARA ZAGREB OPSKRBA D.O.O.</t>
  </si>
  <si>
    <t>Dodatak ugovora/ugovor-narudžbenice UREDSKI MATERIJAL</t>
  </si>
  <si>
    <t>19.11.2018.</t>
  </si>
  <si>
    <t>26.10.2018.</t>
  </si>
  <si>
    <t>30.04.2019.</t>
  </si>
  <si>
    <t>GRADSKO STAMBENO KOMUNALNO GOSPODARSTVO D.O.O.</t>
  </si>
  <si>
    <t>ODRŽAVANJE I NADOGRADNJA POSTOJEĆIH APLIKATIVNIH MODULA INabava2, IISZV, IN2helpZET i INfisk2</t>
  </si>
  <si>
    <t>72232000-0</t>
  </si>
  <si>
    <t>20.04.2016.</t>
  </si>
  <si>
    <t>20.04.2018.</t>
  </si>
  <si>
    <t>28.02.2018.</t>
  </si>
  <si>
    <t>28.02.2019.</t>
  </si>
  <si>
    <t>Dodatak ugovora/ugovor-narudžbenice ODRŽAVANJE I NADOGRADNJA POSTOJEĆIH APLIKATIVNIH MODULA INabava2, IISZV, IN2helpZET i INfisk2</t>
  </si>
  <si>
    <t>30.05.2019.</t>
  </si>
  <si>
    <t>31.05.2019.</t>
  </si>
  <si>
    <t>RAZNI PREHRAMBENI PROIZVODI I PIĆA</t>
  </si>
  <si>
    <t>15000000-8</t>
  </si>
  <si>
    <t>22.08.2016.</t>
  </si>
  <si>
    <t>22.08.2018.</t>
  </si>
  <si>
    <t>GRADSKA PLINARA ZAGREB OPSKRBA D.O.O., VODOOPSKRBA I ODVODNJA D.O.O., ZAGREBAČKI HOLDING D.O.O.</t>
  </si>
  <si>
    <t>03.04.2017.</t>
  </si>
  <si>
    <t>30.09.2017.</t>
  </si>
  <si>
    <t>16.04.2018.</t>
  </si>
  <si>
    <t>31.08.2018.</t>
  </si>
  <si>
    <t>11.06.2018.</t>
  </si>
  <si>
    <t>16.07.2018.</t>
  </si>
  <si>
    <t>19.07.2018.</t>
  </si>
  <si>
    <t>20.09.2016.</t>
  </si>
  <si>
    <t>20.09.2018.</t>
  </si>
  <si>
    <t>SERVIS, ODRŽAVANJE I POPRAVAK SPECIJALNIH VOZILA PROIZVOĐAČA MAN U FINANCIJSKOM LEASINGU</t>
  </si>
  <si>
    <t>50110000-9</t>
  </si>
  <si>
    <t>27.09.2016.</t>
  </si>
  <si>
    <t>27.09.2018.</t>
  </si>
  <si>
    <t>NAJAM AUDIO, VIDEO I SCENSKE OPREME</t>
  </si>
  <si>
    <t>32300000-6</t>
  </si>
  <si>
    <t>03.10.2016.</t>
  </si>
  <si>
    <t>03.10.2018.</t>
  </si>
  <si>
    <t>KAMENO BRAŠNO</t>
  </si>
  <si>
    <t>30.09.2016.</t>
  </si>
  <si>
    <t>30.09.2018.</t>
  </si>
  <si>
    <t>EKOLOŠKO SREDSTVO ZA SUHO POSIPAVANJE JAVNO PROMETNIH POVRŠINA U ZIMSKIM UVJETIMA</t>
  </si>
  <si>
    <t>14440000-7</t>
  </si>
  <si>
    <t>17.04.2018.</t>
  </si>
  <si>
    <t>30.03.2019.</t>
  </si>
  <si>
    <t>POŠTANSKE USLUGE</t>
  </si>
  <si>
    <t>64110000-0</t>
  </si>
  <si>
    <t>21.10.2016.</t>
  </si>
  <si>
    <t>21.10.2018.</t>
  </si>
  <si>
    <t>22.05.2017.</t>
  </si>
  <si>
    <t>31.03.2018.</t>
  </si>
  <si>
    <t>27.04.2018.</t>
  </si>
  <si>
    <t>20.07.2018.</t>
  </si>
  <si>
    <t>AGM D.O.O.</t>
  </si>
  <si>
    <t>17.07.2018.</t>
  </si>
  <si>
    <t>30.06.2019.</t>
  </si>
  <si>
    <t>31.10.2018.</t>
  </si>
  <si>
    <t>24.04.2018.</t>
  </si>
  <si>
    <t>U izvršenju</t>
  </si>
  <si>
    <t>Dodatak ugovora/ugovor-narudžbenice IZGRADNJA I SANACIJA VODOOPSKRBNE MREŽE NA PODRUČJU GRADA ZAGREBA I SAMOBORA</t>
  </si>
  <si>
    <t>45231000-5</t>
  </si>
  <si>
    <t>Sklapanje ugovora po okvirnom sporazumu temeljem članka 105. stavak 6. točka 2. Zakona o javnoj nabavi (NN br. 90/11, 83/13, 143/13, 13/14 – Odluka USRH)</t>
  </si>
  <si>
    <t>30 dana</t>
  </si>
  <si>
    <t>SREDSTVO ZA SMANJENJE EMISIJE ISPUŠNIH PLINOVA</t>
  </si>
  <si>
    <t>24667000-7</t>
  </si>
  <si>
    <t>04.11.2016.</t>
  </si>
  <si>
    <t>04.11.2018.</t>
  </si>
  <si>
    <t>01.08.2018.</t>
  </si>
  <si>
    <t>PAPIRNA KONFEKCIJA ZA HIGIJENSKU POTREBU</t>
  </si>
  <si>
    <t>21221000-8</t>
  </si>
  <si>
    <t>25.10.2018.</t>
  </si>
  <si>
    <t>POVREMENI NAJAM HIDRAULIČKOG BAGERA S OKRETNOM KUPOLOM</t>
  </si>
  <si>
    <t>45520000-8</t>
  </si>
  <si>
    <t>25.11.2016.</t>
  </si>
  <si>
    <t>25.11.2018.</t>
  </si>
  <si>
    <t>01.10.2018.</t>
  </si>
  <si>
    <t>BETONSKI PROIZVODI</t>
  </si>
  <si>
    <t>28814000-1</t>
  </si>
  <si>
    <t>12.12.2016.</t>
  </si>
  <si>
    <t>12.12.2018.</t>
  </si>
  <si>
    <t>18.12.2018.</t>
  </si>
  <si>
    <t>15.01.2019.</t>
  </si>
  <si>
    <t>NAJAM FOTOKOPIRNIH STROJEVA</t>
  </si>
  <si>
    <t>30121000-3</t>
  </si>
  <si>
    <t>28.11.2016.</t>
  </si>
  <si>
    <t>28.11.2018.</t>
  </si>
  <si>
    <t>AGM D.O.O., GRADSKA PLINARA ZAGREB OPSKRBA D.O.O., GRADSKO STAMBENO KOMUNALNO GOSPODARSTVO D.O.O., VODOOPSKRBA I ODVODNJA D.O.O., ZAGREBAČKI HOLDING D.O.O.</t>
  </si>
  <si>
    <t>19.06.2017.</t>
  </si>
  <si>
    <t>31.05.2018.</t>
  </si>
  <si>
    <t>Dodatak ugovora/ugovor-narudžbenice NAJAM FOTOKOPIRNIH STROJEVA</t>
  </si>
  <si>
    <t>01.01.2018.</t>
  </si>
  <si>
    <t>09.08.2018.</t>
  </si>
  <si>
    <t>REZERVNI DIJELOVI ZA VODOMJERE MARKE IKOM</t>
  </si>
  <si>
    <t>33252000-1</t>
  </si>
  <si>
    <t>16.12.2016.</t>
  </si>
  <si>
    <t>16.12.2018.</t>
  </si>
  <si>
    <t>18.10.2018.</t>
  </si>
  <si>
    <t>USLUGA PRAĆENJA KVALITETE ZRAKA NA ODLAGALIŠTU OTPADA JAKUŠEVEC</t>
  </si>
  <si>
    <t>90313000-4</t>
  </si>
  <si>
    <t>19.12.2016.</t>
  </si>
  <si>
    <t>19.12.2018.</t>
  </si>
  <si>
    <t>23.07.2018.</t>
  </si>
  <si>
    <t>Dodatak ugovora/ugovor-narudžbenice USLUGA PRAĆENJA KVALITETE ZRAKA NA ODLAGALIŠTU OTPADA JAKUŠEVEC</t>
  </si>
  <si>
    <t>05.06.2019.</t>
  </si>
  <si>
    <t>USLUGA POZIVNOG CENTRA</t>
  </si>
  <si>
    <t>74831000-3</t>
  </si>
  <si>
    <t>23.12.2016.</t>
  </si>
  <si>
    <t>23.12.2018.</t>
  </si>
  <si>
    <t>GRADSKA PLINARA ZAGREB OPSKRBA D.O.O., ZAGREBAČKI HOLDING D.O.O.</t>
  </si>
  <si>
    <t>07.03.2018.</t>
  </si>
  <si>
    <t>ČETKE ZA ČISTILICE ZA STROJNO ČIŠĆENJE JAVNO PROMETNIH POVRŠINA</t>
  </si>
  <si>
    <t>34360000-8</t>
  </si>
  <si>
    <t>10.01.2017.</t>
  </si>
  <si>
    <t>10.01.2019.</t>
  </si>
  <si>
    <t>POVREMENI NAJAM RADNOG STROJA GREJDERA</t>
  </si>
  <si>
    <t>03.01.2017.</t>
  </si>
  <si>
    <t>03.01.2019.</t>
  </si>
  <si>
    <t>POVREMENI NAJAM UTOVARIVAČA NA KOTAČIMA ZA UTOVAR I PRIJENOS GRAĐEVINSKOG RASTRESITOG MATERIJALA</t>
  </si>
  <si>
    <t>30.10.2018.</t>
  </si>
  <si>
    <t>AUTO GUME</t>
  </si>
  <si>
    <t>25111000-2</t>
  </si>
  <si>
    <t>12.01.2017.</t>
  </si>
  <si>
    <t>12.01.2019.</t>
  </si>
  <si>
    <t>03.12.2018.</t>
  </si>
  <si>
    <t>OBNAVLJANJE (PROTEKTIRANJE) GUMA ZA GOSPODARSKA VOZILA</t>
  </si>
  <si>
    <t>50116000-1</t>
  </si>
  <si>
    <t>30.01.2017.</t>
  </si>
  <si>
    <t>30.01.2019.</t>
  </si>
  <si>
    <t>POVREMENI NAJAM KAMIONA S UREĐAJEM ZA SAMOUTOVAR I ISTOVAR</t>
  </si>
  <si>
    <t>60129000-8</t>
  </si>
  <si>
    <t>27.01.2017.</t>
  </si>
  <si>
    <t>27.01.2019.</t>
  </si>
  <si>
    <t>REZERVNI DIJELOVI I POPRAVAK RADNIH STROJEVA MARKE JCB</t>
  </si>
  <si>
    <t>29526000-2</t>
  </si>
  <si>
    <t>14.02.2017.</t>
  </si>
  <si>
    <t>14.02.2019.</t>
  </si>
  <si>
    <t>22.02.2019.</t>
  </si>
  <si>
    <t>REZERVNI DIJELOVI ZA STIHL-VIKING PROGRAM</t>
  </si>
  <si>
    <t>29381000-3</t>
  </si>
  <si>
    <t>03.02.2017.</t>
  </si>
  <si>
    <t>03.02.2019.</t>
  </si>
  <si>
    <t>20.12.2018.</t>
  </si>
  <si>
    <t>20.01.2019.</t>
  </si>
  <si>
    <t>POVREMENI NAJAM BULDOŽERA</t>
  </si>
  <si>
    <t>03.04.2019.</t>
  </si>
  <si>
    <t>06.03.2019.</t>
  </si>
  <si>
    <t>VOZNE, PARKIRNE I PVC KARTICE</t>
  </si>
  <si>
    <t>25252000-2</t>
  </si>
  <si>
    <t>POLIMEROM MODIFICIRANI BITUMEN</t>
  </si>
  <si>
    <t>14511000-6</t>
  </si>
  <si>
    <t>22.02.2017.</t>
  </si>
  <si>
    <t>27.02.2019.</t>
  </si>
  <si>
    <t>DNEVNO I PERIODIČNO ČIŠĆENJE I PRANJE POSLOVNIH PROSTORA, JAVNIH GARAŽA I DEPONIJA MOTORNIH VOZILA</t>
  </si>
  <si>
    <t>74740000-8</t>
  </si>
  <si>
    <t>10.02.2017.</t>
  </si>
  <si>
    <t>10.02.2021.</t>
  </si>
  <si>
    <t>AGM D.O.O., GRADSKA PLINARA ZAGREB D.O.O., GRADSKO STAMBENO KOMUNALNO GOSPODARSTVO D.O.O., VODOOPSKRBA I ODVODNJA D.O.O., ZAGREBAČKI HOLDING D.O.O.</t>
  </si>
  <si>
    <t>02.03.2018.</t>
  </si>
  <si>
    <t>Dodatak ugovora/ugovor-narudžbenice DNEVNO I PERIODIČNO ČIŠĆENJE I PRANJE POSLOVNIH PROSTORA, JAVNIH GARAŽA I DEPONIJA MOTORNIH VOZILA</t>
  </si>
  <si>
    <t>07.01.2019.</t>
  </si>
  <si>
    <t>08.01.2019.</t>
  </si>
  <si>
    <t>05.04.2019.</t>
  </si>
  <si>
    <t>31.03.2020.</t>
  </si>
  <si>
    <t>ODRŽAVANJE, FUNKCIONALNA NADOGRADNJA, REZERVNI DIJELOVI I OPREMA SUSTAVA ZA AUTOMATSKU NAPLATU PRIJEVOZA</t>
  </si>
  <si>
    <t>72267000-4</t>
  </si>
  <si>
    <t>07.02.2017.</t>
  </si>
  <si>
    <t>07.02.2019.</t>
  </si>
  <si>
    <t>NAJAM OPREME ZA DIGITALIZACIJU VOZNOG PARKA</t>
  </si>
  <si>
    <t>33262000-4</t>
  </si>
  <si>
    <t>08.02.2017.</t>
  </si>
  <si>
    <t>08.02.2019.</t>
  </si>
  <si>
    <t>NADOGRADNJA I ODRŽAVANJE SUSTAVA ZA DALJINSKO OČITANJE PROIZVOĐAČA KONČAR - ELEKTRONIKA I INFORMATIKA</t>
  </si>
  <si>
    <t>32441000-6</t>
  </si>
  <si>
    <t>09.02.2017.</t>
  </si>
  <si>
    <t>09.02.2019.</t>
  </si>
  <si>
    <t>ANTITRAUMATSKE PODLOGE</t>
  </si>
  <si>
    <t>25122000-2</t>
  </si>
  <si>
    <t>17.02.2017.</t>
  </si>
  <si>
    <t>17.02.2019.</t>
  </si>
  <si>
    <t>POPRAVAK I PROVJERA ISPRAVNOSTI STABILNOG SUSTAVA ZA DOJAVU POŽARA</t>
  </si>
  <si>
    <t>50413000-3</t>
  </si>
  <si>
    <t>14.03.2019.</t>
  </si>
  <si>
    <t>12.02.2019.</t>
  </si>
  <si>
    <t>3 dana</t>
  </si>
  <si>
    <t>REZERVNI DIJELOVI ZA BCS PROGRAM</t>
  </si>
  <si>
    <t>21.03.2019.</t>
  </si>
  <si>
    <t>SPRAVE ZA DJEČJA IGRALIŠTA, REZERVNI DIJELOVI I POPRAVAK SPRAVA PROIZVOĐAČA KOVA</t>
  </si>
  <si>
    <t>29835000-1</t>
  </si>
  <si>
    <t>15.02.2017.</t>
  </si>
  <si>
    <t>15.02.2019.</t>
  </si>
  <si>
    <t>SPRAVE ZA DJEČJA IGRALIŠTA, REZERVNI DIJELOVI I POPRAVAK SPRAVA PROIZVOĐAČA DILJEXPORT</t>
  </si>
  <si>
    <t>REZERVNI DIJELOVI I POPRAVAK VALJAKA MARKE BOMAG</t>
  </si>
  <si>
    <t>5 dana</t>
  </si>
  <si>
    <t>ALUMINIJSKI STUPIĆI ZA SPRJEČAVANJE PROLAZA VOZILA</t>
  </si>
  <si>
    <t>27520000-6</t>
  </si>
  <si>
    <t>25.02.2019.</t>
  </si>
  <si>
    <t>GRANITNI NADGROBNI ELEMENTI</t>
  </si>
  <si>
    <t>14112000-9</t>
  </si>
  <si>
    <t>26.02.2019.</t>
  </si>
  <si>
    <t>OPREMA ZA NAVODNJAVANJE</t>
  </si>
  <si>
    <t>29833000-7</t>
  </si>
  <si>
    <t>28.02.2017.</t>
  </si>
  <si>
    <t>11.12.2018.</t>
  </si>
  <si>
    <t>06.03.2017.</t>
  </si>
  <si>
    <t>14.01.2019.</t>
  </si>
  <si>
    <t>01.03.2019.</t>
  </si>
  <si>
    <t>VODOMJERI</t>
  </si>
  <si>
    <t>16.04.2019.</t>
  </si>
  <si>
    <t>11.01.2019.</t>
  </si>
  <si>
    <t>Dodatak ugovora/ugovor-narudžbenice VODOMJERI</t>
  </si>
  <si>
    <t>17.06.2019.</t>
  </si>
  <si>
    <t>RADOVI NA POPRAVKU TRAMVAJSKIH PRUGA</t>
  </si>
  <si>
    <t>45234000-6</t>
  </si>
  <si>
    <t>10.03.2017.</t>
  </si>
  <si>
    <t>10.03.2019.</t>
  </si>
  <si>
    <t>BRUSNE I REZNE PLOČE, BRUSNI PAPIR I PLATNA</t>
  </si>
  <si>
    <t>26911000-7</t>
  </si>
  <si>
    <t>05.12.2018.</t>
  </si>
  <si>
    <t>18.03.2019.</t>
  </si>
  <si>
    <t>USLUGA UNAPRJEĐIVANJA I ODRŽAVANJA INTERNET PORTALA I CMS SUSTAVA</t>
  </si>
  <si>
    <t>07.03.2017.</t>
  </si>
  <si>
    <t>07.03.2019.</t>
  </si>
  <si>
    <t>GRADSKA PLINARA ZAGREB D.O.O., GRADSKA PLINARA ZAGREB OPSKRBA D.O.O., GRADSKO STAMBENO KOMUNALNO GOSPODARSTVO D.O.O., VODOOPSKRBA I ODVODNJA D.O.O., ZAGREBAČKI HOLDING D.O.O.</t>
  </si>
  <si>
    <t>03.08.2017.</t>
  </si>
  <si>
    <t>02.08.2018.</t>
  </si>
  <si>
    <t>31.07.2019.</t>
  </si>
  <si>
    <t>29.02.2020.</t>
  </si>
  <si>
    <t>13.03.2019.</t>
  </si>
  <si>
    <t>HRASTOVA GRAĐA ZA PARKOVNE ELEMENTE</t>
  </si>
  <si>
    <t>20161000-2</t>
  </si>
  <si>
    <t>16.03.2017.</t>
  </si>
  <si>
    <t>16.03.2019.</t>
  </si>
  <si>
    <t>ŽIČANI PROIZVODI</t>
  </si>
  <si>
    <t>27300000-8</t>
  </si>
  <si>
    <t>12.03.2019.</t>
  </si>
  <si>
    <t>ZAKUP MEDIJSKOG PROSTORA NA REKLAMNIM PANOIMA</t>
  </si>
  <si>
    <t>74410000-6</t>
  </si>
  <si>
    <t>22.03.2017.</t>
  </si>
  <si>
    <t>22.03.2019.</t>
  </si>
  <si>
    <t>SPECIJALNO ZAVARIVANJE STATORA I ROTORA CRPKI</t>
  </si>
  <si>
    <t>50511000-0</t>
  </si>
  <si>
    <t>27.03.2017.</t>
  </si>
  <si>
    <t>27.03.2019.</t>
  </si>
  <si>
    <t>29.03.2019.</t>
  </si>
  <si>
    <t>7 dana</t>
  </si>
  <si>
    <t>TEKUĆI TEHNIČKI KLOR CL2</t>
  </si>
  <si>
    <t>24131000-1</t>
  </si>
  <si>
    <t>28.03.2017.</t>
  </si>
  <si>
    <t>24.01.2019.</t>
  </si>
  <si>
    <t>01.04.2019.</t>
  </si>
  <si>
    <t>LABORATORIJSKI PRIBOR</t>
  </si>
  <si>
    <t>33124000-5</t>
  </si>
  <si>
    <t>29.04.2019.</t>
  </si>
  <si>
    <t>RAČUNALNA OPREMA</t>
  </si>
  <si>
    <t>30200000-1</t>
  </si>
  <si>
    <t>05.04.2017.</t>
  </si>
  <si>
    <t>10.09.2018.</t>
  </si>
  <si>
    <t>Dodatak ugovora/ugovor-narudžbenice RAČUNALNA OPREMA</t>
  </si>
  <si>
    <t>23.05.2019.</t>
  </si>
  <si>
    <t>17.04.2019.</t>
  </si>
  <si>
    <t>01.01.2019.</t>
  </si>
  <si>
    <t>03.06.2019.</t>
  </si>
  <si>
    <t>02.05.2019.</t>
  </si>
  <si>
    <t>09.04.2019.</t>
  </si>
  <si>
    <t>45 dana</t>
  </si>
  <si>
    <t>BITUMENSKE EMULZIJE</t>
  </si>
  <si>
    <t>31.03.2017.</t>
  </si>
  <si>
    <t>OPSKRBA PLINOM</t>
  </si>
  <si>
    <t>11200000-2</t>
  </si>
  <si>
    <t>18.04.2017.</t>
  </si>
  <si>
    <t>18.04.2019.</t>
  </si>
  <si>
    <t>AGM D.O.O., GRADSKO STAMBENO KOMUNALNO GOSPODARSTVO D.O.O., VODOOPSKRBA I ODVODNJA D.O.O., ZAGREBAČKI HOLDING D.O.O.</t>
  </si>
  <si>
    <t>05.11.2018.</t>
  </si>
  <si>
    <t>23.04.2019.</t>
  </si>
  <si>
    <t>30.04.2020.</t>
  </si>
  <si>
    <t>16.05.2019.</t>
  </si>
  <si>
    <t>PRUŽANJE GEODETSKIH USLUGA</t>
  </si>
  <si>
    <t>74275000-7</t>
  </si>
  <si>
    <t>02.05.2017.</t>
  </si>
  <si>
    <t>18 dana</t>
  </si>
  <si>
    <t>20.03.2019.</t>
  </si>
  <si>
    <t>08.04.2019.</t>
  </si>
  <si>
    <t>22 dana</t>
  </si>
  <si>
    <t>21 dan</t>
  </si>
  <si>
    <t>10.04.2019.</t>
  </si>
  <si>
    <t>15.04.2019.</t>
  </si>
  <si>
    <t>9 dana</t>
  </si>
  <si>
    <t>CELULOZNA VLAKNA U GRANULAMA ZA IZRADU BITUMENSKIH MJEŠAVINA TIPA SMA</t>
  </si>
  <si>
    <t>28813000-4</t>
  </si>
  <si>
    <t>ERUPTIVNI KAMENI AGREGATI</t>
  </si>
  <si>
    <t>04.05.2017.</t>
  </si>
  <si>
    <t>04.05.2019.</t>
  </si>
  <si>
    <t>11.03.2019.</t>
  </si>
  <si>
    <t>STOLARSKI RADOVI I POSTAVLJANJE STOLARIJE</t>
  </si>
  <si>
    <t>45421000-4</t>
  </si>
  <si>
    <t>15.05.2017.</t>
  </si>
  <si>
    <t>15.05.2019.</t>
  </si>
  <si>
    <t>NOSAČI I OVJESNI PRIBOR GORNJEG VODA</t>
  </si>
  <si>
    <t>29813000-1</t>
  </si>
  <si>
    <t>PRIJEVOZ ASFALTNE MASE I OSTALOG RASUTOG MATERIJALA</t>
  </si>
  <si>
    <t>60122000-9</t>
  </si>
  <si>
    <t>=CONCATENATE("PRIJEVOZ I STROJNI ISKOP "KRZNAR",";" VL. DAWID KRZNAR,";" MARTINEC OREHOVIČKI 38,";" 49221 BEDEKOVČINA,";" OIB: 34287213744")</t>
  </si>
  <si>
    <t>22.05.2019.</t>
  </si>
  <si>
    <t>05.09.2018.</t>
  </si>
  <si>
    <t>IZMJENA VODOMJERA NA ADRESAMA KORISNIKA VODNIH USLUGA</t>
  </si>
  <si>
    <t>45332000-3</t>
  </si>
  <si>
    <t>17.07.2017.</t>
  </si>
  <si>
    <t>17.07.2019.</t>
  </si>
  <si>
    <t>14.11.2018.</t>
  </si>
  <si>
    <t>BOJE I LAKOVI</t>
  </si>
  <si>
    <t>24310000-0</t>
  </si>
  <si>
    <t>28.07.2017.</t>
  </si>
  <si>
    <t>28.07.2019.</t>
  </si>
  <si>
    <t>02.01.2019.</t>
  </si>
  <si>
    <t>04.03.2019.</t>
  </si>
  <si>
    <t>11.06.2019.</t>
  </si>
  <si>
    <t>KIT MASE I SMOLE</t>
  </si>
  <si>
    <t>24343000-0</t>
  </si>
  <si>
    <t>02.10.2017.</t>
  </si>
  <si>
    <t>02.10.2019.</t>
  </si>
  <si>
    <t>04.01.2019.</t>
  </si>
  <si>
    <t>20 dana</t>
  </si>
  <si>
    <t>REZERVNI DIJELOVI ZA VOZILA MARKE MERCEDES - AUTOBUSNI PROGRAM</t>
  </si>
  <si>
    <t>34300000-0</t>
  </si>
  <si>
    <t>21.11.2017.</t>
  </si>
  <si>
    <t>21.11.2019.</t>
  </si>
  <si>
    <t>22.09.2017.</t>
  </si>
  <si>
    <t>22.09.2019.</t>
  </si>
  <si>
    <t>TONERI I TINTE</t>
  </si>
  <si>
    <t>30192000-1</t>
  </si>
  <si>
    <t>14.12.2017.</t>
  </si>
  <si>
    <t>14.12.2019.</t>
  </si>
  <si>
    <t>16.02.2018.</t>
  </si>
  <si>
    <t>29.10.2018.</t>
  </si>
  <si>
    <t>Dodatak ugovora/ugovor-narudžbenice TONERI I TINTE</t>
  </si>
  <si>
    <t>02.04.2019.</t>
  </si>
  <si>
    <t>31.08.2019.</t>
  </si>
  <si>
    <t>24.06.2019.</t>
  </si>
  <si>
    <t>31.10.2019.</t>
  </si>
  <si>
    <t>28.12.2018.</t>
  </si>
  <si>
    <t>GRADSKA PLINARA ZAGREB OPSKRBA D.O.O., GRADSKO STAMBENO KOMUNALNO GOSPODARSTVO D.O.O., VODOOPSKRBA I ODVODNJA D.O.O., ZAGREBAČKI HOLDING D.O.O.</t>
  </si>
  <si>
    <t>GRADSKA PLINARA ZAGREB OPSKRBA D.O.O., GRADSKO STAMBENO KOMUNALNO GOSPODARSTVO D.O.O., ZAGREBAČKI HOLDING D.O.O.</t>
  </si>
  <si>
    <t>07.05.2019.</t>
  </si>
  <si>
    <t>06.06.2019.</t>
  </si>
  <si>
    <t>27.06.2019.</t>
  </si>
  <si>
    <t>15.07.2019.</t>
  </si>
  <si>
    <t>NAJAM OSOBNIH VOZILA</t>
  </si>
  <si>
    <t>34110000-1</t>
  </si>
  <si>
    <t>11.05.2017.</t>
  </si>
  <si>
    <t>11.05.2019.</t>
  </si>
  <si>
    <t>POTROŠNI MATERIJAL ZA SOLVENTNE PRINTERE</t>
  </si>
  <si>
    <t>31.05.2017.</t>
  </si>
  <si>
    <t>NAJAM OCTANORM KONSTRUKCIJE S IZVEDBOM IZLOŽBENOG PROSTORA</t>
  </si>
  <si>
    <t>36144000-2</t>
  </si>
  <si>
    <t>12.06.2017.</t>
  </si>
  <si>
    <t>12.06.2019.</t>
  </si>
  <si>
    <t>RAZNI PROMIDŽBENI MATERIJAL</t>
  </si>
  <si>
    <t>22460000-2</t>
  </si>
  <si>
    <t>10.07.2017.</t>
  </si>
  <si>
    <t>10.07.2019.</t>
  </si>
  <si>
    <t>VIJCI, ČAVLI I SPOJNI ELEMENTI</t>
  </si>
  <si>
    <t>28710000-2</t>
  </si>
  <si>
    <t>06.07.2017.</t>
  </si>
  <si>
    <t>06.07.2019.</t>
  </si>
  <si>
    <t>15.03.2019.</t>
  </si>
  <si>
    <t>14.06.2019.</t>
  </si>
  <si>
    <t>UKRASNE POSUDE ZA CVIJEĆE</t>
  </si>
  <si>
    <t>36600000-7</t>
  </si>
  <si>
    <t>14.07.2017.</t>
  </si>
  <si>
    <t>14.07.2019.</t>
  </si>
  <si>
    <t>DENDRO BILJE</t>
  </si>
  <si>
    <t>02510000-2</t>
  </si>
  <si>
    <t>24.04.2019.</t>
  </si>
  <si>
    <t>HUMUS</t>
  </si>
  <si>
    <t>13.07.2017.</t>
  </si>
  <si>
    <t>13.07.2021.</t>
  </si>
  <si>
    <t>28.05.2019.</t>
  </si>
  <si>
    <t>15 dana</t>
  </si>
  <si>
    <t>ŠLJUNAK I PIJESAK RIJEČNI, JEZERSKI</t>
  </si>
  <si>
    <t>24.07.2017.</t>
  </si>
  <si>
    <t>24.07.2019.</t>
  </si>
  <si>
    <t>19.06.2019.</t>
  </si>
  <si>
    <t>06.12.2018.</t>
  </si>
  <si>
    <t>STAKLO, STAKLARSKI MATERIJAL I STAKLARSKE USLUGE</t>
  </si>
  <si>
    <t>26110000-2</t>
  </si>
  <si>
    <t>20.07.2017.</t>
  </si>
  <si>
    <t>20.07.2019.</t>
  </si>
  <si>
    <t>19.04.2019.</t>
  </si>
  <si>
    <t>OPREMA I REKVIZITI ZA SPORT I REKREACIJU</t>
  </si>
  <si>
    <t>36400000-5</t>
  </si>
  <si>
    <t>04.12.2017.</t>
  </si>
  <si>
    <t>04.12.2019.</t>
  </si>
  <si>
    <t>23.01.2019.</t>
  </si>
  <si>
    <t>KAVA I APARATI ZA PRIPREMU KAVE</t>
  </si>
  <si>
    <t>15800000-6</t>
  </si>
  <si>
    <t>10.07.2018.</t>
  </si>
  <si>
    <t>10.05.2019.</t>
  </si>
  <si>
    <t>25.05.2019.</t>
  </si>
  <si>
    <t>25.06.2019.</t>
  </si>
  <si>
    <t>GRADSKA PLINARA ZAGREB OPSKRBA D.O.O., VODOOPSKRBA I ODVODNJA D.O.O.</t>
  </si>
  <si>
    <t>POPRAVAK I REZERVNI DIJELOVI PUMPI VISOKOG PRITISKA</t>
  </si>
  <si>
    <t>28.07.2021.</t>
  </si>
  <si>
    <t>13.02.2019.</t>
  </si>
  <si>
    <t>20.02.2019.</t>
  </si>
  <si>
    <t>25.03.2019.</t>
  </si>
  <si>
    <t>09.05.2019.</t>
  </si>
  <si>
    <t>PVC PROIZVODNI LONCI I PALETE ZA PROIZVODNJU BILJA</t>
  </si>
  <si>
    <t>25223000-0</t>
  </si>
  <si>
    <t>28.08.2017.</t>
  </si>
  <si>
    <t>28.08.2019.</t>
  </si>
  <si>
    <t>10 dana</t>
  </si>
  <si>
    <t>19.03.2019.</t>
  </si>
  <si>
    <t>ZAVJESE, ZASTORI I ŽALUZINE</t>
  </si>
  <si>
    <t>17215000-2</t>
  </si>
  <si>
    <t>31.07.2017.</t>
  </si>
  <si>
    <t>27.12.2018.</t>
  </si>
  <si>
    <t>21.05.2019.</t>
  </si>
  <si>
    <t>BOJE, LAKOVI, PIGMENTI I POMOĆNI MATERIJAL ZA MJEŠAONICU BOJA STANDOX</t>
  </si>
  <si>
    <t>CERADNA PLATNA I PRIBOR</t>
  </si>
  <si>
    <t>17222000-4</t>
  </si>
  <si>
    <t>21.02.2019.</t>
  </si>
  <si>
    <t>25.04.2019.</t>
  </si>
  <si>
    <t>06.05.2019.</t>
  </si>
  <si>
    <t>KANTE I POSUDE ZA OTPAD</t>
  </si>
  <si>
    <t>28213000-8</t>
  </si>
  <si>
    <t>14.12.2021.</t>
  </si>
  <si>
    <t>24.07.2021.</t>
  </si>
  <si>
    <t>TISKARSKE USLUGE</t>
  </si>
  <si>
    <t>78100000-8</t>
  </si>
  <si>
    <t>26.07.2017.</t>
  </si>
  <si>
    <t>26.07.2021.</t>
  </si>
  <si>
    <t>Dodatak ugovora/ugovor-narudžbenice TISKARSKE USLUGE</t>
  </si>
  <si>
    <t>29.11.2018.</t>
  </si>
  <si>
    <t>1 dan</t>
  </si>
  <si>
    <t>04.04.2019.</t>
  </si>
  <si>
    <t>26.04.2019.</t>
  </si>
  <si>
    <t>04.07.2019.</t>
  </si>
  <si>
    <t>SADNICE</t>
  </si>
  <si>
    <t>02511000-9</t>
  </si>
  <si>
    <t>11.04.2019.</t>
  </si>
  <si>
    <t>27.05.2019.</t>
  </si>
  <si>
    <t>17.12.2018.</t>
  </si>
  <si>
    <t>REDOVNI TEHNIČKI PREGLED VOZILA</t>
  </si>
  <si>
    <t>74313000-6</t>
  </si>
  <si>
    <t>16.08.2017.</t>
  </si>
  <si>
    <t>16.08.2021.</t>
  </si>
  <si>
    <t>18.06.2018.</t>
  </si>
  <si>
    <t>09.08.2017.</t>
  </si>
  <si>
    <t>09.08.2021.</t>
  </si>
  <si>
    <t>POSTAVLJANJE UMJETNE TRAVE I PRIPADAJUĆE OPREME NA IGRALIŠTA U GRADU ZAGREBU</t>
  </si>
  <si>
    <t>45236000-0</t>
  </si>
  <si>
    <t>08.08.2017.</t>
  </si>
  <si>
    <t>08.08.2021.</t>
  </si>
  <si>
    <t>NAJAM I ČIŠĆENJE KEMIJSKIH TOALETNIH KABINA</t>
  </si>
  <si>
    <t>24665000-3</t>
  </si>
  <si>
    <t>GRADSKO STAMBENO KOMUNALNO GOSPODARSTVO D.O.O., ZAGREBAČKI HOLDING D.O.O.</t>
  </si>
  <si>
    <t>08.05.2018.</t>
  </si>
  <si>
    <t>30.06.2020.</t>
  </si>
  <si>
    <t>BAKAR I PROIZVODI OD BAKRA</t>
  </si>
  <si>
    <t>27700000-2</t>
  </si>
  <si>
    <t>14.08.2017.</t>
  </si>
  <si>
    <t>14.08.2019.</t>
  </si>
  <si>
    <t>17.05.2019.</t>
  </si>
  <si>
    <t>ODRŽAVANJE NISKOPODNIH MINI AUTOBUSA NA POGON STLAČENIM PRIRODNIM PLINOM MARKE IVECO</t>
  </si>
  <si>
    <t>50113000-0</t>
  </si>
  <si>
    <t>07.08.2017.</t>
  </si>
  <si>
    <t>07.08.2019.</t>
  </si>
  <si>
    <t>ODRŽAVANJE I NADOGRADNJA WEB I MOBILNE APLIKACIJE "MOJ RAČUN"</t>
  </si>
  <si>
    <t>18.08.2017.</t>
  </si>
  <si>
    <t>18.08.2021.</t>
  </si>
  <si>
    <t>28.03.2018.</t>
  </si>
  <si>
    <t>LIJEVANA GUMA</t>
  </si>
  <si>
    <t>13.09.2017.</t>
  </si>
  <si>
    <t>13.09.2019.</t>
  </si>
  <si>
    <t>BETON - PLASTIČNI I PUMPANI</t>
  </si>
  <si>
    <t>23.08.2017.</t>
  </si>
  <si>
    <t>23.08.2019.</t>
  </si>
  <si>
    <t>KOLEKTIVNO DOPUNSKO ZDRAVSTVENO OSIGURANJE RADNIKA</t>
  </si>
  <si>
    <t>66331000-9</t>
  </si>
  <si>
    <t>GRADSKA PLINARA ZAGREB D.O.O.</t>
  </si>
  <si>
    <t>POSEBNI LINIJSKI I POVREMENI PRIJEVOZ PUTNIKA U UNUTARNJEM CESTOVNOM PROMETU</t>
  </si>
  <si>
    <t>60117000-1</t>
  </si>
  <si>
    <t>04.09.2017.</t>
  </si>
  <si>
    <t>04.09.2019.</t>
  </si>
  <si>
    <t>25.07.2018.</t>
  </si>
  <si>
    <t>JEDNOKRATNI TEPISI ZA SAJAMSKE POTREBE</t>
  </si>
  <si>
    <t>17231000-0</t>
  </si>
  <si>
    <t>DRVENA PILJENA GRAĐA</t>
  </si>
  <si>
    <t>21.09.2017.</t>
  </si>
  <si>
    <t>21.09.2019.</t>
  </si>
  <si>
    <t>07.09.2017.</t>
  </si>
  <si>
    <t>07.09.2019.</t>
  </si>
  <si>
    <t>03.05.2019.</t>
  </si>
  <si>
    <t>POPRAVAK I ODRŽAVANJE TRAMVAJSKIH VOZILA NT 2200 I NT 2300</t>
  </si>
  <si>
    <t>50222000-7</t>
  </si>
  <si>
    <t>REZERVNI DIJELOVI I POPRAVAK DROBILICA KAMENA</t>
  </si>
  <si>
    <t>14.09.2017.</t>
  </si>
  <si>
    <t>14.09.2019.</t>
  </si>
  <si>
    <t>AGM D.O.O., GRADSKA PLINARA ZAGREB OPSKRBA D.O.O., GRADSKO STAMBENO KOMUNALNO GOSPODARSTVO D.O.O., VODOOPSKRBA I ODVODNJA D.O.O., ZAGREBAČKA STANOGRADNJA D.O.O., ZAGREBAČKI HOLDING D.O.O.</t>
  </si>
  <si>
    <t>22.09.2018.</t>
  </si>
  <si>
    <t>VODOOPSKRBA I ODVODNJA D.O.O., ZAGREBAČKA STANOGRADNJA D.O.O., ZAGREBAČKI HOLDING D.O.O.</t>
  </si>
  <si>
    <t>Dodatak ugovora/ugovor-narudžbenice NAJAM OSOBNIH VOZILA</t>
  </si>
  <si>
    <t>11.09.2018.</t>
  </si>
  <si>
    <t>11.09.2019.</t>
  </si>
  <si>
    <t>02.01.2018.</t>
  </si>
  <si>
    <t>19.03.2018.</t>
  </si>
  <si>
    <t>26.03.2018.</t>
  </si>
  <si>
    <t>26.03.2019.</t>
  </si>
  <si>
    <t>27.07.2018.</t>
  </si>
  <si>
    <t>27.07.2019.</t>
  </si>
  <si>
    <t>18.09.2018.</t>
  </si>
  <si>
    <t>18.09.2019.</t>
  </si>
  <si>
    <t>05.01.2020.</t>
  </si>
  <si>
    <t>30.08.2017.</t>
  </si>
  <si>
    <t>30.08.2019.</t>
  </si>
  <si>
    <t>19.02.2019.</t>
  </si>
  <si>
    <t>LEŽAJEVI</t>
  </si>
  <si>
    <t>28540000-9</t>
  </si>
  <si>
    <t>20.09.2017.</t>
  </si>
  <si>
    <t>20.09.2019.</t>
  </si>
  <si>
    <t>13.06.2019.</t>
  </si>
  <si>
    <t>11.09.2017.</t>
  </si>
  <si>
    <t>ODRŽAVANJE I POPRAVAK JAVNIH ZAHODA</t>
  </si>
  <si>
    <t>50700000-2</t>
  </si>
  <si>
    <t>12.09.2017.</t>
  </si>
  <si>
    <t>12.09.2021.</t>
  </si>
  <si>
    <t>03.05.2018.</t>
  </si>
  <si>
    <t>28.06.2018.</t>
  </si>
  <si>
    <t>30.11.2019.</t>
  </si>
  <si>
    <t>31 dan</t>
  </si>
  <si>
    <t>28 dana</t>
  </si>
  <si>
    <t>13.05.2019.</t>
  </si>
  <si>
    <t>ODRŽAVANJE SUSTAVA ZA MASOVNI ISPIS I KUVERTIRANJE ZA GRADSKU PLINARU ZAGREB - OPSKRBA d.o.o.</t>
  </si>
  <si>
    <t>REZERVNI DIJELOVI I POPRAVAK STROJEVA I PRIKLJUČNIH ALATA PROIZVOĐAČA RASCO</t>
  </si>
  <si>
    <t>12.09.2019.</t>
  </si>
  <si>
    <t>HITNE INTERVENCIJE NA POPRAVCIMA KROVOVA</t>
  </si>
  <si>
    <t>45261000-4</t>
  </si>
  <si>
    <t>18.02.2019.</t>
  </si>
  <si>
    <t>07.06.2019.</t>
  </si>
  <si>
    <t>LAMINATNE LJUSKE OD POLIESTERA ZA TRAMVAJ</t>
  </si>
  <si>
    <t>35231000-2</t>
  </si>
  <si>
    <t>PODZEMNI SPREMNICI ZA SAKUPLJANJE OTPADA S UGRADNJOM</t>
  </si>
  <si>
    <t>26.07.2018.</t>
  </si>
  <si>
    <t>ZAMJENSKE SEMAFORSKE LATERNE</t>
  </si>
  <si>
    <t>31623000-9</t>
  </si>
  <si>
    <t>25.09.2017.</t>
  </si>
  <si>
    <t>25.09.2019.</t>
  </si>
  <si>
    <t>ZAKUP MEDIJSKOG PROSTORA U DNEVNIM NOVINAMA</t>
  </si>
  <si>
    <t>22.09.2021.</t>
  </si>
  <si>
    <t>REZANO CVIJEĆE I ZELENILO</t>
  </si>
  <si>
    <t>01122000-8</t>
  </si>
  <si>
    <t>SOBOSLIKARSKO- LIČILAČKI RADOVI</t>
  </si>
  <si>
    <t>45442000-7</t>
  </si>
  <si>
    <t>28.09.2017.</t>
  </si>
  <si>
    <t>28.09.2021.</t>
  </si>
  <si>
    <t>11.02.2019.</t>
  </si>
  <si>
    <t>USLUGA PRINTANJA I KUVERTIRANJA</t>
  </si>
  <si>
    <t>29.09.2017.</t>
  </si>
  <si>
    <t>29.09.2019.</t>
  </si>
  <si>
    <t>29.08.2018.</t>
  </si>
  <si>
    <t>31.05.2020.</t>
  </si>
  <si>
    <t>USLUGE U POKRETNOJ ELEKTRONIČKOJ KOMUNIKACIJSKOJ MREŽI</t>
  </si>
  <si>
    <t>64212000-5</t>
  </si>
  <si>
    <t>ELEKTRODE I ŽICE ZA ZAVARIVANJE</t>
  </si>
  <si>
    <t>28415000-4</t>
  </si>
  <si>
    <t>UZORKOVANJE I ISPITIVANJE OTPADNIH VODA</t>
  </si>
  <si>
    <t>74311000-2</t>
  </si>
  <si>
    <t>29.09.2021.</t>
  </si>
  <si>
    <t>365 dana</t>
  </si>
  <si>
    <t>10.06.2019.</t>
  </si>
  <si>
    <t>POVREMENI NAJAM STROJEVA I VOZILA ZA ZEMLJANE RADOVE</t>
  </si>
  <si>
    <t>02.10.2018.</t>
  </si>
  <si>
    <t>06.07.2018.</t>
  </si>
  <si>
    <t>SLUŽBENA ODJEĆA</t>
  </si>
  <si>
    <t>18222000-1</t>
  </si>
  <si>
    <t>28.09.2019.</t>
  </si>
  <si>
    <t>Dodatak ugovora/ugovor-narudžbenice SLUŽBENA ODJEĆA</t>
  </si>
  <si>
    <t>REZERVNI DIJELOVI I SERVIS ZA VOZILA MARKE MAN - TERETNI PROGRAM</t>
  </si>
  <si>
    <t>08.05.2019.</t>
  </si>
  <si>
    <t>26.06.2019.</t>
  </si>
  <si>
    <t>04.06.2019.</t>
  </si>
  <si>
    <t>28.06.2019.</t>
  </si>
  <si>
    <t>14.05.2019.</t>
  </si>
  <si>
    <t>29.05.2019.</t>
  </si>
  <si>
    <t>DEPONIRANJE KAMENOG MATERIJALA</t>
  </si>
  <si>
    <t>63120000-6</t>
  </si>
  <si>
    <t>18.09.2017.</t>
  </si>
  <si>
    <t>18.09.2021.</t>
  </si>
  <si>
    <t>02.10.2021.</t>
  </si>
  <si>
    <t>TRESET, SUPSTRATI I KORA DRVETA ZA UZGOJ BILJA</t>
  </si>
  <si>
    <t>10220000-1</t>
  </si>
  <si>
    <t>ODRŽAVANJE I NADOGRADNJA PROGRAMSKOG SUSTAVA IMPERIOS</t>
  </si>
  <si>
    <t>72262000-9</t>
  </si>
  <si>
    <t>22.11.2018.</t>
  </si>
  <si>
    <t>REZERVNI DIJELOVI ZA VOZILA MARKE MAN - AUTOBUSNI PROGRAM</t>
  </si>
  <si>
    <t>REVIZIJA GODIŠNJIH I KONSOLIDIRANIH GODIŠNJIH FINANCIJSKIH IZVJEŠĆA</t>
  </si>
  <si>
    <t>74121000-3</t>
  </si>
  <si>
    <t>05.10.2017.</t>
  </si>
  <si>
    <t>05.10.2021.</t>
  </si>
  <si>
    <t>AGM D.O.O., GRADSKA LJEKARNA ZAGREB, GRADSKA PLINARA ZAGREB D.O.O., GRADSKA PLINARA ZAGREB OPSKRBA D.O.O., GRADSKO STAMBENO KOMUNALNO GOSPODARSTVO D.O.O., VODOOPSKRBA I ODVODNJA D.O.O., ZAGREB PLAKAT D.O.O., ZAGREBAČKA STANOGRADNJA D.O.O., ZAGREBAČKI HOLDING D.O.O.</t>
  </si>
  <si>
    <t>17.09.2018.</t>
  </si>
  <si>
    <t>ZAGREBAČKA STANOGRADNJA D.O.O.</t>
  </si>
  <si>
    <t>ZAGREB PLAKAT D.O.O.</t>
  </si>
  <si>
    <t>GRADSKA LJEKARNA ZAGREB</t>
  </si>
  <si>
    <t>ELEKTROMATERIJAL</t>
  </si>
  <si>
    <t>31200000-8</t>
  </si>
  <si>
    <t>09.10.2017.</t>
  </si>
  <si>
    <t>09.10.2019.</t>
  </si>
  <si>
    <t>GRADSKA PLINARA ZAGREB D.O.O., GRADSKO STAMBENO KOMUNALNO GOSPODARSTVO D.O.O., VODOOPSKRBA I ODVODNJA D.O.O., ZAGREBAČKI HOLDING D.O.O.</t>
  </si>
  <si>
    <t>13.11.2018.</t>
  </si>
  <si>
    <t>30.10.2019.</t>
  </si>
  <si>
    <t>08.03.2019.</t>
  </si>
  <si>
    <t>GRADSKO STAMBENO KOMUNALNO GOSPODARSTVO D.O.O., VODOOPSKRBA I ODVODNJA D.O.O., ZAGREBAČKI HOLDING D.O.O.</t>
  </si>
  <si>
    <t>PROIZVODI OD OLOVA, CINKA I KOSITRA</t>
  </si>
  <si>
    <t>27600000-1</t>
  </si>
  <si>
    <t>DRVENE PLOČE I PANELI</t>
  </si>
  <si>
    <t>20210000-1</t>
  </si>
  <si>
    <t>PROIZVODI OD ŽELJEZA I ČELIKA</t>
  </si>
  <si>
    <t>16.10.2017.</t>
  </si>
  <si>
    <t>16.10.2019.</t>
  </si>
  <si>
    <t>21.12.2018.</t>
  </si>
  <si>
    <t>IZRADA I ODRŽAVANJE PRIVREMENIH ELEKTROINSTALACIJA ZA SAJMOVE, MANIFESTACIJE I BLAGDANE</t>
  </si>
  <si>
    <t>45310000-3</t>
  </si>
  <si>
    <t>13.10.2017.</t>
  </si>
  <si>
    <t>13.10.2021.</t>
  </si>
  <si>
    <t>DIJELOVI MEHANIČKOG POGONA TRAMVAJA</t>
  </si>
  <si>
    <t>ODRŽAVANJE I NADOGRADNJA INFORMACIJSKIH SUSTAVA PARKIS I PAUKIS</t>
  </si>
  <si>
    <t>09.10.2021.</t>
  </si>
  <si>
    <t>TRAVNE SMJESE</t>
  </si>
  <si>
    <t>02410000-1</t>
  </si>
  <si>
    <t>19.10.2017.</t>
  </si>
  <si>
    <t>19.10.2019.</t>
  </si>
  <si>
    <t>REZERVNI DIJELOVI I POPRAVAK STROJEVA ZA GRAĐEVINARSTVO</t>
  </si>
  <si>
    <t>17.10.2017.</t>
  </si>
  <si>
    <t>17.10.2019.</t>
  </si>
  <si>
    <t>ODRŽAVANJE I NADOGRADNJA SUSTAVA AUTOMATSKE NAPLATE JAVNOG WC-a</t>
  </si>
  <si>
    <t>22.01.2019.</t>
  </si>
  <si>
    <t>RADOVI NA IZGRADNJI I ODRŽAVANJU KANALIZACIJSKE MREŽE GRADA ZAGREBA</t>
  </si>
  <si>
    <t>23.10.2017.</t>
  </si>
  <si>
    <t>23.10.2019.</t>
  </si>
  <si>
    <t>Dodatak ugovora/ugovor-narudžbenice RADOVI NA IZGRADNJI I ODRŽAVANJU KANALIZACIJSKE MREŽE GRADA ZAGREBA</t>
  </si>
  <si>
    <t>01.02.2019.</t>
  </si>
  <si>
    <t>40 dana</t>
  </si>
  <si>
    <t>ODRŽAVANJE I POPRAVAK SUSTAVA ZA GRIJANJE I TOPLU VODU</t>
  </si>
  <si>
    <t>50720000-8</t>
  </si>
  <si>
    <t>20.10.2017.</t>
  </si>
  <si>
    <t>20.10.2021.</t>
  </si>
  <si>
    <t>AGM D.O.O., VODOOPSKRBA I ODVODNJA D.O.O., ZAGREBAČKI HOLDING D.O.O.</t>
  </si>
  <si>
    <t>06.11.2017.</t>
  </si>
  <si>
    <t>06.11.2021.</t>
  </si>
  <si>
    <t>ODRŽAVANJE, SANACIJA I NADOGRADNJA KABELSKE KANALIZACIJE NA PODRUČJU GRADA ZAGREBA</t>
  </si>
  <si>
    <t>27.10.2017.</t>
  </si>
  <si>
    <t>27.10.2021.</t>
  </si>
  <si>
    <t>REZERVNI DIJELOVI I POPRAVAK U SUDARU OŠTEĆENIH TRAMVAJA NT 2200 I NT 2300</t>
  </si>
  <si>
    <t>26.10.2017.</t>
  </si>
  <si>
    <t>26.10.2019.</t>
  </si>
  <si>
    <t>ČELIČNE OBUJMICE, ANKERI I KLINOVI ZA PROMETNE ZNAKOVE</t>
  </si>
  <si>
    <t>06.11.2019.</t>
  </si>
  <si>
    <t>CESTOGRAĐEVNI BITUMEN</t>
  </si>
  <si>
    <t>08.11.2017.</t>
  </si>
  <si>
    <t>08.11.2019.</t>
  </si>
  <si>
    <t>20.11.2018.</t>
  </si>
  <si>
    <t>05.01.2019.</t>
  </si>
  <si>
    <t>12.05.2019.</t>
  </si>
  <si>
    <t>20.06.2019.</t>
  </si>
  <si>
    <t>STROJNO VAĐENJE I RAZBUŠIVANJE PANJEVA</t>
  </si>
  <si>
    <t>77314000-4</t>
  </si>
  <si>
    <t>FOLIJE, TRAKE, BOJE ZA SITOTISAK I PRIBOR ZA VERTIKALNU I HORIZONTALNU SIGNALIZACIJU</t>
  </si>
  <si>
    <t>25213000-7</t>
  </si>
  <si>
    <t>09.11.2017.</t>
  </si>
  <si>
    <t>09.11.2019.</t>
  </si>
  <si>
    <t>REZERVNI DIJELOVI KOČIONIH INSTALACIJA PROIZVOĐAČA WABCO, KNORR, BOSCH, HALDEX I TEMPLIN</t>
  </si>
  <si>
    <t>34322000-0</t>
  </si>
  <si>
    <t>16.11.2017.</t>
  </si>
  <si>
    <t>16.11.2019.</t>
  </si>
  <si>
    <t>15.01.2018.</t>
  </si>
  <si>
    <t>15.01.2020.</t>
  </si>
  <si>
    <t>ULJA I MAZIVA</t>
  </si>
  <si>
    <t>23123000-5</t>
  </si>
  <si>
    <t>20.11.2017.</t>
  </si>
  <si>
    <t>20.11.2019.</t>
  </si>
  <si>
    <t>12.11.2018.</t>
  </si>
  <si>
    <t>FILTERI ZA VOZILA</t>
  </si>
  <si>
    <t>29241000-0</t>
  </si>
  <si>
    <t>13.11.2017.</t>
  </si>
  <si>
    <t>13.11.2019.</t>
  </si>
  <si>
    <t>Dodatak ugovora/ugovor-narudžbenice FILTERI ZA VOZILA</t>
  </si>
  <si>
    <t>SEMAFORSKO SIGNALNE ŽARULJE</t>
  </si>
  <si>
    <t>31518000-0</t>
  </si>
  <si>
    <t>AKUMULATORI I PRIBOR</t>
  </si>
  <si>
    <t>31430000-9</t>
  </si>
  <si>
    <t>27.11.2017.</t>
  </si>
  <si>
    <t>27.11.2019.</t>
  </si>
  <si>
    <t>REZERVNI DIJELOVI I POPRAVAK STROJEVA MARKE WILLIBALD</t>
  </si>
  <si>
    <t>16.11.2021.</t>
  </si>
  <si>
    <t>GRAĐEVINSKI RADOVI NA HITNIM ZAHVATIMA KOD IZLAZA PLINA</t>
  </si>
  <si>
    <t>NAJAM ŠATORA I OPREME ZA ŠATORE</t>
  </si>
  <si>
    <t>CIJEVI PEHD, PVC I KORUGIRANE</t>
  </si>
  <si>
    <t>25212000-0</t>
  </si>
  <si>
    <t>29.11.2017.</t>
  </si>
  <si>
    <t>29.11.2019.</t>
  </si>
  <si>
    <t>ELEKTRIČNI DIJELOVI TRAMVAJA</t>
  </si>
  <si>
    <t>USLUGA PROCJENE TRŽIŠNE VRIJEDNOSTI NEKRETNINA (ZEMLJIŠTA I GRAĐEVINSKIH OBJEKATA)</t>
  </si>
  <si>
    <t>74231000-7</t>
  </si>
  <si>
    <t>01.12.2017.</t>
  </si>
  <si>
    <t>01.12.2021.</t>
  </si>
  <si>
    <t>Dodatak ugovora/ugovor-narudžbenice USLUGA PROCJENE TRŽIŠNE VRIJEDNOSTI NEKRETNINA (ZEMLJIŠTA I GRAĐEVINSKIH OBJEKATA)</t>
  </si>
  <si>
    <t>02.07.2019.</t>
  </si>
  <si>
    <t>LJEPILO ZA POLAGANJE GUMENIH PODOVA</t>
  </si>
  <si>
    <t>24620000-6</t>
  </si>
  <si>
    <t>01.12.2019.</t>
  </si>
  <si>
    <t>STLAČENI PRIRODNI PLIN ZA PUNJENJE VOZILA</t>
  </si>
  <si>
    <t>REZERVNI DIJELOVI I POPRAVAK DROBILICA KAMENA NORDBERG</t>
  </si>
  <si>
    <t>08.12.2017.</t>
  </si>
  <si>
    <t>08.12.2019.</t>
  </si>
  <si>
    <t>PRESADNICE</t>
  </si>
  <si>
    <t>13.12.2017.</t>
  </si>
  <si>
    <t>13.12.2019.</t>
  </si>
  <si>
    <t>SREDSTVA ZA ODMAŠĆIVANJE, ČIŠĆENJE, ANTIKOROZIVNU ZAŠTITU I SKIDANJE PREMAZA</t>
  </si>
  <si>
    <t>24800000-2</t>
  </si>
  <si>
    <t>DIJELOVI SUSTAVA VRATA ZA TRAMVAJE PROIZVOĐAČA KNORR BREMSE - DIVISION IFE</t>
  </si>
  <si>
    <t>06.12.2017.</t>
  </si>
  <si>
    <t>06.12.2019.</t>
  </si>
  <si>
    <t>ODRŽAVANJE MINI AUTOBUSA NA DIESELSKI POGON MARKE IVECO</t>
  </si>
  <si>
    <t>18.12.2017.</t>
  </si>
  <si>
    <t>18.12.2019.</t>
  </si>
  <si>
    <t>GRAĐEVINSKI RADOVI NA ODRŽAVANJU CESTA I ULICA GRADA ZAGREBA</t>
  </si>
  <si>
    <t>45233000-9</t>
  </si>
  <si>
    <t>27.12.2017.</t>
  </si>
  <si>
    <t>27.12.2021.</t>
  </si>
  <si>
    <t>16.12.2019.</t>
  </si>
  <si>
    <t>PROMETNA OGLEDALA</t>
  </si>
  <si>
    <t>21.12.2017.</t>
  </si>
  <si>
    <t>21.12.2019.</t>
  </si>
  <si>
    <t>HLADNA DVOKOMPONENTNA PLASTIKA ZA IZRADU OZNAKA NA KOLNIKU</t>
  </si>
  <si>
    <t>RUČNI ALATI I PRIBOR ZA POLJOPRIVREDU I HORTIKULTURU</t>
  </si>
  <si>
    <t>28621000-1</t>
  </si>
  <si>
    <t>27.12.2019.</t>
  </si>
  <si>
    <t>GRAĐENJE, ODRŽAVANJE I UPRAVLJANJE PODSUSTAVIMA ODLAGALIŠTA OTPADA JAKUŠEVEC</t>
  </si>
  <si>
    <t>45000000-7</t>
  </si>
  <si>
    <t>28.12.2017.</t>
  </si>
  <si>
    <t>28.12.2021.</t>
  </si>
  <si>
    <t>01.03.2018.</t>
  </si>
  <si>
    <t>01.04.2020.</t>
  </si>
  <si>
    <t>ZVUČNI SIGNALIZATORI ZA SLIJEPE I SLABOVIDNE OSOBE</t>
  </si>
  <si>
    <t>15.09.2017.</t>
  </si>
  <si>
    <t>15.09.2019.</t>
  </si>
  <si>
    <t>13.10.2019.</t>
  </si>
  <si>
    <t>LIJEVANI ŽELJEZNI ELEMENTI URBANE OPREME</t>
  </si>
  <si>
    <t>REZERVNI DIJELOVI, POPRAVAK I SERVIS STROJEVA ZA GRAĐEVINARSTVO</t>
  </si>
  <si>
    <t>REZERVNI DIJELOVI I SERVIS VOZILA MARKE IVECO</t>
  </si>
  <si>
    <t>28.12.2019.</t>
  </si>
  <si>
    <t>REPROMATERIJAL ZA ČE PLINOVODE</t>
  </si>
  <si>
    <t>27220000-3</t>
  </si>
  <si>
    <t>PRIBOR I SREDSTVA ZA PRANJE, ČIŠĆENJE I OSTALA SREDSTVA ZA OPĆU HIGIJENU</t>
  </si>
  <si>
    <t>24500000-9</t>
  </si>
  <si>
    <t>06.04.2018.</t>
  </si>
  <si>
    <t>06.04.2019.</t>
  </si>
  <si>
    <t>31.01.2020.</t>
  </si>
  <si>
    <t>USLUGA PODIZANJA I SPUŠTANJA ZASTAVA NA JAVNIM POVRŠINAMA U GRADU ZAGREBU ZA DRŽAVNE PRAZNIKE, BLAGDANE I SPOMENDANE</t>
  </si>
  <si>
    <t>50230000-6</t>
  </si>
  <si>
    <t>02.01.2022.</t>
  </si>
  <si>
    <t>6 dana</t>
  </si>
  <si>
    <t>ZASTAVE</t>
  </si>
  <si>
    <t>17225000-5</t>
  </si>
  <si>
    <t>04.02.2019.</t>
  </si>
  <si>
    <t>OSOBNA ZAŠTITNA SREDSTVA</t>
  </si>
  <si>
    <t>18131000-6</t>
  </si>
  <si>
    <t>60 dana</t>
  </si>
  <si>
    <t>REZERVNI DIJELOVI, POPRAVAK I ODRŽAVANJE POSTROJENJA ZA PROIZVODNJU I RECIKLAŽU ASFALTNIH MJEŠAVINA PROIZVOĐAČA BENNINGHOVEN</t>
  </si>
  <si>
    <t>BETONSKA GALANTERIJA</t>
  </si>
  <si>
    <t>02.01.2020.</t>
  </si>
  <si>
    <t>REZERVNI DIJELOVI ZA CRPKE MARKE PLEUGER</t>
  </si>
  <si>
    <t>29124000-4</t>
  </si>
  <si>
    <t>03.01.2018.</t>
  </si>
  <si>
    <t>03.01.2020.</t>
  </si>
  <si>
    <t>USLUGE PRIVREMENOG ZAPOŠLJAVANJA RADNIKA</t>
  </si>
  <si>
    <t>74520000-0</t>
  </si>
  <si>
    <t>08.01.2018.</t>
  </si>
  <si>
    <t>08.01.2021.</t>
  </si>
  <si>
    <t>31.01.2018.</t>
  </si>
  <si>
    <t>30.03.2018.</t>
  </si>
  <si>
    <t>04.05.2018.</t>
  </si>
  <si>
    <t>24.12.2018.</t>
  </si>
  <si>
    <t>ODŠTOPAVANJE I ČIŠĆENJE KANALA, SLIVNIKA I SKRETNICA</t>
  </si>
  <si>
    <t>90113000-2</t>
  </si>
  <si>
    <t>08.01.2022.</t>
  </si>
  <si>
    <t>ČIŠĆENJE SEPARATORA</t>
  </si>
  <si>
    <t>UTOVAR, ISTOVAR I PRIJEVOZ KOLOSIJEČNOG MATERIJALA</t>
  </si>
  <si>
    <t>23.01.2018.</t>
  </si>
  <si>
    <t>23.01.2020.</t>
  </si>
  <si>
    <t>USLUGE PODIZANJA I ODRŽAVANJA ZELENIH POVRŠINA U PARK ŠUMAMA</t>
  </si>
  <si>
    <t>77310000-6</t>
  </si>
  <si>
    <t>POPRAVAK HLADNJAKA AUTOBUSA</t>
  </si>
  <si>
    <t>POSTAVA ANTITRAUMATSKIH PODLOGA</t>
  </si>
  <si>
    <t>18.12.2021.</t>
  </si>
  <si>
    <t>POPRAVAK I SERVIS KREMACIJSKIH PEĆI</t>
  </si>
  <si>
    <t>50712000-9</t>
  </si>
  <si>
    <t>30.01.2018.</t>
  </si>
  <si>
    <t>30.01.2022.</t>
  </si>
  <si>
    <t>POPRAVAK KATODNE ZAŠTITE</t>
  </si>
  <si>
    <t>50532000-3</t>
  </si>
  <si>
    <t>05.02.2018.</t>
  </si>
  <si>
    <t>05.02.2020.</t>
  </si>
  <si>
    <t>REZERVNI DIJELOVI KOČIONOG SUSTAVA PROIZVOĐAČA KNORR ZA TRAMVAJE</t>
  </si>
  <si>
    <t>24.01.2018.</t>
  </si>
  <si>
    <t>24.01.2020.</t>
  </si>
  <si>
    <t>ELEMENTI ZAŠTITNIH ČELIĆNIH OGRADA UZ CESTE</t>
  </si>
  <si>
    <t>28823000-7</t>
  </si>
  <si>
    <t>STAKLENE KUGLICE ZA RETROREFLEKSIJU</t>
  </si>
  <si>
    <t>19.01.2018.</t>
  </si>
  <si>
    <t>19.01.2020.</t>
  </si>
  <si>
    <t>REZERVNI DIJELOVI ZA TRAMVAJE ČKD</t>
  </si>
  <si>
    <t>06.02.2018.</t>
  </si>
  <si>
    <t>06.02.2020.</t>
  </si>
  <si>
    <t>GRAĐEVINSKI MATERIJALI</t>
  </si>
  <si>
    <t>28811000-0</t>
  </si>
  <si>
    <t>23.02.2018.</t>
  </si>
  <si>
    <t>23.02.2020.</t>
  </si>
  <si>
    <t>NAJAM KAMIONA SA DIZALICOM I GRAJFEROM</t>
  </si>
  <si>
    <t>19.02.2018.</t>
  </si>
  <si>
    <t>19.02.2020.</t>
  </si>
  <si>
    <t>13.02.2018.</t>
  </si>
  <si>
    <t>13.02.2020.</t>
  </si>
  <si>
    <t>REZERVNI DIJELOVI I SERVIS ZA VOZILA MARKE MERCEDES - TERETNI PROGRAM</t>
  </si>
  <si>
    <t>30.01.2020.</t>
  </si>
  <si>
    <t>ODRŽAVANJE I NADOGRADNJA PROGRAMSKOG SUSTAVA CENTRIX</t>
  </si>
  <si>
    <t>20.02.2018.</t>
  </si>
  <si>
    <t>20.02.2020.</t>
  </si>
  <si>
    <t>04.07.2018.</t>
  </si>
  <si>
    <t>JAVNI PRISTUP INTERNETU PUTEM BEŽIČNE TELEKOMUNIKACIJSKE MREŽE (WiFi mreže) U VOZILIMA ZAGREBAČKOG ELEKTRIČNOG TRAMVAJA</t>
  </si>
  <si>
    <t>32510000-1</t>
  </si>
  <si>
    <t>05.02.2022.</t>
  </si>
  <si>
    <t>08.02.2018.</t>
  </si>
  <si>
    <t>08.02.2022.</t>
  </si>
  <si>
    <t>KEMIJSKO ČIŠĆENJE, PRANJE I GLAČANJE ODJEĆE I OSTALIH TKANINA</t>
  </si>
  <si>
    <t>93100000-9</t>
  </si>
  <si>
    <t>19.02.2022.</t>
  </si>
  <si>
    <t>14.06.2018.</t>
  </si>
  <si>
    <t>14.06.2022.</t>
  </si>
  <si>
    <t>ODRŽAVANJE I NADOGRADNJA PROGRAMSKOG SUSTAVA LAUS/ARGOSY</t>
  </si>
  <si>
    <t>26.02.2018.</t>
  </si>
  <si>
    <t>26.02.2020.</t>
  </si>
  <si>
    <t>11.07.2018.</t>
  </si>
  <si>
    <t>REZERVNI DIJELOVI MJENJAČA MARKE VOITH</t>
  </si>
  <si>
    <t>REZERVNI DIJELOVI, POPRAVAK I ODRŽAVANJE UREĐAJA ZA AUTOMATSKO UPRAVLJANJE SKRETNICOM WS 90 E PROIZVOĐAČA SIEMENS</t>
  </si>
  <si>
    <t>ODRŽAVANJE I PROŠIRENA PODRŠKA ZA INFORMACIJSKE SUSTAVE PROIZVOĐAČA INFODATA</t>
  </si>
  <si>
    <t>ODRŽAVANJE AUTOBUSA MARKE MAN</t>
  </si>
  <si>
    <t>12.03.2018.</t>
  </si>
  <si>
    <t>12.03.2020.</t>
  </si>
  <si>
    <t>PREUZIMANJE I DALJNJA OBRADA OTPADA</t>
  </si>
  <si>
    <t>90120000-4</t>
  </si>
  <si>
    <t>11.04.2018.</t>
  </si>
  <si>
    <t>11.04.2020.</t>
  </si>
  <si>
    <t>REPROMATERIJAL ZA PE-HD PLINOVODE</t>
  </si>
  <si>
    <t>27210000-0</t>
  </si>
  <si>
    <t>08.03.2018.</t>
  </si>
  <si>
    <t>08.03.2020.</t>
  </si>
  <si>
    <t>02.05.2018.</t>
  </si>
  <si>
    <t>02.05.2020.</t>
  </si>
  <si>
    <t>05.03.2018.</t>
  </si>
  <si>
    <t>05.03.2020.</t>
  </si>
  <si>
    <t>INTERVENTNI RADOVI NA SANACIJI KANALSKOG SUSTAVA GRADA ZAGREBA</t>
  </si>
  <si>
    <t>45232000-2</t>
  </si>
  <si>
    <t>ODRŽAVANJE, POPRAVAK I REZERVNI DIJELOVI ISPRAVLJAČKIH I TRANSFORMATORSKIH STANICA PODRUŽNICE ZET</t>
  </si>
  <si>
    <t>06.03.2018.</t>
  </si>
  <si>
    <t>06.03.2020.</t>
  </si>
  <si>
    <t>SPRAVE ZA IGRALIŠTA, REZERVNI DIJELOVI I POPRAVAK SPRAVA</t>
  </si>
  <si>
    <t>20.03.2018.</t>
  </si>
  <si>
    <t>20.03.2020.</t>
  </si>
  <si>
    <t>13.12.2018.</t>
  </si>
  <si>
    <t>21.06.2019.</t>
  </si>
  <si>
    <t>KANTE ZA BIOOTPAD</t>
  </si>
  <si>
    <t>01.03.2020.</t>
  </si>
  <si>
    <t>30.06.2018.</t>
  </si>
  <si>
    <t>ČIŠĆENJE I SANACIJA BUNARA NA CRPILIŠTIMA</t>
  </si>
  <si>
    <t>74732000-9</t>
  </si>
  <si>
    <t>USLUGE PRIMJENE I ODRŽAVANJA PROGRAMSKE OPREME APIS IT</t>
  </si>
  <si>
    <t>72310000-1</t>
  </si>
  <si>
    <t>13.03.2018.</t>
  </si>
  <si>
    <t>13.03.2020.</t>
  </si>
  <si>
    <t>18.05.2018.</t>
  </si>
  <si>
    <t>28.02.2020.</t>
  </si>
  <si>
    <t>POPRAVAK ELEKTROMOTORA PROIZVOĐAČA PLEUGER</t>
  </si>
  <si>
    <t>ODRŽAVANJE I NADOGRADNJA APLIKACIJA INFOART</t>
  </si>
  <si>
    <t>12.03.2022.</t>
  </si>
  <si>
    <t>15.05.2018.</t>
  </si>
  <si>
    <t>ODRŽAVANJE POSLOVNO-SIGURNOSNOG SUSTAVA IDENTIXL</t>
  </si>
  <si>
    <t>NAJAM DOSTAVNIH VOZILA ZA PRIJEVOZ SPREMNIKA ZA OTPAD</t>
  </si>
  <si>
    <t>34130000-7</t>
  </si>
  <si>
    <t>25.02.2018.</t>
  </si>
  <si>
    <t>POPRAVAK I REZERVNI DIJELOVI HIDRAULIKE - SKLOPOVI SPECIJALNIH VOZILA</t>
  </si>
  <si>
    <t>16.01.2019.</t>
  </si>
  <si>
    <t>NAJAM SUSTAVA ZA NADZOR UPRAVLJANJA VOZNIM PARKOM</t>
  </si>
  <si>
    <t>50111000-6</t>
  </si>
  <si>
    <t>15.03.2018.</t>
  </si>
  <si>
    <t>15.03.2022.</t>
  </si>
  <si>
    <t>02.07.2018.</t>
  </si>
  <si>
    <t>05.07.2018.</t>
  </si>
  <si>
    <t>KOŠNJA, GRABLJANJE I ODVOZ KOROVA</t>
  </si>
  <si>
    <t>15.03.2020.</t>
  </si>
  <si>
    <t>HORTIKULTURNO UREĐENJE OBJEKATA VODOOPSKRBE I ODVODNJE</t>
  </si>
  <si>
    <t>ODRŽAVANJE I POPRAVAK FONTANA</t>
  </si>
  <si>
    <t>50500000-0</t>
  </si>
  <si>
    <t>26.03.2022.</t>
  </si>
  <si>
    <t>13.06.2018.</t>
  </si>
  <si>
    <t>POSTAVA HORIZONTALNE I VERTIKALNE SIGNALIZACIJE</t>
  </si>
  <si>
    <t>23.03.2018.</t>
  </si>
  <si>
    <t>23.03.2020.</t>
  </si>
  <si>
    <t>SOL ZA POSIPANJE CESTA</t>
  </si>
  <si>
    <t>30.03.2020.</t>
  </si>
  <si>
    <t>Dodatak ugovora/ugovor-narudžbenice SOL ZA POSIPANJE CESTA</t>
  </si>
  <si>
    <t>IZRADA INOX BUNARSKIH KOLEKTORA S UGRADNJOM</t>
  </si>
  <si>
    <t>93950000-2</t>
  </si>
  <si>
    <t>04.04.2018.</t>
  </si>
  <si>
    <t>04.04.2020.</t>
  </si>
  <si>
    <t>14 dana</t>
  </si>
  <si>
    <t>RUČNI NEELEKTRIČNI ALATI</t>
  </si>
  <si>
    <t>28622000-8</t>
  </si>
  <si>
    <t>03.04.2018.</t>
  </si>
  <si>
    <t>03.04.2020.</t>
  </si>
  <si>
    <t>30.07.2019.</t>
  </si>
  <si>
    <t>POKRETNA OPREMA ZA SAKUPLJANJE OTPADA</t>
  </si>
  <si>
    <t>20.04.2020.</t>
  </si>
  <si>
    <t>17.04.2020.</t>
  </si>
  <si>
    <t>SREDSTVA ZA ODMAŠĆIVANJE, ANTIKOROZIVNU ZAŠTITU I SKIDANJE PREMAZA</t>
  </si>
  <si>
    <t>26.04.2018.</t>
  </si>
  <si>
    <t>26.04.2020.</t>
  </si>
  <si>
    <t>IZGRADNJA I SANACIJA VODOOPSKRBNIH PRIKLJUČAKA</t>
  </si>
  <si>
    <t>30.04.2018.</t>
  </si>
  <si>
    <t>DEZINFEKCIJA I KEMIJSKO ČIŠĆENJE KLIMA, VENTILACIJSKIH SUSTAVA I KUHINJSKIH UREĐAJA UZ KONTROLU MIKROBIOLOŠKE ČISTOĆE ZRAKA</t>
  </si>
  <si>
    <t>74720000-2</t>
  </si>
  <si>
    <t>21.05.2018.</t>
  </si>
  <si>
    <t>21.05.2022.</t>
  </si>
  <si>
    <t>SPREMNICI ZA SAKUPLJANJE OTPADA</t>
  </si>
  <si>
    <t>01.06.2018.</t>
  </si>
  <si>
    <t>01.06.2020.</t>
  </si>
  <si>
    <t>28.05.2018.</t>
  </si>
  <si>
    <t>28.05.2020.</t>
  </si>
  <si>
    <t>ARMATURE OD NODULARNOG LIJEVA</t>
  </si>
  <si>
    <t>27200000-7</t>
  </si>
  <si>
    <t>27.06.2018.</t>
  </si>
  <si>
    <t>27.06.2020.</t>
  </si>
  <si>
    <t>ELEKTRONIČKE KOMUNIKACIJSKE USLUGE U NEPOKRETNOJ MREŽI</t>
  </si>
  <si>
    <t>64200000-8</t>
  </si>
  <si>
    <t>12.07.2018.</t>
  </si>
  <si>
    <t>12.07.2020.</t>
  </si>
  <si>
    <t>05.02.2019.</t>
  </si>
  <si>
    <t>IZRADA STUDIJE RAZVOJA TRAMVAJSKOG PROMETA GRADA ZAGREBA</t>
  </si>
  <si>
    <t>74224000-5</t>
  </si>
  <si>
    <t>25.09.2018.</t>
  </si>
  <si>
    <t>25.09.2020.</t>
  </si>
  <si>
    <t>ČIŠĆENJE KANALA, PROPUSTA I SLIVNIKA KOJI NISU SPOJENI NA SUSTAV JAVNE ODVODNJE NA PODRUČJU GRADA ZAGREBA</t>
  </si>
  <si>
    <t>01.10.2020.</t>
  </si>
  <si>
    <t>NADOGRADNJA LAN MREŽE ZGH</t>
  </si>
  <si>
    <t>32420000-3</t>
  </si>
  <si>
    <t>07.05.2018.</t>
  </si>
  <si>
    <t>07.05.2021.</t>
  </si>
  <si>
    <t>19.06.2018.</t>
  </si>
  <si>
    <t>21.11.2018.</t>
  </si>
  <si>
    <t>Dodatak ugovora/ugovor-narudžbenice NADOGRADNJA LAN MREŽE ZGH</t>
  </si>
  <si>
    <t>OPSKRBA TOPLINSKOM ENERGIJOM</t>
  </si>
  <si>
    <t>40300000-5</t>
  </si>
  <si>
    <t>05.06.2018.</t>
  </si>
  <si>
    <t>05.06.2020.</t>
  </si>
  <si>
    <t>ODRŽAVANJE I NAJAM PROGRAMSKOG SUSTAVA FAROS</t>
  </si>
  <si>
    <t>POPRAVAK I REDOVNO ODRŽAVANJE POKRETNIH STUBA, PODIZNIH PLATFORMI I IZVLAČNIH LJESTVI</t>
  </si>
  <si>
    <t>50750000-7</t>
  </si>
  <si>
    <t>11.06.2022.</t>
  </si>
  <si>
    <t>21.08.2018.</t>
  </si>
  <si>
    <t>VENTILI</t>
  </si>
  <si>
    <t>29131000-6</t>
  </si>
  <si>
    <t>16.07.2020.</t>
  </si>
  <si>
    <t>KVARCNI PIJESAK</t>
  </si>
  <si>
    <t>14211000-3</t>
  </si>
  <si>
    <t>SANITARIJE</t>
  </si>
  <si>
    <t>36713000-2</t>
  </si>
  <si>
    <t>TEHNIČKI PLINOVI</t>
  </si>
  <si>
    <t>24111000-5</t>
  </si>
  <si>
    <t>24.07.2018.</t>
  </si>
  <si>
    <t>24.07.2020.</t>
  </si>
  <si>
    <t>ODRŽAVANJE I POPRAVAK POTHODNIKA</t>
  </si>
  <si>
    <t>31.07.2018.</t>
  </si>
  <si>
    <t>31.07.2022.</t>
  </si>
  <si>
    <t>31.08.2022.</t>
  </si>
  <si>
    <t>FITINZI</t>
  </si>
  <si>
    <t>29875000-3</t>
  </si>
  <si>
    <t>23.07.2020.</t>
  </si>
  <si>
    <t>METLE BREZOVE</t>
  </si>
  <si>
    <t>36673000-9</t>
  </si>
  <si>
    <t>31.07.2020.</t>
  </si>
  <si>
    <t>16.08.2018.</t>
  </si>
  <si>
    <t>ODRŽAVANJE, POPRAVAK I PRIPREMA MJERILA MASE ZA OVJERAVANJE</t>
  </si>
  <si>
    <t>50433000-9</t>
  </si>
  <si>
    <t>ODRŽAVANJE I POPRAVAK SUSTAVA TELEMETRIJE PROIZVOĐAČA ZAGREL</t>
  </si>
  <si>
    <t>50330000-7</t>
  </si>
  <si>
    <t>07.08.2018.</t>
  </si>
  <si>
    <t>07.08.2020.</t>
  </si>
  <si>
    <t>PROJEKT IZRADE PLANOVA I DOKUMENTACIJE ZA ZIMSKU SLUŽBU</t>
  </si>
  <si>
    <t>72242000-3</t>
  </si>
  <si>
    <t>13.08.2018.</t>
  </si>
  <si>
    <t>13.08.2020.</t>
  </si>
  <si>
    <t>ODRŽAVANJE I NADOGRADNJA POSLOVNO INFORMACIJSKIH SUSTAVA WEBKOMIS</t>
  </si>
  <si>
    <t>21.08.2020.</t>
  </si>
  <si>
    <t>08.11.2018.</t>
  </si>
  <si>
    <t>OPREMA ZA RASVJETU I ELEKTRIČNE SVJETILJKE</t>
  </si>
  <si>
    <t>31500000-1</t>
  </si>
  <si>
    <t>09.08.2020.</t>
  </si>
  <si>
    <t>16.08.2020.</t>
  </si>
  <si>
    <t>05.03.2019.</t>
  </si>
  <si>
    <t>USLUGE PRIVATNE ZAŠTITE</t>
  </si>
  <si>
    <t>74613000-9</t>
  </si>
  <si>
    <t>08.08.2018.</t>
  </si>
  <si>
    <t>08.08.2020.</t>
  </si>
  <si>
    <t>Dodatak ugovora/ugovor-narudžbenice USLUGE PRIVATNE ZAŠTITE</t>
  </si>
  <si>
    <t>ODRŽAVANJE I NADOGRADNJA INFORMACIJSKOG SUSTAVA AXIOM MEMENTO</t>
  </si>
  <si>
    <t>03.09.2018.</t>
  </si>
  <si>
    <t>03.09.2020.</t>
  </si>
  <si>
    <t>POKRIVANJE POVRŠINA TRAVOM</t>
  </si>
  <si>
    <t>07.09.2018.</t>
  </si>
  <si>
    <t>07.09.2022.</t>
  </si>
  <si>
    <t>HITNE INTERVENCIJE NA INSTALACIJAMA</t>
  </si>
  <si>
    <t>17.09.2020.</t>
  </si>
  <si>
    <t>4 dana</t>
  </si>
  <si>
    <t>11.09.2020.</t>
  </si>
  <si>
    <t>REZERVNI DIJELOVI I POPRAVAK SPREMNIKA ZA SAKUPLJANJE OTPADA</t>
  </si>
  <si>
    <t>DODATNO I DOPUNSKO ZDRAVSTVENO OSIGURANJE</t>
  </si>
  <si>
    <t>10.09.2020.</t>
  </si>
  <si>
    <t>USLUGA OČITANJA STANJA POTROŠNJE PLINA NA OMM NA DISTRIBUTIVNOM PODRUČJU GPZ</t>
  </si>
  <si>
    <t>Pregovarački postupak javne nabave bez prethodne objave</t>
  </si>
  <si>
    <t>LUKOVICE CVIJEĆA I SJEMENJE CVIJEĆA I POVRĆA</t>
  </si>
  <si>
    <t>02512000-6</t>
  </si>
  <si>
    <t>12.09.2018.</t>
  </si>
  <si>
    <t>12.09.2020.</t>
  </si>
  <si>
    <t>SERVIS, ODRŽAVANJE I POPRAVAK SPECIJALNIH VOZILA I NADOGRADNJI U FINANCIJSKOM LEASINGU</t>
  </si>
  <si>
    <t>21.09.2018.</t>
  </si>
  <si>
    <t>21.09.2020.</t>
  </si>
  <si>
    <t>MESO I MESNI PROIZVODI</t>
  </si>
  <si>
    <t>15100000-9</t>
  </si>
  <si>
    <t>ISPITIVANJE VODE ZA PIĆE, VODE BAZENA I POVRŠINSKE VODE</t>
  </si>
  <si>
    <t>ODRŽAVANJE, POPRAVAK I REZERVNI DIJELOVI GPS SUSTAVA ZA PRAĆENJE VOZILA, SUSTAVA ZA PREGLED STANJA NA CESTAMA I SUSTAVA DOJAVE MOBILNIM UREĐAJIMA</t>
  </si>
  <si>
    <t>POPRAVAK I ODRŽAVANJE CRPKI</t>
  </si>
  <si>
    <t>REKONSTRUKCIJA NT I ST PLINOVODA, HITNI ZAHVATI NA SUSTAVU TE OSTALE INVESTICIJE</t>
  </si>
  <si>
    <t>ODRŽAVANJE KLIMA UREĐAJA I DRUGE RASHLADNE OPREME</t>
  </si>
  <si>
    <t>50730000-1</t>
  </si>
  <si>
    <t>11.10.2018.</t>
  </si>
  <si>
    <t>11.10.2020.</t>
  </si>
  <si>
    <t>09.10.2018.</t>
  </si>
  <si>
    <t>09.10.2020.</t>
  </si>
  <si>
    <t>ODRŽAVANJE I PROŠIRENA PODRŠKA ZA INFORMACIJSKI SUSTAV PROIZVOĐAČA KOR</t>
  </si>
  <si>
    <t>10.10.2018.</t>
  </si>
  <si>
    <t>10.10.2020.</t>
  </si>
  <si>
    <t>23.10.2018.</t>
  </si>
  <si>
    <t>23.10.2020.</t>
  </si>
  <si>
    <t>09.01.2019.</t>
  </si>
  <si>
    <t>ZIMSKA SLUŽBA</t>
  </si>
  <si>
    <t>90212000-6</t>
  </si>
  <si>
    <t>23.10.2022.</t>
  </si>
  <si>
    <t>07.12.2018.</t>
  </si>
  <si>
    <t>Dodatak ugovora/ugovor-narudžbenice ZIMSKA SLUŽBA</t>
  </si>
  <si>
    <t>UKAPLJENI NAFTNI PLIN (PROPAN - BUTAN) ZA SAMOSTOJEĆE SPREMNIKE</t>
  </si>
  <si>
    <t>23210000-2</t>
  </si>
  <si>
    <t>12.10.2018.</t>
  </si>
  <si>
    <t>12.10.2020.</t>
  </si>
  <si>
    <t>POPRAVAK I REDOVNO ODRŽAVANJE DIZALA</t>
  </si>
  <si>
    <t>15.10.2018.</t>
  </si>
  <si>
    <t>15.10.2022.</t>
  </si>
  <si>
    <t>ODRŽAVANJE I NADOGRADNJA APLIKACIJA IZ SUSTAVA POSLOVNIH INFORMACIJA I KOMUNALNIH INFORMACIJSKIH SUSTAVA SPI/KOMIS</t>
  </si>
  <si>
    <t>26.10.2022.</t>
  </si>
  <si>
    <t>29.10.2020.</t>
  </si>
  <si>
    <t>17.01.2019.</t>
  </si>
  <si>
    <t>OPSKRBA ELEKTRIČNOM ENERGIJOM</t>
  </si>
  <si>
    <t>40100000-3</t>
  </si>
  <si>
    <t>UGOSTITELJSKA GALANTERIJA</t>
  </si>
  <si>
    <t>29841000-6</t>
  </si>
  <si>
    <t>22.10.2018.</t>
  </si>
  <si>
    <t>22.10.2020.</t>
  </si>
  <si>
    <t>ODRŽAVANJE I NADOGRADNJA SUSTAVA POSLOVNIH APLIKACIJA INLINE</t>
  </si>
  <si>
    <t>05.11.2020.</t>
  </si>
  <si>
    <t>NAFTNI DERIVATI</t>
  </si>
  <si>
    <t>23111000-8</t>
  </si>
  <si>
    <t>AGM D.O.O., GRADSKA PLINARA ZAGREB D.O.O., GRADSKA PLINARA ZAGREB OPSKRBA D.O.O., GRADSKO STAMBENO KOMUNALNO GOSPODARSTVO D.O.O., VODOOPSKRBA I ODVODNJA D.O.O., ZAGREBAČKA STANOGRADNJA D.O.O., ZAGREBAČKI HOLDING D.O.O.</t>
  </si>
  <si>
    <t>25.01.2019.</t>
  </si>
  <si>
    <t>BETON - ZEMLJOVLAŽNI</t>
  </si>
  <si>
    <t>12.11.2020.</t>
  </si>
  <si>
    <t>21.01.2019.</t>
  </si>
  <si>
    <t>14.11.2020.</t>
  </si>
  <si>
    <t>STUPOVI PJEŠAČKI, VOZAČKI, KONZOLNI ZA OVJES SEMAFORA</t>
  </si>
  <si>
    <t>28845000-7</t>
  </si>
  <si>
    <t>31.10.2020.</t>
  </si>
  <si>
    <t>ALUMINIJSKE PLOČE ZA PROMETNE ZNAKOVE</t>
  </si>
  <si>
    <t>27521000-3</t>
  </si>
  <si>
    <t>02.11.2018.</t>
  </si>
  <si>
    <t>02.11.2020.</t>
  </si>
  <si>
    <t>UREDSKI NAMJEŠTAJ</t>
  </si>
  <si>
    <t>36121000-5</t>
  </si>
  <si>
    <t>ODRŽAVANJE I NADOGRADNJA APLIKATIVNIH PODSUSTAVA BRAVO I DOVID</t>
  </si>
  <si>
    <t>23.11.2018.</t>
  </si>
  <si>
    <t>23.11.2020.</t>
  </si>
  <si>
    <t>29.11.2020.</t>
  </si>
  <si>
    <t>REZERVNI DIJELOVI ASFALTNE BAZE</t>
  </si>
  <si>
    <t>90 dana</t>
  </si>
  <si>
    <t>AGM D.O.O., GRADSKA PLINARA ZAGREB OPSKRBA D.O.O., ZAGREBAČKI HOLDING D.O.O.</t>
  </si>
  <si>
    <t>25.07.2019.</t>
  </si>
  <si>
    <t>PROMETNI ZNAKOVI</t>
  </si>
  <si>
    <t>28527000-2</t>
  </si>
  <si>
    <t>POSTAVA RUBNJAKA I POPLOČENJE OD BETONSKIH OPLOČNIKA</t>
  </si>
  <si>
    <t>23.11.2022.</t>
  </si>
  <si>
    <t>18.02.2020.</t>
  </si>
  <si>
    <t>12.02.2020.</t>
  </si>
  <si>
    <t>26.11.2018.</t>
  </si>
  <si>
    <t>26.11.2019.</t>
  </si>
  <si>
    <t>BOJE I RAZRJEĐIVAČI ZA IZRADU TANKOSLOJNE HORIZONTALNE SIGNALIZACIJE</t>
  </si>
  <si>
    <t>28.11.2020.</t>
  </si>
  <si>
    <t>LONČANICE</t>
  </si>
  <si>
    <t>INFORMATIČKO TEHNIČKI SUSTAV GOSPODARENJA KOMUNALNIM OTPADOM</t>
  </si>
  <si>
    <t>29861000-2</t>
  </si>
  <si>
    <t>15.04.2021.</t>
  </si>
  <si>
    <t>06.03.2021.</t>
  </si>
  <si>
    <t>20.05.2020.</t>
  </si>
  <si>
    <t>26.02.2021.</t>
  </si>
  <si>
    <t>09.04.2021.</t>
  </si>
  <si>
    <t>12.02.2021.</t>
  </si>
  <si>
    <t>SVJEŽE MESO I MESNI PROIZVODI OD PERADI</t>
  </si>
  <si>
    <t>13.12.2020.</t>
  </si>
  <si>
    <t>SUNCOBRANI I REZERVNI DIJELOVI SUNCOBRANA</t>
  </si>
  <si>
    <t>36651000-9</t>
  </si>
  <si>
    <t>03.12.2020.</t>
  </si>
  <si>
    <t>ODRŽAVANJE APLIKATIVNOG SUSTAVA SEKOM</t>
  </si>
  <si>
    <t>11.12.2020.</t>
  </si>
  <si>
    <t>REZERVNI DIJELOVI I POPRAVAK NADOGRADNJI SPECIJALNIH KOMUNALNIH VOZILA MARKE FAUN I FARID</t>
  </si>
  <si>
    <t>08.11.2020.</t>
  </si>
  <si>
    <t>REDOVNO I IZVANREDNO ODRŽAVANJE SUSTAVA ZA DETEKCIJU LEDA NA PROMETNICAMA</t>
  </si>
  <si>
    <t>16.10.2018.</t>
  </si>
  <si>
    <t>16.10.2020.</t>
  </si>
  <si>
    <t>POSTAVLJANJE OGRADA NA JAVNIM POVRŠINAMA NA PODRUČJU GRADA ZAGREBA</t>
  </si>
  <si>
    <t>45342000-6</t>
  </si>
  <si>
    <t>DISTRIBUCIJA VREĆICA ZA PRIKUPLJANJE OTPADA</t>
  </si>
  <si>
    <t>64121000-0</t>
  </si>
  <si>
    <t>13.11.2020.</t>
  </si>
  <si>
    <t>62 dana</t>
  </si>
  <si>
    <t>59 dana</t>
  </si>
  <si>
    <t>PREVENTIVNA I OBVEZATNA PREVENTIVNA DEZINFEKCIJA, DEZINSEKCIJA I DERATIZACIJA</t>
  </si>
  <si>
    <t>74721000-9</t>
  </si>
  <si>
    <t>19.12.2020.</t>
  </si>
  <si>
    <t>SANACIJA JAVNIH STUBA, PJEŠAČKIH PROLAZA I PLATOA</t>
  </si>
  <si>
    <t>02.11.2022.</t>
  </si>
  <si>
    <t>REVIZIJA TRAFOSTANICA</t>
  </si>
  <si>
    <t>17.12.2020.</t>
  </si>
  <si>
    <t>VREĆICE ZA PRIKUPLJANJE OTPADA</t>
  </si>
  <si>
    <t>25221000-6</t>
  </si>
  <si>
    <t>27.12.2020.</t>
  </si>
  <si>
    <t>OBVEZNA PERIODIČNA ISPITIVANJA SUKLADNO ZAKONU O ZAŠTITI NA RADU, ZAKONU O ZAŠTITI OD POŽARA I ZAKONU O MJERITELJSTVU</t>
  </si>
  <si>
    <t>13.12.2022.</t>
  </si>
  <si>
    <t>13.05.2023.</t>
  </si>
  <si>
    <t>PREUZIMANJE I DALJNJA OBRADA NEOPASNOG OTPADA POSTUPCIMA OPORABE R1-R12</t>
  </si>
  <si>
    <t>21.01.2021.</t>
  </si>
  <si>
    <t>02.01.2021.</t>
  </si>
  <si>
    <t>STROJNI UTOVAR, PRIJEVOZ I DEPONIRANJE VIŠKA ZEMLJE</t>
  </si>
  <si>
    <t>ČIŠĆENJE KANALA I SLIVNIKA GRADA ZAGREBA</t>
  </si>
  <si>
    <t>IZVOĐENJE RADOVA NA KUĆNIM PRIKLJUČCIMA</t>
  </si>
  <si>
    <t>18.01.2019.</t>
  </si>
  <si>
    <t>18.01.2021.</t>
  </si>
  <si>
    <t>IZGRADNJA BETONSKIH GROBNICA I GROBNIH OKVIRA</t>
  </si>
  <si>
    <t>45215000-7</t>
  </si>
  <si>
    <t>14.01.2023.</t>
  </si>
  <si>
    <t>CIJEVI OD NODULARNOG LIJEVA</t>
  </si>
  <si>
    <t>14.01.2021.</t>
  </si>
  <si>
    <t>POPRAVAK I ODRŽAVANJE ELEKTROMOTORA</t>
  </si>
  <si>
    <t>REAKTIVACIJA AKTIVNOG UGLJENA</t>
  </si>
  <si>
    <t>90122000-8</t>
  </si>
  <si>
    <t>22.01.2021.</t>
  </si>
  <si>
    <t>MINERALNA GNOJIVA</t>
  </si>
  <si>
    <t>24158000-6</t>
  </si>
  <si>
    <t>25.01.2021.</t>
  </si>
  <si>
    <t>AGM D.O.O., ZAGREBAČKI HOLDING D.O.O.</t>
  </si>
  <si>
    <t>REZERVNI DIJELOVI ZA SEMAFORSKE UREĐAJE</t>
  </si>
  <si>
    <t>NAJAM STROJA ZA DROBLJENJE I USITNJAVANJE DRVNOG BIO OTPADA</t>
  </si>
  <si>
    <t>77111000-1</t>
  </si>
  <si>
    <t>04.02.2021.</t>
  </si>
  <si>
    <t>REZERVNI DIJELOVI, POPRAVAK I SERVIS STROJEVA I PRIKLJUČNE OPREME ZA GRAĐEVINARSTVO</t>
  </si>
  <si>
    <t>22.01.2020.</t>
  </si>
  <si>
    <t>NAJAM KUPOLA</t>
  </si>
  <si>
    <t>28111000-3</t>
  </si>
  <si>
    <t>08.02.2021.</t>
  </si>
  <si>
    <t>08.02.2023.</t>
  </si>
  <si>
    <t>URBANA OPREMA</t>
  </si>
  <si>
    <t>28824000-4</t>
  </si>
  <si>
    <t>REZERVNI DIJELOVI I POPRAVAK PRIKLJUČNE OPREME SPECIJALNIH RADNIH STROJEVA PROIZVOĐAČA SCHMIDT</t>
  </si>
  <si>
    <t>04.02.2020.</t>
  </si>
  <si>
    <t>ICT KOMPONENTE</t>
  </si>
  <si>
    <t>30217000-3</t>
  </si>
  <si>
    <t>07.02.2021.</t>
  </si>
  <si>
    <t>VREĆICE ZA MIJEŠANI KOMUNALNI OTPAD</t>
  </si>
  <si>
    <t>18.02.2021.</t>
  </si>
  <si>
    <t>MALČIRANJE SAMONIKLOG GRMLJA I DRVEĆA, RUŠENJE DRVEĆA I FREZANJE PANJEVA I KORIJENJA</t>
  </si>
  <si>
    <t>=CONCATENATE("BRAMONT D.O.O.,";" SVETI DUH 165,";" 10000 ZAGREB,";" OIB: 81903825029";CHAR(10);"USLUGE U U ŠUMARSTVU "ŠUMOIZRADA",";" MIKLINOVEC 91,";" 48000 KOPRIVNICA,";" OIB: 62151787050";CHAR(10);"AGRO LAND,";" GRUBIŠEVO 5,";" 48214 SVETI IVAN ŽABNO,";" OIB: 14044135107")</t>
  </si>
  <si>
    <t>20.02.2023.</t>
  </si>
  <si>
    <t>PREPROGRAMIRANJE ELEKTRONIČKIH SIGNALNIH UREĐAJA EC-1 i EC-2, MSKE 60 i SRTC-6, SIEMENS, FAN-2000 I TRAF SIGNAL T-1</t>
  </si>
  <si>
    <t>72243000-0</t>
  </si>
  <si>
    <t>01.03.2021.</t>
  </si>
  <si>
    <t>21.02.2021.</t>
  </si>
  <si>
    <t>UZORKOVANJE I KEMIJSKE ANALIZE PODZEMNIH VODA NA ODLAGALIŠTU OTPADA PRUDINEC/JAKUŠEVEC</t>
  </si>
  <si>
    <t>13.02.2021.</t>
  </si>
  <si>
    <t>SPRAVE ZA IGRALIŠTA, REZERVNI DIJELOVI I POPRAVAK SPRAVA PROIZVOĐAČA USLUGA, DILJEXPORT I KOVA</t>
  </si>
  <si>
    <t>02.04.2020.</t>
  </si>
  <si>
    <t>USLUGE ZAMJENE PLINOMJERA G-4 I G-6 S ISPITIVANJEM PLINSKIH INSTALACIJA</t>
  </si>
  <si>
    <t>50411000-9</t>
  </si>
  <si>
    <t>08.04.2020.</t>
  </si>
  <si>
    <t>SERVIS I POPRAVAK VATROGASNIH APARATA</t>
  </si>
  <si>
    <t>08.04.2021.</t>
  </si>
  <si>
    <t>GRADSKA PLINARA ZAGREB D.O.O., ZAGREBAČKI HOLDING D.O.O.</t>
  </si>
  <si>
    <t>IZGRADNJA I SANACIJA KANALSKIH PRIKLJUČAKA</t>
  </si>
  <si>
    <t>ODRŽAVANJE I NADOGRADNJA CRM SUSTAVA ZA UPRAVLJANJE KOMUNIKACIJOM S KUPCIMA PLINA</t>
  </si>
  <si>
    <t>28.03.2021.</t>
  </si>
  <si>
    <t>USLUGA OSIGURANJA</t>
  </si>
  <si>
    <t>66300000-3</t>
  </si>
  <si>
    <t>01.04.2022.</t>
  </si>
  <si>
    <t>AGM D.O.O., GRADSKA LJEKARNA ZAGREB, GRADSKA PLINARA ZAGREB D.O.O., GRADSKA PLINARA ZAGREB OPSKRBA D.O.O., GRADSKO STAMBENO KOMUNALNO GOSPODARSTVO D.O.O., VODOOPSKRBA I ODVODNJA D.O.O., ZAGREBAČKA STANOGRADNJA D.O.O., ZAGREBAČKI HOLDING D.O.O.</t>
  </si>
  <si>
    <t>REZERVNI DIJELOVI, POTROŠNI MATERIJAL I POPRAVAK STROJEVA ZA PROIZVODNJU PROMETNIH ZNAKOVA</t>
  </si>
  <si>
    <t>29862000-9</t>
  </si>
  <si>
    <t>15.03.2021.</t>
  </si>
  <si>
    <t>09.04.2020.</t>
  </si>
  <si>
    <t>PROIZVODI ZA DEKORACIJU</t>
  </si>
  <si>
    <t>11.04.2021.</t>
  </si>
  <si>
    <t>POPRAVAK, ODRŽAVANJE I REZERVNI DIJELOVI INFORMACIJSKOG SUSTAVA "EOL" ZA PRAĆENJE POTROŠNJE GORIVA</t>
  </si>
  <si>
    <t>12.04.2021.</t>
  </si>
  <si>
    <t>16.04.2021.</t>
  </si>
  <si>
    <t>REZERVNI DIJELOVI, POPRAVAK I REDOVNO ODRŽAVANJE SUSTAVA ZA AUTOMATSKU NAPLATU I CENTRALNO UPRAVLJANJE U JAVNIM GARAŽAMA</t>
  </si>
  <si>
    <t>ODRŽAVANJE I NADOGRADNJA BI/DWH SUSTAVA ZA POSLOVNO IZJEŠTAVANJE I SKLADIŠTE PODATAKA</t>
  </si>
  <si>
    <t>30.04.2021.</t>
  </si>
  <si>
    <t>ODRŽAVANJE I NADOGRADNJA POSTOJEĆIH APLIKATIVNIH MODULA INabava2 i INfisk2</t>
  </si>
  <si>
    <t>REZERVNI DIJELOVI, POPRAVAK I SERVIS OPREME ZA ODRŽAVANJE ZELENIH POVRŠINA</t>
  </si>
  <si>
    <t>23.04.2021.</t>
  </si>
  <si>
    <t>26.04.2021.</t>
  </si>
  <si>
    <t>27.05.2021.</t>
  </si>
  <si>
    <t>ODRŽAVANJE SERVERSKE INFRASTRUKTURE PROIZVOĐAČA HP I OPREME APC SA SISTEMSKOM PODRŠKOM</t>
  </si>
  <si>
    <t>OPREMA ZA UPRAVLJANJE I SIGURNOST PRIVREMENE REGULACIJE U CESTOVNOM PROMETU</t>
  </si>
  <si>
    <t>10.05.2021.</t>
  </si>
  <si>
    <t>IZGRADNJA I SANACIJA VODOOPSKRBNE MREŽE NA PODRUČJU GRADA ZAGREBA I SAMOBORA</t>
  </si>
  <si>
    <t>RADOVI NA ODRŽAVANJU OBJEKATA STAMBENE I JAVNE NAMJENE</t>
  </si>
  <si>
    <t>45400000-1</t>
  </si>
  <si>
    <t>06.05.2021.</t>
  </si>
  <si>
    <t>REZERVNI DIJELOVI, POPRAVAK I SERVIS TRAKTORA I PRIKLJUČNE OPREME</t>
  </si>
  <si>
    <t>15.05.2021.</t>
  </si>
  <si>
    <t>01.04.2021.</t>
  </si>
  <si>
    <t>INTERVENTNI RADOVI NA SANACIJI VODOOPSKRBNOG SUSTAVA GRADA ZAGREBA</t>
  </si>
  <si>
    <t>03.06.2021.</t>
  </si>
  <si>
    <t>OSOBNA ZAŠTITNA SREDSTVA - ZAŠTITA TIJELA</t>
  </si>
  <si>
    <t>29.05.2023.</t>
  </si>
  <si>
    <t>GRADSKA PLINARA ZAGREB D.O.O., GRADSKA PLINARA ZAGREB OPSKRBA D.O.O., VODOOPSKRBA I ODVODNJA D.O.O., ZAGREBAČKI HOLDING D.O.O.</t>
  </si>
  <si>
    <t>PREUZIMANJE I DALJNJA OBRADA OTPADA KB 15 01 02 (PLASTIČNA AMBALAŽA), KB 20 01 10 (ODJEĆA) I KB 20 01 11 (TEKSTILI) POSTUPCIMA OPORABE R1-R12</t>
  </si>
  <si>
    <t>24.06.2021.</t>
  </si>
  <si>
    <t>26.06.2021.</t>
  </si>
  <si>
    <t>05.06.2021.</t>
  </si>
  <si>
    <t>04.06.2021.</t>
  </si>
  <si>
    <t>IZGRADNJA I ODRŽAVANJE ELEKTRONIČKE KOMUNIKACIJSKE MREŽE I INFRASTRUKTURE NA PODRUČJU GRADA ZAGREBA</t>
  </si>
  <si>
    <t>07.06.2023.</t>
  </si>
  <si>
    <t>GUME ZA VOZILA I STROJEVE</t>
  </si>
  <si>
    <t>19.06.2021.</t>
  </si>
  <si>
    <t>USLUGA USPOSTAVE SUSTAVA ZA ELEKTRONIČKO POSLOVANJE U GPZ</t>
  </si>
  <si>
    <t>50900000-4</t>
  </si>
  <si>
    <t>VOĐENJE PROJEKTA NAD REKONSTRUKCIJOM VODOOOPSKRBNOG CJEVOVODA U NASELJU DUBEC</t>
  </si>
  <si>
    <t>74264000-7</t>
  </si>
  <si>
    <t>Jednostavna nabava</t>
  </si>
  <si>
    <t>NADZOR NA IZVOĐENJU RADOVA IZGRADNJE, ODRŽAVANJA I UPRAVLJANJA OBJEKTIMA ODLAGALIŠTA OTPADA JAKUŠEVEC ZA RAZDOBLJE DO 31.12.2015.</t>
  </si>
  <si>
    <t>74262000-3</t>
  </si>
  <si>
    <t>04.10.2012.</t>
  </si>
  <si>
    <t>Sklapanje dodatka ugovoru temeljem članka 105. stavak 6. točka 2. Zakona o javnoj nabavi (NN br. 90/11, 83/13, 143/13, 13/14 – Odluka USRH)</t>
  </si>
  <si>
    <t>31.12.2015.</t>
  </si>
  <si>
    <t>NISKOPODNA TRAMVAJSKA VOZILA TMK 2200 PUTEM FINANCIJSKOG LEASINGA</t>
  </si>
  <si>
    <t>35220000-2</t>
  </si>
  <si>
    <t>31.07.2013.</t>
  </si>
  <si>
    <t>31.07.2023.</t>
  </si>
  <si>
    <t>25.07.2013.</t>
  </si>
  <si>
    <t>ODRŽAVANJE 60 KLASIČNIH NISKOPODNIH AUTOBUSA NA POGON STLAČENIM ZEMNIM PLINOM TEMELJEM UGOVORA O OPERATIVNOM LEASINGU N-305-B/08</t>
  </si>
  <si>
    <t>PRODAJA BUDUĆIH NOVČANIH TOKOVA (POTRAŽIVANJA) NA TEMELJU UGOVORA O KUPOPRODAJI NEKRETNINE - "ZAGREPČANKA"</t>
  </si>
  <si>
    <t>66000000-0</t>
  </si>
  <si>
    <t>09.10.2013.</t>
  </si>
  <si>
    <t>15.12.2023.</t>
  </si>
  <si>
    <t>PRODAJA BUDUĆIH NOVČANIH TOKOVA (POTRAŽIVANJA) NA TEMELJU UGOVORA O KUPOPRODAJI NEKRETNINE - "GREDELJ"</t>
  </si>
  <si>
    <t>06.11.2013.</t>
  </si>
  <si>
    <t>PRODAJA BUDUĆIH NOVČANIH TOKOVA (POTRAŽIVANJA) NA TEMELJU UGOVORA O NAJMU STANOVA U NASELJU NOVI JELKOVEC U SESVETAMA</t>
  </si>
  <si>
    <t>26.05.2014.</t>
  </si>
  <si>
    <t>20.12.2023.</t>
  </si>
  <si>
    <t>PRODAJA BUDUĆIH NOVČANIH TOKOVA (POTRAŽIVANJA) NA TEMELJU UGOVORA O ZAKUPU POSLOVNIH PROSTORA U NASELJU NOVI JELKOVEC U SESVETAMA</t>
  </si>
  <si>
    <t>02.06.2014.</t>
  </si>
  <si>
    <t>NISKOPODNI MINI AUTOBUSI S PRIRODNIM PLINOM KAO POGONSKIM GORIVOM PUTEM FINANCIJSKOG LEASINGA</t>
  </si>
  <si>
    <t>34121000-1</t>
  </si>
  <si>
    <t>21.07.2014.</t>
  </si>
  <si>
    <t>21.07.2019.</t>
  </si>
  <si>
    <t>SPECIJALNO VOZILO ZA PRIJEVOZ PRESS KONTEJNERA I ROLLO KONTEJNERA ZAPREMINE DO 32 M3, ROLLO KIPER U TANDEMU SA PRIKOLICOM PUTEM FINANCIJSKOG LEASINGA</t>
  </si>
  <si>
    <t>34144000-8</t>
  </si>
  <si>
    <t>SPECIJALNA VOZILA ZA SAKUPLJANJE OTPADA VOLUMENA SPREMNIKA 16 M3, MAX. UKUPNE MASE 18 T PUTEM FINANCIJSKOG LEASINGA</t>
  </si>
  <si>
    <t>28.08.2014.</t>
  </si>
  <si>
    <t>SPECIJALNO VOZILO ZA PRANJE I DEZINFEKCIJU KANTI I KONTEJNERA OD 80-1100 LITARA, TOPLOM VODOM I VISOKIM PRITISKOM PUTEM FINANCIJSKOG LEASINGA</t>
  </si>
  <si>
    <t>09.09.2014.</t>
  </si>
  <si>
    <t>09.09.2019.</t>
  </si>
  <si>
    <t>DUGOROČNI KREDIT ZA REPROGRAM KRATKOROČNIH KREDITNIH OBVEZA</t>
  </si>
  <si>
    <t>66130000-0</t>
  </si>
  <si>
    <t>15.09.2014.</t>
  </si>
  <si>
    <t>SPECIJALNA VOZILA ZA SAKUPLJANJE OTPADA VOLUMENA SPREMNIKA 22 M3, MAX. UKUPNE MASE 26 T PUTEM FINANCIJSKOG LEASINGA</t>
  </si>
  <si>
    <t>19.09.2014.</t>
  </si>
  <si>
    <t>19.09.2019.</t>
  </si>
  <si>
    <t>SPECIJALNA VOZILA ZA SAKUPLJANJE OTPADA VOLUMENA SPREMNIKA 16 M3, S MOGUĆNOŠĆU PRANJA POSUDA ZA OTPAD PUTEM FINANCIJSKOG LEASINGA</t>
  </si>
  <si>
    <t>16.09.2014.</t>
  </si>
  <si>
    <t>16.09.2019.</t>
  </si>
  <si>
    <t>SPECIJALNO VOZILO - AUTOPODIZAČ ZA PRIJEVOZ I PRAŽNJENJE KONTEJNERA I PRESS KONTEJNERA OD 5-10 M3 PUTEM FINANCIJSKOG LEASINGA</t>
  </si>
  <si>
    <t>SPECIJALNA VOZILA ZA SAKUPLJANJE OTPADA VOLUMENA SPREMNIKA 10 M3, MAX. UKUPNE MASE 12 T PUTEM FINANCIJSKOG LEASINGA</t>
  </si>
  <si>
    <t>19.09.2020.</t>
  </si>
  <si>
    <t>OBRADA OTPADA KB 20 03 07, GLOMAZNI OTPAD POSTUPCIMA OPORABE R1-R12</t>
  </si>
  <si>
    <t>08.05.2015.</t>
  </si>
  <si>
    <t>08.05.2016.</t>
  </si>
  <si>
    <t>anex produljenje roka</t>
  </si>
  <si>
    <t>18.04.2016.</t>
  </si>
  <si>
    <t>27.04.2017.</t>
  </si>
  <si>
    <t>20.04.2017.</t>
  </si>
  <si>
    <t>27.04.2019.</t>
  </si>
  <si>
    <t>OBRADA OTPADA KB 20 02 03, OSTALI OTPAD KOJI NIJE BIORAZGRADIV POSTUPCIMA OPORABE R1-R12</t>
  </si>
  <si>
    <t>13.07.2015.</t>
  </si>
  <si>
    <t>03.05.2016.</t>
  </si>
  <si>
    <t>PROJEKTANTSKI NADZOR NAD GRAĐENJEM, ODRŽAVANJEM I UPRAVLJANJEM PODSUSTAVIMA ODLAGALIŠTA OTPADA JAKUŠEVEC ZA RAZDOBLJE OD 01.01.2016. DO 31.12.2018.</t>
  </si>
  <si>
    <t>02.03.2016.</t>
  </si>
  <si>
    <t>PROJEKTANTSKI NADZOR NAD GRAĐENJEM, ODRŽAVANJEM I UPRAVLJANJEM PODSUSTAVIMA ODLAGALIŠTA OTPADA JAKUŠEVEC - DODATNE USLUGE</t>
  </si>
  <si>
    <t>PROJEKTANTSKA USLUGA IZRADE TEHNIČKE DOKUMENTACIJE ZA NADMETANJE ZA RADOVE GRAĐENJA, ODRŽAVANJA I UPRAVLJANJA POSTROJENJIMA ODLAGALIŠTA OTPADA JAKUŠEVEC ZA RAZDOBLJE OD 01.06.2016. DO 31.12.2018.</t>
  </si>
  <si>
    <t>74232000-4</t>
  </si>
  <si>
    <t>04.03.2016.</t>
  </si>
  <si>
    <t>01.06.2019.</t>
  </si>
  <si>
    <t>STRUČNI NADZOR NAD IZGRADNJOM SABIRNOG KANALA I MREŽE KUPINEČKI KRALJEVEC I. ETAPA - BREZOVICA</t>
  </si>
  <si>
    <t>11.04.2016.</t>
  </si>
  <si>
    <t>11.04.2017.</t>
  </si>
  <si>
    <t>30.06.2021.</t>
  </si>
  <si>
    <t>VOZILA I STROJEVI PUTEM OPERATIVNOG LEASINGA</t>
  </si>
  <si>
    <t>06.07.2016.</t>
  </si>
  <si>
    <t>06.07.2022.</t>
  </si>
  <si>
    <t>04.09.2023.</t>
  </si>
  <si>
    <t>01.09.2016.</t>
  </si>
  <si>
    <t>01.09.2022.</t>
  </si>
  <si>
    <t>IZGRADNJA SABIRNOG KANALA I MREŽE KUPINEČKI KRALJEVEC I. ETAPA - BREZOVICA</t>
  </si>
  <si>
    <t>15.07.2016.</t>
  </si>
  <si>
    <t>15.07.2017.</t>
  </si>
  <si>
    <t>19.05.2017.</t>
  </si>
  <si>
    <t>31.12.2017.</t>
  </si>
  <si>
    <t>STRUČNI NADZOR NAD IZGRADNJOM TRANSPORTNOG KOLEKTORA SESVETE-CUPOV S PRECRPNICOM PC SESVETE I RASTERETNOG OBJEKTA S RETENCIJSKIM KANALOM NA KOLEKTORU SESVETE</t>
  </si>
  <si>
    <t>13.01.2017.</t>
  </si>
  <si>
    <t>20.06.2020.</t>
  </si>
  <si>
    <t>15.09.2020.</t>
  </si>
  <si>
    <t>STRUČNI NADZOR NAD IZGRADNJOM STAMBENO POSLOVNIH GRAĐEVINA OZNAKE "A4" I "A6" NASELJA PODBREŽJE</t>
  </si>
  <si>
    <t>06.09.2016.</t>
  </si>
  <si>
    <t>07.12.2019.</t>
  </si>
  <si>
    <t>Izmjena ugovora temeljem članka 320 stavak 1. ZJN2016</t>
  </si>
  <si>
    <t>STRUČNI NADZOR NAD IZGRADNJOM STAMBENO POSLOVNIH GRAĐEVINA OZNAKE "A3" I "A5" NASELJA PODBREŽJE</t>
  </si>
  <si>
    <t>13.09.2016.</t>
  </si>
  <si>
    <t>UPRAVLJANJE PROJEKTOM IZGRADNJE STAMBENO POSLOVNIH GRAĐEVINA OZNAKE A3, A4, A5 I A6 NASELJA PODBREŽJE</t>
  </si>
  <si>
    <t>28.10.2016.</t>
  </si>
  <si>
    <t>28.06.2020.</t>
  </si>
  <si>
    <t>NAJAM DOSTAVNIH VOZILA PUTEM OPERATIVNOG LEASINGA</t>
  </si>
  <si>
    <t>34100000-8</t>
  </si>
  <si>
    <t>02.01.2017.</t>
  </si>
  <si>
    <t>LICENCE PROGRAMSKE OPREME MICROSOFT U MODELU ENTERPRISE PRETPLATE</t>
  </si>
  <si>
    <t>30248000-9</t>
  </si>
  <si>
    <t>04.01.2017.</t>
  </si>
  <si>
    <t>VOĐENJE PROJEKTA NAD IZGRADNJOM TRANSPORTNOG KOLEKTORA SESVETE-CUPOV S PRECRPNICOM PC SESVETE I RASTERETNOG OBJEKTA S RETENCIJSKIM KANALOM NA KOLEKTORU SESVETE</t>
  </si>
  <si>
    <t>06.02.2017.</t>
  </si>
  <si>
    <t>11.05.2020.</t>
  </si>
  <si>
    <t>12.05.2020.</t>
  </si>
  <si>
    <t>IZGRADNJA FEKALNE KANALIZACIJE U NASELJIMA RAKITJE, NOVAKI I BESTOVJE - IV ETAPA FEKALNA KANALIZACIJA U NASELJU NOVAKI</t>
  </si>
  <si>
    <t>20.02.2017.</t>
  </si>
  <si>
    <t>19.04.2018.</t>
  </si>
  <si>
    <t>IZGRADNJA SUSTAVA ODVODNJE PODRUČJA PANTOVČAK - DONJE PREKRIŽJE - KRALJEVEC</t>
  </si>
  <si>
    <t>13.02.2017.</t>
  </si>
  <si>
    <t>AUTOBUSI PUTEM FINANCIJSKOG LEASINGA</t>
  </si>
  <si>
    <t>23.02.2017.</t>
  </si>
  <si>
    <t>23.02.2022.</t>
  </si>
  <si>
    <t>24.03.2017.</t>
  </si>
  <si>
    <t>24.03.2022.</t>
  </si>
  <si>
    <t>STRUČNI NADZOR NAD GRAĐENJEM, ODRŽAVANJEM I UPRAVLJANJEM PODSUSTAVIMA ODLAGALIŠTA OTPADA JAKUŠEVEC</t>
  </si>
  <si>
    <t>17.02.2020.</t>
  </si>
  <si>
    <t>IZRADA IDEJNOG, GLAVNOG I IZVEDBENOG PROJEKTA ODVODNJE DIJELA NASELJA VUGROVEC DONJI, VUGROVEC GORNJI I GORANEC U SESVETAMA - SLIV SABIRNOG KANALA „VUGROVEC - GORANEC"</t>
  </si>
  <si>
    <t>27.03.2018.</t>
  </si>
  <si>
    <t>REKONSTRUKCIJA KOMPLEKSA KB SVETI DUH DOGRADNJOM DNEVNE BOLNICE S PODZEMNOM GARAŽOM</t>
  </si>
  <si>
    <t>45200000-9</t>
  </si>
  <si>
    <t>29.06.2017.</t>
  </si>
  <si>
    <t>24.12.2019.</t>
  </si>
  <si>
    <t>STRUČNI NADZOR NAD REKONSTRUKCIJOM KOMPLEKSA KB SVETI DUH DOGRADNJOM DNEVNE BOLNICE S PODZEMNOM GARAŽOM</t>
  </si>
  <si>
    <t>24.04.2017.</t>
  </si>
  <si>
    <t>VOZILA ZA SAKUPLJANJE OTPADA PUTEM FINANCIJSKOG LEASINGA</t>
  </si>
  <si>
    <t>26.04.2017.</t>
  </si>
  <si>
    <t>IZGRADNJA VODOOPSKRBNOG CJEVOVODA U NASELJIMA GORNJI I DONJI TRPUCI</t>
  </si>
  <si>
    <t>16.05.2017.</t>
  </si>
  <si>
    <t>16.05.2018.</t>
  </si>
  <si>
    <t>29.03.2018.</t>
  </si>
  <si>
    <t>VOZILO S PODIZNOM PLATFORMOM ZA POPRAVAK GORNJEG VODA TRAMVAJSKE MREŽE PUTEM FINANCIJSKOG LEASINGA</t>
  </si>
  <si>
    <t>09.06.2017.</t>
  </si>
  <si>
    <t>09.06.2022.</t>
  </si>
  <si>
    <t>VOZILO ZA ČIŠĆENJE TRAMVAJSKIH PRUGA PUTEM FINANCIJSKOG LEASINGA</t>
  </si>
  <si>
    <t>35221000-9</t>
  </si>
  <si>
    <t>12.07.2017.</t>
  </si>
  <si>
    <t>12.07.2022.</t>
  </si>
  <si>
    <t>VOZILA ZA ČIŠĆENJE CESTA PUTEM FINANCIJSKOG LEASINGA</t>
  </si>
  <si>
    <t>03.08.2020.</t>
  </si>
  <si>
    <t>03.08.2021.</t>
  </si>
  <si>
    <t>UPRAVLJANJE PROJEKTOM REKONSTRUKCIJE KOMPLEKSA KB SVETI DUH DOGRADNJOM DNEVNE BOLNICE S PODZEMNOM GARAŽOM</t>
  </si>
  <si>
    <t>10.08.2017.</t>
  </si>
  <si>
    <t>29.10.2019.</t>
  </si>
  <si>
    <t>STRUČNI NADZOR NAD IZGRADNJOM MAGISTRALNIH I VODOOPSKRBNIH CJEVOVODA U ZONI 4. ETAPE IZGRADNJE RADNIČKE CESTE</t>
  </si>
  <si>
    <t>18.12.2020.</t>
  </si>
  <si>
    <t>DOSTAVNA I TERETNA VOZILA PUTEM FINANCIJSKOG LEASINGA</t>
  </si>
  <si>
    <t>25.08.2017.</t>
  </si>
  <si>
    <t>25.08.2020.</t>
  </si>
  <si>
    <t>02.11.2017.</t>
  </si>
  <si>
    <t>PROJEKTANTSKI NADZOR NAD REKONSTRUKCIJOM KOMPLEKSA KB SVETI DUH DOGRADNJOM DNEVNE BOLNICE S PODZEMNOM GARAŽOM</t>
  </si>
  <si>
    <t>REGULATORI TLAKA PLINA SREDNJETLAČNI, DN 25 - PRIRUBNIČKI</t>
  </si>
  <si>
    <t>02.03.2019.</t>
  </si>
  <si>
    <t>IZRADA IDEJNOG, GLAVNOG I IZVEDBENOG PROJEKTA PRELJEVNOG OBJEKTA DUBRAVA</t>
  </si>
  <si>
    <t>IZGRADNJA VODOOPSKRBNOG CJEVOVODA U ULICI JANDRIĆEVA I NAUMOVAC</t>
  </si>
  <si>
    <t>05.10.2018.</t>
  </si>
  <si>
    <t>IZGRADNJA JAVNOG KANALA U SUNJSKOJ ULICI, LEDINSKI PUT I ODVOJCI S CRPNOM STANICOM</t>
  </si>
  <si>
    <t>IZGRADNJA PRECRPNE STANICE I VODOOPSKRBNOG CJEVOVOD U ULICI MILKE TRNINE NA PODRUČJU SAMOBORA</t>
  </si>
  <si>
    <t>30.10.2017.</t>
  </si>
  <si>
    <t>IZRADA IDEJNOG, GLAVNOG I IZVEDBENOG PROJEKTA IZGRADNJE I REKONSTRUKCIJE VODOOPSKRBNIH CJEVOVODA OD VODOSPREME HERCEGOV GAJ PREMA CESARIMA DO PREKIDNE KOMORE SLANOVEC, ULICA SLANOVEC SVE DO ULICE ŠIPRUNEC, TE PREBACIVANJE TOG DIJELA SISTEMA VODOOPSKRBE NA VODOSPREMU HERCEGOV GAJ (DIO VODOOPSKRBNE MREŽE KOJA ĆE POTPASTI POD BUDUĆU VODOSPREMU MIKULASI)</t>
  </si>
  <si>
    <t>01.12.2018.</t>
  </si>
  <si>
    <t>26.09.2018.</t>
  </si>
  <si>
    <t>INDUSTRIJSKA, SEKCIJSKA, ROLO I GARAŽNA VRATA S UGRADNJOM</t>
  </si>
  <si>
    <t>28122000-3</t>
  </si>
  <si>
    <t>19.12.2017.</t>
  </si>
  <si>
    <t>19.12.8018.</t>
  </si>
  <si>
    <t>IZGRADNJA VODOOPSKRBNOG CJEVOVODA U ULICAMA FERKI I DETIŠĆAK</t>
  </si>
  <si>
    <t>FOLIJE ZA PLASTENIKE S POSTAVLJANJEM</t>
  </si>
  <si>
    <t>IZRADA IDEJNOG, GLAVNOG I IZVEDBENOG PROJEKTA IZGRADNJE NOVOG VODOSPREMNIKA GRANEŠINA (PIONIRSKI GRAD) S PRECRPNOM STANICOM I HIDROFORSKIM POSTROJENJEM TE PROJEKTOM UKLANJANJA POSTOJEĆEG VODOSPREMNIKA</t>
  </si>
  <si>
    <t>IZGRADNJA I PROJEKTIRANJE KOLOKACIJSKOG CENTRA "PODBREŽJE"</t>
  </si>
  <si>
    <t>45314000-1</t>
  </si>
  <si>
    <t>IZRADA PLANOVA POSEBNIH DIJELOVA ZA GRAĐEVINE A3, A4, A5 I A6 U NASELJU PODBREŽJE</t>
  </si>
  <si>
    <t>STATIČKI PUNJAČ BATERIJA ZA TRAMVAJ</t>
  </si>
  <si>
    <t>IZGRADNJA PIEZOMETARSKOG POLJA NA ODLAGALIŠTU OTPADA PRUDINEC/JAKUŠEVEC</t>
  </si>
  <si>
    <t>45262000-1</t>
  </si>
  <si>
    <t>GEODETSKI INSTRUMENTI I PRIBOR</t>
  </si>
  <si>
    <t>33212000-9</t>
  </si>
  <si>
    <t>ADAPTACIJA SUSTAVA TLAČNE INSTALACIJE (VENTILACIJE) U JAVNOJ PODZEMNOJ GARAŽI LANGOV TRG</t>
  </si>
  <si>
    <t>45331000-6</t>
  </si>
  <si>
    <t>ELEKTRO ALAT I PRIBOR</t>
  </si>
  <si>
    <t>29823000-4</t>
  </si>
  <si>
    <t>IZRADA IDEJNOG, GLAVNOG I IZVEDBENOG PROJEKTA ZA REKONSTRUKCIJU I IZGRADNJU VODOOPSKRBNIH CJEVOVODA U ULICAMA ŠELENDIĆI I GRADEČAK LIJEVI S IZGRADNJOM PRECRPNE STANICE ŠELENDIĆI I VODOSPREMNIKA ŽLEBEC SA HIDROFORSKIM POSTROJENJEM</t>
  </si>
  <si>
    <t>SANACIJA SN I NN POSTROJENJA - SAŠNAK</t>
  </si>
  <si>
    <t>45315000-8</t>
  </si>
  <si>
    <t>IZGRADNJA VODOOPSKRBNOG CJEVOVODA U NOVAČKOJ CESTI NA PODRUČJU SVETE NEDELJE</t>
  </si>
  <si>
    <t>SERVIS TEHNOLOŠKIH PLINOMJERA RAZLIČITOG KAPACITETA</t>
  </si>
  <si>
    <t>02.02.2018.</t>
  </si>
  <si>
    <t>02.02.2019.</t>
  </si>
  <si>
    <t>USISAVAČ PRAŠINE NA ASFALTNOM POSTROJENJU</t>
  </si>
  <si>
    <t>29569000-5</t>
  </si>
  <si>
    <t>06.02.2019.</t>
  </si>
  <si>
    <t>TRAKTORI I PRIKLJUČNA OPREMA</t>
  </si>
  <si>
    <t>29371000-0</t>
  </si>
  <si>
    <t>STROJ ZA PROIZVODNJU PROMETNIH ZNAKOVA</t>
  </si>
  <si>
    <t>USLUGA ENERGETSKOG CERTIFICIRANJA STAMBENO POSLOVNIH GRAĐEVINA A3, A4, A5 I A6 U NASELJU PODBREŽJE</t>
  </si>
  <si>
    <t>29.01.2018.</t>
  </si>
  <si>
    <t>FREKVENTNI PRETVARAČ S UGRADNJOM</t>
  </si>
  <si>
    <t>31121000-0</t>
  </si>
  <si>
    <t>UREĐENJE I OPREMANJE SKLADIŠTA REZERVNIH DIJELOVA RADNE JEDINICE PROIZVODNJA ASFALTA U RAKITJU</t>
  </si>
  <si>
    <t>45213000-3</t>
  </si>
  <si>
    <t>ELEKTROMOTORI</t>
  </si>
  <si>
    <t>31110000-0</t>
  </si>
  <si>
    <t>MOTORNE PILE, MOTORNI PUHAČI, ŠKARE ZA ŽIVICU I REZAČI ZELENILA</t>
  </si>
  <si>
    <t>29452000-2</t>
  </si>
  <si>
    <t>SERVIS ROTACIJSKIH I TURBINSKIH PLINOMJERA G-16 DO G-2500 I ISPITIVANJE I OVJERAVANJE TURBINSKIH PLINOMJERA OD G-400 DO G-2500</t>
  </si>
  <si>
    <t>PLINOMJERI MEMBRANSKI G-10, G-16 i G-25 - NAVOJNI</t>
  </si>
  <si>
    <t>07.02.2018.</t>
  </si>
  <si>
    <t>NADOGRADNJA LICENCI PROGRAMSKE OPREME "ORACLE"</t>
  </si>
  <si>
    <t>REKONSTRUKCIJA HALE 7 U POSLOVNOJ JEDINICI ŽITNJAK - I FAZA</t>
  </si>
  <si>
    <t>IZRADA IDEJNOG, GLAVNOG I IZVEDBENOG PROJEKTA IZGRADNJE VODOSPREMNIKA MIKULASI S DOLAZNIM PUTEM I REKONSTRUKCIJA VODOOPSKRBNOG CJEVOVODA OD MARKUŠEVAČKE CESTE DO NOVE VODOSPREME</t>
  </si>
  <si>
    <t>NADOGRADNJA SUSTAVA ZA DOJAVU POŽARA PODRUŽNICE ROBNI TERMINALI ZAGREB</t>
  </si>
  <si>
    <t>31625000-3</t>
  </si>
  <si>
    <t>ASFALTIRANJE PRIOBALNOG PUTA U KAMPU VELI JOŽE NA LOKACIJI SAVUDRIJA</t>
  </si>
  <si>
    <t>SIGURNOSNI SUSTAV S IZVEDBOM U POSLOVNOM OBJEKTU ULICA GRADA VUKOVARA 41</t>
  </si>
  <si>
    <t>29852000-6</t>
  </si>
  <si>
    <t>RAZVODNI ORMARI I OPREMA S UGRADNJOM ZA SPAJANJE CRPKI ICS-A</t>
  </si>
  <si>
    <t>31213000-2</t>
  </si>
  <si>
    <t>KAMERA ZA SNIMANJE KUĆNIH I KANALSKIH PRIKLJUČAKA S UGRADNJOM</t>
  </si>
  <si>
    <t>32234000-2</t>
  </si>
  <si>
    <t>23.02.2019.</t>
  </si>
  <si>
    <t>IZRADA IDEJNOG, GLAVNOG I IZVEDBENOG PROJEKTA REKONSTRUKCIJE VODOOPSKRBNIH CJEVOVODA U ZAPADNOM DIJELU GRADA SAMOBORA (KOLODVORSKO NASELJE)</t>
  </si>
  <si>
    <t>16.02.2019.</t>
  </si>
  <si>
    <t>UREĐAJI I OPREMA ZA DALJINSKO OČITANJE KRAJNJIH KUPACA GPRS SUSTAVOM S MOGUĆNOŠĆU PRIHVATA RADIJSKOG OČITANJA DRUGIH PLINOMJERA NA ISTOJ LOKACIJI</t>
  </si>
  <si>
    <t>33220000-8</t>
  </si>
  <si>
    <t>SANACIJA KROVA OBJEKTA GARAŽE 3 I 4 U KRUGU PODRUŽNICE ČISTOĆA</t>
  </si>
  <si>
    <t>19.10.2018.</t>
  </si>
  <si>
    <t>USLUGA KOORDINATORA ZA ZAŠTITU NA RADU U FAZI IZVOĐENJA RADOVA - KOORDINATOR II.</t>
  </si>
  <si>
    <t>MOTORNE KOSILICE, MOTORNE KOSE, MOTORNI ČISTAČI I PROZRAČIVAČI TRAVNJAKA, TRIMERI I STRIŽNE KOSE</t>
  </si>
  <si>
    <t>29331000-8</t>
  </si>
  <si>
    <t>SISTEMATSKI PREGLED RADNIKA GRADSKE PLINARE ZAGREB d.o.o.</t>
  </si>
  <si>
    <t>85140000-2</t>
  </si>
  <si>
    <t>09.03.2018.</t>
  </si>
  <si>
    <t>09.03.2019.</t>
  </si>
  <si>
    <t>UREĐENJE VANJSKIH OBJEKATA DISTRIBUCIJSKOG SUSTAVA</t>
  </si>
  <si>
    <t>LINIJA ZA ISPITIVANJE NT REGULATORA</t>
  </si>
  <si>
    <t>RADNI STROJEVI ZA ZEMLJANE RADOVE I OPREMA PUTEM FINANCIJSKOG LEASINGA</t>
  </si>
  <si>
    <t>29522000-4</t>
  </si>
  <si>
    <t>14.05.2018.</t>
  </si>
  <si>
    <t>14.05.2021.</t>
  </si>
  <si>
    <t>TRAKTORI I PRIKLJUČNA OPREMA - NAPRAVA ZA ČIŠĆENJE PLOHA KOMPOSTANE</t>
  </si>
  <si>
    <t>MOBILNE STUPNE DIZALICE S DODATNOM OPREMOM</t>
  </si>
  <si>
    <t>29221000-4</t>
  </si>
  <si>
    <t>PROFESIONALNA UGOSTITELJSKA OPREMA I APARATI</t>
  </si>
  <si>
    <t>29840000-9</t>
  </si>
  <si>
    <t>23.05.2018.</t>
  </si>
  <si>
    <t>08.03.2017.</t>
  </si>
  <si>
    <t>IZRADA GLAVNOG I IZVEDBENOG PROJEKTA ZA NADOGRADNJU OSNOVNE ŠKOLE JELKOVEC</t>
  </si>
  <si>
    <t>74222000-1</t>
  </si>
  <si>
    <t>SUSTAV ZA KONDICIONIRANJE ZRAKA S UGRADNJOM</t>
  </si>
  <si>
    <t>29231000-7</t>
  </si>
  <si>
    <t>22.03.2018.</t>
  </si>
  <si>
    <t>IZRADA STUDIJE IZVODLJIVOSTI, STUDIJE O UTJECAJU NA OKOLIŠ I APLIKACIJE ZA PRIJAVU PROJEKTA "PROJEKT ZAGREB 2018" ZA SUFINANCIRANJE IZ EU FONDOVA</t>
  </si>
  <si>
    <t>REGULACIJSKA I SIGURNOSNA OPREMA</t>
  </si>
  <si>
    <t>29872000-2</t>
  </si>
  <si>
    <t>23.03.2019.</t>
  </si>
  <si>
    <t>ON LINE KROMATOGRAF ZA MJERENJE KONCENTRACIJE ODORANTA THT-a</t>
  </si>
  <si>
    <t>33253000-8</t>
  </si>
  <si>
    <t>10.04.2018.</t>
  </si>
  <si>
    <t>CRPKE POTOPNE, MULJNE I FEKALNE</t>
  </si>
  <si>
    <t>29122000-0</t>
  </si>
  <si>
    <t>REKONSTRUKCIJA KOTLOVNICE NA PRIRODNI PLIN UZ UGRADNJU KOTLA NA DRVNU SJEČKU NA LOKACIJI REMETINEC</t>
  </si>
  <si>
    <t>KOMPRESORI I OPREMA ZA KOMPRESORE</t>
  </si>
  <si>
    <t>29123000-7</t>
  </si>
  <si>
    <t>09.04.2018.</t>
  </si>
  <si>
    <t>TRAKTORI I PRIKLJUČNA OPREMA PUTEM FINANCIJSKOG LEASINGA</t>
  </si>
  <si>
    <t>17.04.2021.</t>
  </si>
  <si>
    <t>ELEKTROAKUSTIČNI UREĐAJ ZA TRAŽENJE KVAROVA</t>
  </si>
  <si>
    <t>31642000-8</t>
  </si>
  <si>
    <t>13.04.2018.</t>
  </si>
  <si>
    <t>13.04.2019.</t>
  </si>
  <si>
    <t>PREUREĐENJE DIJELA PROSTORA TRAMVAJSKOG SERVISA TREŠNJEVKA</t>
  </si>
  <si>
    <t>PLINOMJERI TURBINSKI G-65 DO G-2500 - PRIRUBNIČKI</t>
  </si>
  <si>
    <t>DOGRADNJA I OPREMANJE HALE TRAMVAJSKE RADIONICE TREŠNJEVKA</t>
  </si>
  <si>
    <t>SANACIJA KOSOG KROVA AUTOBUSNE RADIONICE NA LOKACIJI TREŠNJEVKA</t>
  </si>
  <si>
    <t>DOSTAVNA I TERETNA VOZILA</t>
  </si>
  <si>
    <t>09.08.2019.</t>
  </si>
  <si>
    <t>14.09.2018.</t>
  </si>
  <si>
    <t>PLINOMJERI MEMBRANSKI G-6 SA STOP VENTILOM</t>
  </si>
  <si>
    <t>29.05.2018.</t>
  </si>
  <si>
    <t>DIZEL AGREGAT ZA NUŽNO NAPAJANJE S UGRADNJOM</t>
  </si>
  <si>
    <t>31129000-6</t>
  </si>
  <si>
    <t>21.05.2023.</t>
  </si>
  <si>
    <t>LABORATORIJSKI NAMJEŠTAJ</t>
  </si>
  <si>
    <t>36123000-9</t>
  </si>
  <si>
    <t>24.05.2018.</t>
  </si>
  <si>
    <t>LABORATORIJSKI APARATI I UREĐAJI</t>
  </si>
  <si>
    <t>33000000-0</t>
  </si>
  <si>
    <t>IZRADA IDEJNIH, GLAVNIH I IZVEDBENIH PROJEKATA IZGRADNJE (PRODUŽENJA) VODOOPSKRBNE MREŽE NA PODRUČJU GRADSKE ČETVRTI SESVETE</t>
  </si>
  <si>
    <t>02.06.2018.</t>
  </si>
  <si>
    <t>02.06.2019.</t>
  </si>
  <si>
    <t>CRPKE ZA VODU</t>
  </si>
  <si>
    <t>15.06.2018.</t>
  </si>
  <si>
    <t>TURISTIČKI AUTOBUSI</t>
  </si>
  <si>
    <t>26.06.2018.</t>
  </si>
  <si>
    <t>19.07.2019.</t>
  </si>
  <si>
    <t>IZRADA IDEJNIH, GLAVNIH I IZVEDBENIH PROJEKATA IZGRADNJE (PRODUŽENJA) VODOOPSKRBNE MREŽE NA PODRUČJU GRADSKE ČETVRTI BREZOVICA</t>
  </si>
  <si>
    <t>GRAĐEVINSKI STROJEVI I OPREMA</t>
  </si>
  <si>
    <t>29523000-1</t>
  </si>
  <si>
    <t>03.07.2018.</t>
  </si>
  <si>
    <t>03.07.2019.</t>
  </si>
  <si>
    <t>ARHITEKTONSKO I TEHNIČKO PROJEKTIRANJE ZGH</t>
  </si>
  <si>
    <t>74200000-1</t>
  </si>
  <si>
    <t>16.07.2019.</t>
  </si>
  <si>
    <t>TELEMETRIJSKE STANICE</t>
  </si>
  <si>
    <t>24.08.2018.</t>
  </si>
  <si>
    <t>24.08.2019.</t>
  </si>
  <si>
    <t>14.09.2021.</t>
  </si>
  <si>
    <t>04.04.2022.</t>
  </si>
  <si>
    <t>26.11.2021.</t>
  </si>
  <si>
    <t>05.11.2021.</t>
  </si>
  <si>
    <t>27.02.2022.</t>
  </si>
  <si>
    <t>POPRAVAK JAVNO-PROMETNIH POVRŠINA NAKON IZGRADNJE/REKONSTRUKCIJE/MODERNIZACIJE PLINSKOG DISTRIBUCIJSKOG SUSTAVA ILI ZAUZIMANJE JAVNE POVRŠINE - ZAGREB</t>
  </si>
  <si>
    <t>18.05.2019.</t>
  </si>
  <si>
    <t>IZRADA PROJEKTNE DOKUMENTACIJE REKONSTRUKCIJE TRŽNICE BRANIMIROVA</t>
  </si>
  <si>
    <t>ODORANT ZA PRIRODNI PLIN TETRAHIDROTIOFEN (THT)</t>
  </si>
  <si>
    <t>FASADNA VRATAŠCA I ORMARIĆI ZA PLIN</t>
  </si>
  <si>
    <t>REKONSTRUKCIJA VODOOPSKRBNOG CJEVOVODA U ULICI PALMA</t>
  </si>
  <si>
    <t>REKONSTRUKCIJA ZASUNSKE KOMORE BR. 3591 NA AVENIJI DUBROVNIK I HUGA ERLICHA</t>
  </si>
  <si>
    <t>IZGRADNJA VODOOPSKRBNOG CJEVOVODA U DIJELU ULICE IVANA KUKULJEVIĆA, OD BRITANSKOG TRGA DO KOZARČEVE ULICE</t>
  </si>
  <si>
    <t>30.07.2018.</t>
  </si>
  <si>
    <t>REKONSTRUKCIJA VODOOPSKRBNOG CJEVOVODA U PRERADOVIĆEVOJ ULICI</t>
  </si>
  <si>
    <t>06.08.2018.</t>
  </si>
  <si>
    <t>06.08.2019.</t>
  </si>
  <si>
    <t>REKONSTRUKCIJA VODOOPSKRBNOG CJEVOVODA U GROBNIČKOJ ULICI</t>
  </si>
  <si>
    <t>16.08.2019.</t>
  </si>
  <si>
    <t>REZERVNI DIJELOVI AMONIJAČNIH RASHLADNIH KOMPRESORA PROIZVOĐAČA SABROE</t>
  </si>
  <si>
    <t>28.08.2018.</t>
  </si>
  <si>
    <t>REKONSTRUKCIJA VODOOPSKRBNOG CJEVOVODA U ULICI DONJE PREKRIŽJE</t>
  </si>
  <si>
    <t>21.08.2019.</t>
  </si>
  <si>
    <t>REKONSTRUKCIJA SJEVERNOG POTPORNOG ZIDA</t>
  </si>
  <si>
    <t>IZMJEŠTANJE MAGISTRALNOG VODOOPSKRBNOG CJEVOVODA U DIJELU IVANJOREČKE CESTE U IVANJOJ REKI</t>
  </si>
  <si>
    <t>27.08.2018.</t>
  </si>
  <si>
    <t>27.08.2019.</t>
  </si>
  <si>
    <t>IZGRADNJA NOVE PLINSKE MREŽE I REKONSTRUKCIJA NTP DUBRAVA - RAVNICE</t>
  </si>
  <si>
    <t>ODRŽAVANJE TRASE PLINOVODA, OBJEKATA NA SUSTAVU KOŠNJOM I SJEČOM RASLINJA</t>
  </si>
  <si>
    <t>ODRŽAVANJE SCADA PROZA NET PROGRAMA</t>
  </si>
  <si>
    <t>50324000-2</t>
  </si>
  <si>
    <t>IZGRADNJA NOVE PLINSKE MREŽE - STP RAKITNICA</t>
  </si>
  <si>
    <t>IZGRADNJA NOVE PLINSKE MREŽE - STP NOVOSELEC - ETAPA VII</t>
  </si>
  <si>
    <t>06.09.2018.</t>
  </si>
  <si>
    <t>06.09.2019.</t>
  </si>
  <si>
    <t>IZGRADNJA NOVE PLINSKE MREŽE - STP HRVATSKI LESKOVAC - BREZOVICA - ETAPA III</t>
  </si>
  <si>
    <t>10.09.2019.</t>
  </si>
  <si>
    <t>IZGRADNJA VODOOPSKRBNOG CJEVOVODA U OZALJSKOJ ULICI (OD KRAPINSKE DO NEHAJSKE)</t>
  </si>
  <si>
    <t>17.09.2019.</t>
  </si>
  <si>
    <t>PREUREĐENJE ULAZNOG PROSTORA POSLOVNE ZGRADE POSLOVNE JEDINICE JANKOMIR</t>
  </si>
  <si>
    <t>MONITORING IZVORIŠTA VODOOPSKRBNIH SUSTAVA ZAGREBA I SAMOBORA</t>
  </si>
  <si>
    <t>REKONSTRUKCIJA VODOOPSKRBNOG CJEVOVODA U JAVORINSKOJ ULICI</t>
  </si>
  <si>
    <t>24.09.2018.</t>
  </si>
  <si>
    <t>24.09.2019.</t>
  </si>
  <si>
    <t>REKONSTRUKCIJA JAVNOG KANALA U DIJELU ULICE BARTOLA KAŠIĆA, NA DIONICI OD KAŠINSKE CESTE DO ULICE IVANA ANČIĆA (PAVLA ŠTOOSA)</t>
  </si>
  <si>
    <t>01.10.2019.</t>
  </si>
  <si>
    <t>MREŽICE I USNACE ZA PLINSKE SVJETILJKE</t>
  </si>
  <si>
    <t>31532000-4</t>
  </si>
  <si>
    <t>10.10.2019.</t>
  </si>
  <si>
    <t>SANACIJA DIJELA KANALIZACIJSKE MREŽE NA LOKACIJI REMETINEČKA CESTA 15</t>
  </si>
  <si>
    <t>30.11.2018.</t>
  </si>
  <si>
    <t>IZGRADNJA VODOOPSKRBNOG CJEVOVODA S CRPNOM STANICOM U ULICI SVETONEDELJSKI BREG</t>
  </si>
  <si>
    <t>15.10.2019.</t>
  </si>
  <si>
    <t>IZGRADNJA NOVE PLINSKE MREŽE - NTP KLIN - KOLEDINEČKA</t>
  </si>
  <si>
    <t>MODULARNE KUĆICE ZA TRŽNICU DUBEC S MONTAŽOM</t>
  </si>
  <si>
    <t>REKONSTRUKCIJA DIJELA TRANSPORTNOG KOLEKTORA TK III UZ POTOK LOMNICA</t>
  </si>
  <si>
    <t>22.10.2019.</t>
  </si>
  <si>
    <t>REKONSTRUKCIJA VODOOPSKRBNOG CJEVOVODA U ULICI LJILJANA</t>
  </si>
  <si>
    <t>11.10.2019.</t>
  </si>
  <si>
    <t>OPREMA ZA MANIPULACIJU TERETOM PUTEM OPERATIVNOG LEASINGA</t>
  </si>
  <si>
    <t>Otvoreni postupak</t>
  </si>
  <si>
    <t>04.12.2018.</t>
  </si>
  <si>
    <t>05.12.2023.</t>
  </si>
  <si>
    <t>PROŠIRENJE DISKOVNOG SUSTAVA ZA POHRANU PODATAKA SREDIŠNJEG DATACENTRA ZGH</t>
  </si>
  <si>
    <t>30233000-1</t>
  </si>
  <si>
    <t>10.12.2019.</t>
  </si>
  <si>
    <t>REKONSTRUKCIJA SUSTAVA ODVODNJE U NASELJU BOTINEC (ZLATAROVO ZLATO)</t>
  </si>
  <si>
    <t>06.12.2020.</t>
  </si>
  <si>
    <t>STRUČNI NADZOR NAD REKONSTRUKCIJOM DIJELA TRANSPORTNOG KOLEKTORA TK III UZ POTOK LOMNICA</t>
  </si>
  <si>
    <t>IZVOĐENJE RADOVA NA KATODNOJ ZAŠTITI PLINSKE MREŽE</t>
  </si>
  <si>
    <t>REKONSTRUKCIJA LINIJE ZA ISPITIVANJE KOREKTORA</t>
  </si>
  <si>
    <t>SUSTAV ZA ROBOTIZIRANO LAKIRANJE PLINOMJERA</t>
  </si>
  <si>
    <t>29560000-2</t>
  </si>
  <si>
    <t>REKONSTRUKCIJA VODOOPSKRBNOG CJEVOVODA U ULICI RUDE (SAMOBOR)</t>
  </si>
  <si>
    <t>ALATI, POTROŠNI MATERIJAL I FITING "RAVETTI"</t>
  </si>
  <si>
    <t>27212000-4</t>
  </si>
  <si>
    <t>09.11.2018.</t>
  </si>
  <si>
    <t>REKONSTRUKCIJA JAVNIH KANALA U DIJELU ULICE KRSTE HEGEDUŠIĆA I TUPEKOVOJ ULICI U NASELJU STARO BRESTJE</t>
  </si>
  <si>
    <t>28.11.2019.</t>
  </si>
  <si>
    <t>REKONSTRUKCIJA - VTP GAJNICE</t>
  </si>
  <si>
    <t>19.12.2019.</t>
  </si>
  <si>
    <t>STRUČNI NADZOR</t>
  </si>
  <si>
    <t>OPREMA ZA DALJINSKO OČITAVANJE VELIKIH POTROŠAČA GPRS SUSTAVOM</t>
  </si>
  <si>
    <t>STRUČNI NADZOR NAD IZGRADNJOM KOLEKTORA DUBRAVICA (1. i 3. dionice)</t>
  </si>
  <si>
    <t>ICT OPREMA</t>
  </si>
  <si>
    <t>AUTOCISTERNA ZA PRIJEVOZ VODE ZA PIĆE</t>
  </si>
  <si>
    <t>NAJAM ZAVARIVAČA I CJEVARA</t>
  </si>
  <si>
    <t>OPREMA ZA SPORTSKU DVORANU HRVATSKI LESKOVAC</t>
  </si>
  <si>
    <t>REKONSTRUKCIJA - VTP ČAVIĆEVA</t>
  </si>
  <si>
    <t>IZGRADNJA VODOOPSKRBNOG CJEVOVODA U AŠPERGERIMA, PAVLIĆIMA I GAJANIMA</t>
  </si>
  <si>
    <t>REKONSTRUKCIJA - NTP VOLOVČICA - I ETAPA</t>
  </si>
  <si>
    <t>IZRADA IDEJNOG, GLAVNOG I IZVEDBENOG PROJEKTA IZGRADNJE DOLINSKOG KANALA KRSIŠĆE (DEŠČEVEC) I JAVNOG KANALA U ULICI KRSIŠĆE</t>
  </si>
  <si>
    <t>IZRADA IDEJNIH, GLAVNIH I IZVEDBENIH PROJEKATA IZGRADNJE (PRODUŽENJA) VODOOPSKRBNE MREŽE NA PODRUČJU GRADSKE ČETVRTI MAKSIMIR</t>
  </si>
  <si>
    <t>NAMJEŠTAJ I OPREMA ZA OSNOVNU ŠKOLU HRVATSKI LESKOVAC</t>
  </si>
  <si>
    <t>36000000-1</t>
  </si>
  <si>
    <t>04.01.2020.</t>
  </si>
  <si>
    <t>IZRADA IDEJNIH, GLAVNIH I IZVEDBENIH PROJEKATA IZGRADNJE (PRODUŽENJA) VODOOPSKRBNE MREŽE NA PODRUČJU GRADSKE ČETVRTI STENJEVEC</t>
  </si>
  <si>
    <t>IZGRADNJA NOVE PLINSKE MREŽE - STP STRUGE - BOGDANI - ŽITNJAK - ETAPA III</t>
  </si>
  <si>
    <t>14.01.2020.</t>
  </si>
  <si>
    <t>Društvene i druge posebne usluge</t>
  </si>
  <si>
    <t>HARDWERSKO ODRŽAVANJE SERVERA, DISKOVNOG SUSTAVA (STORAGE-A) I SISTEMSKOG SOFTWARE-A, AKTIVNE I PASIVNE MREŽNE OPREME</t>
  </si>
  <si>
    <t>IZRADA IDEJNOG, GLAVNOG I IZVEDBENOG PROJEKTA IZGRADNJE VODOOPSKRBNE MREŽE NASELJA GORNJI JAREK, MEGLENJAK I JAGODIŠĆE</t>
  </si>
  <si>
    <t>REKONSTRUKCIJA - NTP VOLOVČICA - II ETAPA</t>
  </si>
  <si>
    <t>UREĐENJE JUŽNOG PARKIRALIŠTA</t>
  </si>
  <si>
    <t>28.01.2019.</t>
  </si>
  <si>
    <t>28.01.2020.</t>
  </si>
  <si>
    <t>REKONSTRUKCIJA - VTP JANKOMIR (SAMOBORSKA - ŠOLJANOVA)</t>
  </si>
  <si>
    <t>IZGRADNJA KOLEKTORA DUBRAVICA (1. i 3. dionica)</t>
  </si>
  <si>
    <t>06.02.2021.</t>
  </si>
  <si>
    <t>07.02.2020.</t>
  </si>
  <si>
    <t>IZRADA IDEJNOG, GLAVNOG I IZVEDBENOG PROJEKTA REKONSTRUKCIJE MAGISTRALNIH VODOOPSKRBNIH CJEVOVODA PREKO MOSTA SLOBODE, OD JUŽNE KOMORE PA SVE DO SLAVONSKE AVENIJE</t>
  </si>
  <si>
    <t>15.02.2021.</t>
  </si>
  <si>
    <t>RADOVI NA ZAVRŠETKU SANACIJE ENERGETSKOG POSTROJENJA HLADNJAČE NA VELETRŽNICI</t>
  </si>
  <si>
    <t>45259000-7</t>
  </si>
  <si>
    <t>15.02.2020.</t>
  </si>
  <si>
    <t>STRUČNI NADZOR NAD IZGRADNJOM KANALIZACIJSKE MREŽE NA UZVODNOM SLIVU POTOKA LOMNICA - BREZOVICA</t>
  </si>
  <si>
    <t>IZGRADNJA KANALIZACIJSKE MREŽE NA UZVODNOM SLIVU POTOKA LOMNICA - BREZOVICA</t>
  </si>
  <si>
    <t>22.02.2020.</t>
  </si>
  <si>
    <t>IZRADA IDEJNOG, GLAVNOG I IZVEDBENOG PROJEKTA REKONSTRUKCIJE DIJELA KANALIZACIJSKE MREŽE U DONJOJ DUBRAVI (ISTOČNO OD ULICE TRNAVA I)</t>
  </si>
  <si>
    <t>IZGRADNJA GLAVNIH SABIRNIH KANALA ODVODNJE NASELJA GORNJI STUPNIK</t>
  </si>
  <si>
    <t>21.02.2020.</t>
  </si>
  <si>
    <t>IZRADA IDEJNOG, GLAVNOG I IZVEDBENOG PROJEKTA REKONSTRUKCIJE DOLINSKOG KANALA MESCI - ISTARSKA (KRALJEVEČKI NOVAKI)</t>
  </si>
  <si>
    <t>25.02.2021.</t>
  </si>
  <si>
    <t>SREDNJETLAČNI REGULATORI TLAKA PLINA</t>
  </si>
  <si>
    <t>STRUČNI NADZOR NAD IZGRADNJOM VODOOPSKRBNIH CJEVOVODA U NASELJU STARO I NOVO BRESTJE, BRESTOVEČKA OD ZAGREBAČKE DO ULICE JOSIPA RAČIĆA</t>
  </si>
  <si>
    <t>OPREMA ZA ARHIVU U HALI 7 POSLOVNE JEDINICE ŽITNJAK</t>
  </si>
  <si>
    <t>18.03.2020.</t>
  </si>
  <si>
    <t>12.03.2023.</t>
  </si>
  <si>
    <t>IZRADA IDEJNOG, GLAVNOG I IZVEDBENOG PROJEKTA IZGRADNJE VODOOPSKRBNE MREŽE NASELJA PREKVRŠJE - LIŠEVO</t>
  </si>
  <si>
    <t>SANACIJA JAVNE RASVJETE U KRUGU PODRUŽNICE ČISTOĆA</t>
  </si>
  <si>
    <t>45316000-5</t>
  </si>
  <si>
    <t>IZGRADNJA JAVNOG KANALA U ULICI KAMEŠČICA KOD K.BR. 18</t>
  </si>
  <si>
    <t>POPRAVAK I ODRŽAVANJE SHIMADZU INSTRUMENATA</t>
  </si>
  <si>
    <t>50412000-6</t>
  </si>
  <si>
    <t>19.03.2020.</t>
  </si>
  <si>
    <t>GPRS SUSTAV FIKSNE MREŽE ZA RADIJSKO OČITAVANJE PLINOMJERA</t>
  </si>
  <si>
    <t>DIGITALNI SUSTAV ZA ARHIVU U HALI 7 POSLOVNE JEDINICE ŽITNJAK</t>
  </si>
  <si>
    <t>30257000-5</t>
  </si>
  <si>
    <t>KREMACIJSKA PEĆ S UGRADNJOM</t>
  </si>
  <si>
    <t>29215000-9</t>
  </si>
  <si>
    <t>IZGRADNJA VODOOPSKRBNIH CJEVOVODA U DIJELU NASELJA JARUN</t>
  </si>
  <si>
    <t>IZRADA IDEJNOG, GLAVNOG I IZVEDBENOG PROJEKTA IZGRADNJE KANALIZACIJSKE MREŽE NASELJA GORNJI I DONJI JAREK</t>
  </si>
  <si>
    <t>REKONSTRUKCIJA VODOOPSKRBNOG CJEVOVODA U RAPSKOJ, ŠOLTANSKOJ I AV. M. DRŽIĆA</t>
  </si>
  <si>
    <t>VILIČAR ZA GRADSKU PLINARU ZAGREB D.O.O.</t>
  </si>
  <si>
    <t>26.03.2020.</t>
  </si>
  <si>
    <t>PRIKOLICE PUTEM FINANCIJSKOG LEASINGA</t>
  </si>
  <si>
    <t>34223000-6</t>
  </si>
  <si>
    <t>20.03.2022.</t>
  </si>
  <si>
    <t>IZGRADNJA I REKONSTRUKCIJA JAVNIH KANALA U JUŽNOJ ULICI S ODVOJCIMA</t>
  </si>
  <si>
    <t>IZGRADNJA JAVNOG KANALA S CRPNOM STANICOM U ULICI IV KOZARI PUT I ODVOJCIMA</t>
  </si>
  <si>
    <t>10.04.2020.</t>
  </si>
  <si>
    <t>REKONSTRUKCIJA VODOOPSKRBNOG CJEVOVODA U MESIĆEVOJ OD VRAMČEVE DO GRŠKOVIĆEVE</t>
  </si>
  <si>
    <t>REKONSTRUKCIJA VODOOPSKRBNOG CJEVOVODA U ULICI III STRUGE</t>
  </si>
  <si>
    <t>NABAVA I UGRADNJA VANJSKIH JEDINICA ZA HLAĐENJE NA OBJ. 14</t>
  </si>
  <si>
    <t>25.03.2020.</t>
  </si>
  <si>
    <t>RADOVI NA UGRADNJI OPREME ZA ODORIZACIJSKE STANICE</t>
  </si>
  <si>
    <t>IZRADA IDEJNIH, GLAVNIH I IZVEDBENIH PROJEKATA IZGRADNJE (PRODUŽENJA) VODOOPSKRBNE MREŽE NA PODRUČJU GRADSKE ČETVRTI TREŠNJEVKA - JUG</t>
  </si>
  <si>
    <t>IZGRADNJA JAVNOG KANALA U ODVOJKU LUKORANSKE ULICE KOD K.BR. 40</t>
  </si>
  <si>
    <t>VOĐENJE PROJEKTA NAD IZGRADNJOM ODVODNJE GRUPE ULICA U DUBRAVI (LELIJSKA, LJUBUŠKA, VRANPLANINSKA S ODVOJCIMA, SUNEKOV ODVOJAK I ODVOJCI CELOVEČKE)</t>
  </si>
  <si>
    <t>REKONSTRUKCIJA VODOOPSKRBNOG CJEVOVODA U ULICI FRA FILIPA GRABOVCA U ZAGREBU</t>
  </si>
  <si>
    <t>REKONSTRUKCIJA VODOOPSKRBNOG CJEVOVODA U ALBRECHTOVOJ ULICI (OD HONDLOVE DO III MAKSIMIRSKOG NASELJA)</t>
  </si>
  <si>
    <t>IZGRADNJA KOLEKTORA ČULINEČKA - DIONICA OD TRNAVE DO SLAVONSKE AVENIJE</t>
  </si>
  <si>
    <t>IZGRADNJA VANJSKE OGRADE NA LOKACIJI GRAD MLADIH</t>
  </si>
  <si>
    <t>15.04.2020.</t>
  </si>
  <si>
    <t>UREĐAJI ZA DALJINSKO RADIJSKO OČITAVANJE PLINOMJERA VELIČINE G-4 I G-6</t>
  </si>
  <si>
    <t>33221000-5</t>
  </si>
  <si>
    <t>12.04.2020.</t>
  </si>
  <si>
    <t>MAGNETOMETRIJA ISPITIVANJE VTP 50 BAR IVANJA REKA TE-TO</t>
  </si>
  <si>
    <t>76000000-3</t>
  </si>
  <si>
    <t>IZGRADNJA VODOOPSKRBNIH CJEVOVODA U NASELJU STARO I NOVO BRESTJE, BRESTOVEČKA OD ZAGREBAČKE DO ULICE JOSIPA RAČIĆA</t>
  </si>
  <si>
    <t>18.04.2020.</t>
  </si>
  <si>
    <t>IZRADA IDEJNOG, GLAVNOG I IZVEDBENOG PROJEKTA REKONSTRUKCIJE I IZGRADNJE KANALIZACIJSKE MREŽE IZMEĐU ALEJE BOLOGNE I BOLNIČKE CESTE</t>
  </si>
  <si>
    <t>IZGRADNJA JAVNOG KANALA U TUHELJSKOJ ULICI</t>
  </si>
  <si>
    <t>23.04.2020.</t>
  </si>
  <si>
    <t>REKONSTRUKCIJA VODOOPSKRBNOG CJEVOVODA U ULICI JARUN I RAVNOGORSKOJ</t>
  </si>
  <si>
    <t>REZAČI I LOMILICE ZA BETON I ASFALT</t>
  </si>
  <si>
    <t>29441000-2</t>
  </si>
  <si>
    <t>24.04.2020.</t>
  </si>
  <si>
    <t>NADOGRADNJA SUSTAVA VIDEO NADZORA NA LOKACIJI GRAD MLADIH</t>
  </si>
  <si>
    <t>REKONSTRUKCIJA VODOOPSKRBNOG CJEVOVODA U BANOVIČKOJ ULICI</t>
  </si>
  <si>
    <t>ODRŽAVANJE I NADOGRADNJA POSTOJEĆIH APLIKATIVNIH RJEŠENJA MIS</t>
  </si>
  <si>
    <t>IZGRADNJA JAVNOG KANALA U ULICI IVANA ORŠANIĆA</t>
  </si>
  <si>
    <t>IZGRADNJA JAVNOG KANALA U OSTROVIČKOJ ULICI</t>
  </si>
  <si>
    <t>13.05.2021.</t>
  </si>
  <si>
    <t>IZGRADNJA KANALIZACIJSKE MREŽE U ULICI MEDVEDSKI BREG</t>
  </si>
  <si>
    <t>IZGRADNJA I REKONSTRUKCIJA JAVNOG KANALA U DIJELU ULICE TRNAVA IV I ODVOJKU VUKOMEREČKE CESTE</t>
  </si>
  <si>
    <t>25.04.2020.</t>
  </si>
  <si>
    <t>REKONSTRUKCIJA VODOOOPSKRBNOG CJEVOVODA U NASELJU DUBEC</t>
  </si>
  <si>
    <t>IZRADA IDEJNOG, GLAVNOG I IZVEDBENOG PROJEKTA REKONSTRUKCIJE VODOOPSKRBNIH CJEVOVODA U DIJELU NASELJA SELČINA - SESVETE</t>
  </si>
  <si>
    <t>NOVELACIJA PROJEKTNE DOKUMENTACIJE ZA ODVODNJU DIJELA NASELJA SESVETSKA SELNICA</t>
  </si>
  <si>
    <t>03.05.2021.</t>
  </si>
  <si>
    <t>IZRADA IDEJNIH, GLAVNIH I IZVEDBENIH PROJEKATA IZGRADNJE (PRODUŽENJA) VODOOPSKRBNE MREŽE NA PODRUČJU GRADSKE ČETVRTI PODSLJEME</t>
  </si>
  <si>
    <t>PROJEKT USPOSTAVE INFORMACIJSKE SIGURNOSTI U SUSTAV KORPORATIVNE SIGURNOSTI</t>
  </si>
  <si>
    <t>74141000-9</t>
  </si>
  <si>
    <t>03.05.2020.</t>
  </si>
  <si>
    <t>IZGRADNJA VODOOPSKRBNOG CJEVOVODA U DIJELU KOVINSKE ULICE DO ULICE SUSEDSKO POLJE</t>
  </si>
  <si>
    <t>13.05.2020.</t>
  </si>
  <si>
    <t>OPREMA ZA MJERENJE PROTOKA TEKUĆINA I PLINOVA</t>
  </si>
  <si>
    <t>PROŠIRENJE SUSTAVA ZA AUTOMATSKU NAPLATU U JAVNIM GARAŽAMA</t>
  </si>
  <si>
    <t>21.05.2020.</t>
  </si>
  <si>
    <t>SERVIS ROTACIJSKIH I TURBINSKIH PLINOMJERA G-16 DO G-2500 i ISPITIVANJE i OVJERAVANJE TURBINSKIH PLINOMJERA G-400 DO G-2500</t>
  </si>
  <si>
    <t>IZGRADNJA JAVNOG KANALA U ULICAMA ČUKOVIĆI - ŠESTINSKI DOL ODVOJAK</t>
  </si>
  <si>
    <t>10.05.2020.</t>
  </si>
  <si>
    <t>PLINOMJERI MEMBRANSKI G-4 SA STOP VENTILOM</t>
  </si>
  <si>
    <t>27.05.2020.</t>
  </si>
  <si>
    <t>KONCEPCIJSKO RJEŠENJE VODOOPSKRBE NA USLUŽNOM PODRUČJU KOJIM UPRAVLJA VIO d.o.o. ZAGREB, S IZRADOM DETALJNOG HIDRAULIČKOG MATEMATIČKOG MODELA STANJA RAZVOJA I PREDSTUDIJOM IZVODLJIVOSTI</t>
  </si>
  <si>
    <t>29.05.2021.</t>
  </si>
  <si>
    <t>REKONSTRUKCIJA VODOOPSKRBNOG CJEVOVODA U ZRMANJSKOJ ULICI I ODVOJKU</t>
  </si>
  <si>
    <t>07.06.2020.</t>
  </si>
  <si>
    <t>SUSTAV DOJAVE KOD NEUTRALIZACIJE PLINOVITOG KLORA ZA VODOCRPILIŠTA STRMEC, BREGANA I KAPTAŽNI SUSTAV SLAPNICA LIPOVEC S UGRADNJOM</t>
  </si>
  <si>
    <t>14.06.2020.</t>
  </si>
  <si>
    <t>IZGRADNJA ODVODNJE GRUPE ULICA U DUBRAVI (LELIJSKA, LJUBUŠKA, VRANPLANINSKA S ODVOJCIMA, SUNEKOV ODVOJAK I ODVOJCI CELOVEČKE)</t>
  </si>
  <si>
    <t>29.05.2020.</t>
  </si>
  <si>
    <t>E-PLATFORMA ZGH</t>
  </si>
  <si>
    <t>30245000-8</t>
  </si>
  <si>
    <t>IZRADA IDEJNOG, GLAVNOG I IZVEDBENOG PROJEKTA REKONSTRUKCIJE KOLEKTORA U HEINZELOVOJ ULICI PROFILA fi 300/230 cm OD KVATERNIKOVOG TRGA DO SLAVONSKE AVENIJE</t>
  </si>
  <si>
    <t>14.06.2021.</t>
  </si>
  <si>
    <t>STRUČNI NADZOR NAD IZGRADNJOM ODVODNJE GRUPE ULICA U DUBRAVI (LELIJSKA, LJUBUŠKA, VRANPLANINSKA S ODVOJCIMA, SUNEKOV ODVOJAK I ODVOJCI CELOVEČKE)</t>
  </si>
  <si>
    <t>STRUČNI NADZOR NAD REKONSTRUKCIJOM VODOOOPSKRBNOG CJEVOVODA U NASELJU DUBEC</t>
  </si>
  <si>
    <t>24.06.2020.</t>
  </si>
  <si>
    <t>REKONSTRUKCIJA VODOOPSKRBNOG CJEVOVODA U ULICI ANTE STARČEVIĆA i II ODVOJKU ULICE ANTE STARČEVIĆA</t>
  </si>
  <si>
    <t>IZRADA PROJEKTNE DOKUMENTACIJE ZA USPOSTAVU NULTE ZONE VODOOPSKRBNOG SUSTAVA GRADA ZAGREBA</t>
  </si>
  <si>
    <t>10.12.2020.</t>
  </si>
  <si>
    <t>PREUZIMANJE I DALJNJA OBRADA PLASTIČNE AMBALAŽE PREUZETE S JAVNIH POVRŠINA</t>
  </si>
  <si>
    <t>GRAĐENJE OTVORENIH NATKRIVENIH SKLADIŠTA S PRIPADAJUĆOM INFRASTRUKTUROM NA SERVISNO OPERATIVNOM CENTRU JAKUŠEVEC</t>
  </si>
  <si>
    <t>09.05.2020.</t>
  </si>
  <si>
    <t>REMONTNI I SANACIJSKI RADOVI KREMACIJSKE PEĆI BR. 2</t>
  </si>
  <si>
    <t>45453000-7</t>
  </si>
  <si>
    <t>PROJEKTANTSKI NADZOR NAD GRAĐENJEM, ODRŽAVANJEM I UPRAVLJANJEM PODSUSTAVIMA ODLAGALIŠTA OTPADA JAKUŠEVEC</t>
  </si>
  <si>
    <t>06.05.2022.</t>
  </si>
  <si>
    <t>ORACLE LICENCE</t>
  </si>
  <si>
    <t>06.05.2020.</t>
  </si>
  <si>
    <t>04.06.2020.</t>
  </si>
  <si>
    <t>SANACIJA SMJEŠTAJNIH KAPACITETA I KUHINJE U KAMPU VELI JOŽE NA LOKACIJI SAVUDRIJA</t>
  </si>
  <si>
    <t>45212000-6</t>
  </si>
  <si>
    <t>STRUČNI NADZOR ZA GRAĐENJE OTVORENIH NATKRIVENIH SKLADIŠTA SA PRIPADAJUĆOM INFRASTRUKTUROM NA SERVISNO OPERATIVNOM CENTRU JAKUŠEVEC</t>
  </si>
  <si>
    <t>10.06.2020.</t>
  </si>
  <si>
    <t>STAKLA ZA PLINSKE SVJETILJKE "GRIČ"</t>
  </si>
  <si>
    <t>26121000-2</t>
  </si>
  <si>
    <t>USLUGA ANALIZE I OPTIMIZACIJE UPRAVLJANJA SOFTVERSKOM IMOVINOM</t>
  </si>
  <si>
    <t>72222000-7</t>
  </si>
  <si>
    <t>NASTAVAK IZGRADNJE GLAVNOG SABIRNOG KANALA GSK I.I. I CRPNE STANICE HRVATSKI LESKOVEC</t>
  </si>
  <si>
    <t>IZGRADNJA FEKALNE KANALIZACIJE U NASELJIMA RAKITJE, NOVAKI I BESTOVJE - VII ETAPA FEKALNA KANALIZACIJA U NASELJU RAKITJE - JUG</t>
  </si>
  <si>
    <t>IZGRADNJA GLAVNOG SABIRNOG KOLEKTORA FEKALNE KANALIZACIJE BREZJE - JAGNJIĆ DOL</t>
  </si>
  <si>
    <t>IZGRADNJA I REKONSTRUKCIJA VODOOPSKRBNOG CJEVOVODA U NASELJU STARO BRESTJE</t>
  </si>
  <si>
    <t>IZGRADNJA OSNOVNE ŠKOLE I DVORANE HRVATSKI LESKOVEC</t>
  </si>
  <si>
    <t>45214000-0</t>
  </si>
  <si>
    <t>UPRAVLJANJE PROJEKTOM IZGRADNJE OSNOVNE ŠKOLE I DVORANE HRVATSKI LESKOVEC</t>
  </si>
  <si>
    <t>IZRADA IDEJNIH, GLAVNIH I IZVEDBENIH PROJEKATA IZGRADNJE (PRODUŽENJA) VODOOPSKRBNE MREŽE NA PODRUČJU GRADSKE ČETVRTI ČRNOMEREC</t>
  </si>
  <si>
    <t>01.05.2019.</t>
  </si>
  <si>
    <t>VOĐENJE PROJEKTA NAD IZGRADNJOM KOLEKTORA DUBRAVICA (1. i 3. dionice)</t>
  </si>
  <si>
    <t>IZRADA IDEJNOG, GLAVNOG I IZVEDBENOG PROJEKTA ZA REKONSTRUKCIJU VODOOPSKRBNOG CJEVOVODA U ULICI RIMSKI JARAK</t>
  </si>
  <si>
    <t>19.09.2018.</t>
  </si>
  <si>
    <t>IZVOĐENJE GRAĐEVINSKIH RADOVA NA ODRŽAVANJU DISTRIBUCIJSKOG SUSTAVA</t>
  </si>
  <si>
    <t>ELEKTRO RADOVI TOPLINSKE STANICE TE-TO 50/6</t>
  </si>
  <si>
    <t>IZRADA PROJEKTA REKONSTRUKCIJE TRAFOSTANICE TS 491 I PROJEKTA GLAVNE ELEKTROENERGETSKE MREŽE NA LOKACIJI HEIZELOVA 64-68</t>
  </si>
  <si>
    <t>POSTAVLJANJE OGRADA OKO VODOCRPILIŠTA</t>
  </si>
  <si>
    <t>ANALIZA SADAŠNJEG STANJA I USKLAĐENJE SA SMJERNICAMA ZA IZRADU STRATEGIJE UPRAVLJANJA NEKRETNINAMA ZAGREBAČKOG HOLDINGA d.o.o.</t>
  </si>
  <si>
    <t>STROJARSKI RADOVI TOPLINSKE STANICE TE-TO 50/6</t>
  </si>
  <si>
    <t>HITNA IZVEDBA I SANACIJA VODOOPSKRBNIH PRIKLJUČAKA - ISTOK</t>
  </si>
  <si>
    <t>HITNA IZVEDBA I SANACIJA VODOOPSKRBNIH PRIKLJUČAKA - JUG</t>
  </si>
  <si>
    <t>HITNA IZVEDBA I SANACIJA VODOOPSKRBNIH PRIKLJUČAKA - OGRANCI</t>
  </si>
  <si>
    <t>HITNA IZVEDBA I SANACIJA VODOOPSKRBNIH PRIKLJUČAKA - ZAPAD</t>
  </si>
  <si>
    <t>HITNA IZGRADNJA I REKONSTRUKCIJA PRIKLJUČAKA ODVODNJE NA ISTOČNOM DIJELU GRADA ZAGREBA</t>
  </si>
  <si>
    <t>HITNA IZGRADNJA I REKONSTRUKCIJA PRIKLJUČAKA ODVODNJE NA ZAPADNOM DIJELU GRADA ZAGREBA</t>
  </si>
  <si>
    <t>IZMJENA VODOMJERA NA ADRESAMA KORISNIKA U JUŽNOM DIJELU ZAGREBA</t>
  </si>
  <si>
    <t>IZMJENA VODOMJERA NA ADRESAMA KORISNIKA U ZAPADNOM DIJELU ZAGREBA</t>
  </si>
  <si>
    <t>POPRAVAK I REDOVNO ODRŽAVANJE POKRETNIH STUBA U POTHODNIKU GLAVNI KOLODVOR</t>
  </si>
  <si>
    <t>HITAN PRIJEVOZ I ZBRINJAVANJE ZEMLJE SA DEPONIJA ISPOSTAVE SAMOBOR PO INSPEKCIJSKOM NALOGU</t>
  </si>
  <si>
    <t>HITNA IZVEDBA VODOOPSKRBNIH PRIKLJUČAKA U NASELJU STARO BRESTJE</t>
  </si>
  <si>
    <t>SANACIJA PROMETNICA I DRUGIH JAVNIH POVRŠINA KOD IZGRADNJE I SANACIJE MREŽE VODOOPSKRBE I ODVODNJE IZVAN GRADA ZAGREBA</t>
  </si>
  <si>
    <t>IZGRADNJA NOVE PLINSKE MREŽE STP SESVETE SJEVER, BELOVAR-MORAVČE-ADAMOVEC</t>
  </si>
  <si>
    <t>CRPKE S POGONOM NA MOTOR S UNUTRAŠNJIM SAGORIJEVANJEM</t>
  </si>
  <si>
    <t>IZRADA IDEJNOG, GLAVNOG I IZVEDBENOG PROJEKTA REKONSTRUKCIJE VODOOPSKRBNIH AZBESTNO-CEMENTNIH CJEVOVODA DN 80 mm NA MEDVEDSKOM BREGU</t>
  </si>
  <si>
    <t>ORGANIZACIJA EDUKATIVNO ZABAVNIH AKTIVNOSTI</t>
  </si>
  <si>
    <t>92300000-4</t>
  </si>
  <si>
    <t>SPASILAČKE USLUGE</t>
  </si>
  <si>
    <t>92332000-7</t>
  </si>
  <si>
    <t>OBNAVLJANJE I RECERTIFICIRANJE SUSTAVA SUKLADNO NORMAMA NIZA HRN EN, ISO, IEC, ETS I DIN</t>
  </si>
  <si>
    <t>72225000-8</t>
  </si>
  <si>
    <t>24.05.2017.</t>
  </si>
  <si>
    <t>PROBNA ISPITIVANJA VEZANA UZ ISPITIVANJE KVALITETE UGRADNJE MATERIJALA (CIJEVI , FAZONA, ARMATURE) - KANALIZACIJSKE CIJEVI NA MIN. TLAČNU ČVRSTOĆU, A ZA VODOVODNE CIJEVI I FAZONE UNUTARNJI TLAK, ODNOSNO NA KARAKTERISTIKE KOJE SU DEFINIRANE NORMOM, PROJEKTNOM DOKUMENTACIJOM I DEKLARACIJOM PROIZVOĐAČA</t>
  </si>
  <si>
    <t>03.07.2017.</t>
  </si>
  <si>
    <t>STRUČNI NADZOR NAD IZGRADNJOM VODOOPSKRBNOG CJEVOVODA U ULICAMA FERKI I DETIŠĆAK</t>
  </si>
  <si>
    <t>STRUČNI NADZOR NAD IZGRADNJOM PRECRPNE STANICE I VODOOPSKRBNOG CJEVOVOD U ULICI MILKE TRNINE NA PODRUČJU SAMOBORA</t>
  </si>
  <si>
    <t>IZRADA IDEJNOG, GLAVNOG I IZVEDBENOG PROJEKTA IZGRADNJE ODVODNJE ZAPADNOG OGRANKA ULICE DONJE PREKRIŽJE</t>
  </si>
  <si>
    <t>14.11.2017.</t>
  </si>
  <si>
    <t>REZERVNI DIJELOVI I ODRŽAVANJE USPINJAČE</t>
  </si>
  <si>
    <t>50530000-9</t>
  </si>
  <si>
    <t>11.01.2018.</t>
  </si>
  <si>
    <t>ODRŽAVANJE I NADOGRADNJA INTRANET SUSTAVA ZAGREBAČKOG HOLDINGA I APLIKACIJSKOG MODULA ZA UPRAVLJANJE SJEDNICAMA</t>
  </si>
  <si>
    <t>16.01.2018.</t>
  </si>
  <si>
    <t>SANACIJA VLAGE I TOPLINSKO OSLOJAVANJE ZIDOVA I POTPORNIH STUPOVA U OBJ. 15</t>
  </si>
  <si>
    <t>45320000-6</t>
  </si>
  <si>
    <t>12.01.2018.</t>
  </si>
  <si>
    <t>STRUČNI NADZOR NAD UGRADNJOM DIZALA U UPRAVNOJ ZGRADI PODRUŽNICE ČISTOĆA</t>
  </si>
  <si>
    <t>10.01.2018.</t>
  </si>
  <si>
    <t>POSTAVLJANJE INSTALACIJA PLINA, CENTRALNOG GRIJANJA, VENTILACIJSKE OPREME I KLIMATIZACIJSKOG UREĐAJA NA LABORATORIJU RADNE JEDINICE PROIZVODNJA ASFALTA U RAKITJU</t>
  </si>
  <si>
    <t>45330000-9</t>
  </si>
  <si>
    <t>09.01.2018.</t>
  </si>
  <si>
    <t>ADAPTACIJA RADIONICE SETOVA</t>
  </si>
  <si>
    <t>IZRADA IDEJNOG, GLAVNOG I IZVEDBENOG PROJEKTA IZGRADNJE SUSTAVA SANITARNE ODVODNJE VRHA MEDVEDNICE</t>
  </si>
  <si>
    <t>18.01.2018.</t>
  </si>
  <si>
    <t>ODRŽAVANJE INSTALACIJA JAVNE RASVJETE</t>
  </si>
  <si>
    <t>50232000-0</t>
  </si>
  <si>
    <t>UREĐENJE SANITARNOG ČVORA U RADNIČKIM PROSTORIJAMA DVORIŠNE ZGRADE NA MIROGOJU - II FAZA</t>
  </si>
  <si>
    <t>22.01.2018.</t>
  </si>
  <si>
    <t>ELEKTRIČNI ALATI</t>
  </si>
  <si>
    <t>REZERVNI DIJELOVI, REDOVNO I IZVANREDNO ODRŽAVANJE SUSTAVA TEHNIČKE ZAŠTITE U AUTOBUSNOM POGONU DUBRAVA</t>
  </si>
  <si>
    <t>FUNKCIONALNO ISPITIVANJE I ATESTIRANJE USPINJAČE PREMA ZAKONU O ŽIČARAMA</t>
  </si>
  <si>
    <t>26.01.2018.</t>
  </si>
  <si>
    <t>USLUGE POLJOPRIVREDNOG VJEŠTAČENJA VRIJEDNOSTI ZEMLJIŠTA I NAKNADA ŠTETA NA ZEMLJIŠTU I POLJOPRIVREDNIM KULTURAMA KOD IZGRADNJE OBJEKATA I UREĐAJA VODOOPSKRBE I ODVODNJE</t>
  </si>
  <si>
    <t>NOVELACIJA TEHNIČKE DOKUMENTACIE ZA SABIRNI KANAL SESVETE SA CRPNOM STANICOM I PRELJEVNO-RETENCIJSKI BAZEN SESVETE</t>
  </si>
  <si>
    <t>IZRADA IDEJNOG, GLAVNOG I IZVEDBENOG PROJEKTA IZGRADNJE I REKONSTRUKCIJE VODOOPSKRBNOG CJEVOVODA U ULICI KORENOVA</t>
  </si>
  <si>
    <t>IZRADA IDEJNOG, GLAVNOG I IZVEDBENOG PROJEKTA REKONSTRUKCIJE JAVNOG KANALA U PRERADOVIĆEVOJ ULICI</t>
  </si>
  <si>
    <t>REKONSTRUKCIJA VODOOPSKRBNOG CJEVOVODA U ULICI CIKLAMA</t>
  </si>
  <si>
    <t>11.05.2018.</t>
  </si>
  <si>
    <t>IZRADA IDEJNOG, GLAVNOG I IZVEDBENOG PROJEKTA REKONSTRUKCIJE JAVNIH KANALA U ULICAMA PALIĆ I PALIĆ MALI</t>
  </si>
  <si>
    <t>10.05.2018.</t>
  </si>
  <si>
    <t>ODRŽAVANJE DIZALA U JAMSTVENOM ROKU</t>
  </si>
  <si>
    <t>IZRADA IDEJNOG, GLAVNOG I IZVEDBENOG PROJEKTA ZA IZGRADNJU VODOOPSKRBNOG CJEVOVODA U ULICI KRIŽNOG PUTA OD KONJŠČINSKE ULICE DO ZAVIDIČKE ULICE</t>
  </si>
  <si>
    <t>17.05.2018.</t>
  </si>
  <si>
    <t>IZGRADNJA VODOOPSKRBNOG CJEVOVODA DO K.Č. BR. 287/2 K.O. ŽITNJAK</t>
  </si>
  <si>
    <t>NAJAM LABUDICA, DIZALICA, AUTOLJESTVI I AUTODIZALICA</t>
  </si>
  <si>
    <t>45510000-5</t>
  </si>
  <si>
    <t>IZRADA IDEJNOG, GLAVNOG I IZVEDBENOG PROJEKTA REKONSTRUKCIJE VODOOPSKRBNOG CJEVOVODA U ŽUTOM BREGU</t>
  </si>
  <si>
    <t>IZRADA IDEJNOG, GLAVNOG I IZVEDBENOG PROJEKTA ZA REKONSTRUKCIJE JAVNIH KANALA U ŽUTOM BREGU</t>
  </si>
  <si>
    <t>IZRADA IDEJNOG, GLAVNOG I IZVEDBENOG PROJEKTA IZGRADNJE VODOOPSKRBNOG CJEVOVODA U NOVAČKOJ ULICI DO K.Č. 2034/1 K.O. DUBRAVA</t>
  </si>
  <si>
    <t>IZGRADNJA VODOOPSKRBNOG CJEVOVODA U NOVAČKOJ ULICI U ZAGREBU</t>
  </si>
  <si>
    <t>21.06.2018.</t>
  </si>
  <si>
    <t>IZRADA IDEJNOG, GLAVNOG I IZVEDBENOG PROJEKTA IZGRADNJE VODOOPSKRBNOG CJEVOVODA I JAVNOG KANALA U ULICI PRILESJE</t>
  </si>
  <si>
    <t>IZRADA IDEJNOG, GLAVNOG I IZVEDBENOG PROJEKTA IZGRADNJE JAVNOG KANALA U ULICI NOVI PETRUŠEVAC 1a - 1h</t>
  </si>
  <si>
    <t>IZGRADNJA JAVNOG KANALA U ODVOJKU BOSUTSKE ULICE</t>
  </si>
  <si>
    <t>KOORDINATOR STRUČNOG PROJEKTNOG TIMA NA IZRADI STUDIJE IZVODLJIVOSTI, STUDIJE O UTJECAJU NA OKOLIŠ I APLIKACIJE ZA PRIJAVU PROJEKTA „PROJEKT ZAGREB 2018" ZA SUFINANCIRANJE IZ EU FONDOVA</t>
  </si>
  <si>
    <t>IZRADA IDEJNOG, GLAVNOG I IZVEDBENOG PROJEKTA IZGRADNJE JAVNOG KANALA U ODVOJKU SLANOVEČKE CESTE ZA K.BR. 79-81</t>
  </si>
  <si>
    <t>ODRŽAVANJE PROGRAMSKIH MODULA SUSTAVA ZAGREBDATA</t>
  </si>
  <si>
    <t>IZRADA IDEJNOG, GLAVNOG I IZVEDBENOG PROJEKTA ZA IZGRADNJU VODOOPSKRBNOG CJEVOVODA U RADNIČKOJ ULICI, OGRANAK OD K.BR. 48 DO ULICE SLAVKA KOVAČIĆA U SESVETAMA</t>
  </si>
  <si>
    <t>IZRADA IDEJNOG, GLAVNOG I IZVEDBENOG PROJEKTA IZGRADNJE VODOOPSKRBNOG CJEVOVODA U DIJELU INDUSTRIJSKE CESTE DO ULICE 4 U SESVETAMA</t>
  </si>
  <si>
    <t>03.08.2018.</t>
  </si>
  <si>
    <t>IZRADA IDEJNOG, GLAVNOG I IZVEDBENOG PROJEKTA IZGRADNJE VODOOPSKRBNOG CJEVOVODA U PRODUŽENOJ BRANIMIROVOJ ULICI U SESVETAMA (OD ZAGREBAČKE CESTE DO BRESTOVEČKE ULICE)</t>
  </si>
  <si>
    <t>IZRADA IDEJNOG, GLAVNOG I IZVEDBENOG PROJEKTA IZGRADNJE VODOOPSKRBNOG CJEVOVODA U II. ZAGORSKOJ ULICI OD K.BR. 2C DO ZAGORSKE ULICE</t>
  </si>
  <si>
    <t>IZRADA GLAVNOG I IZVEDBENOG PROJEKTA IZGRADNJE VODOOPSKRBNOG CJEVOVODA U DIJELU ULICE 4 OD INDUSTRIJSKE CESTE DO 110 kV TRAFOSTANICE U SESVETAMA</t>
  </si>
  <si>
    <t>NEISKREĆI ALAT</t>
  </si>
  <si>
    <t>28620000-4</t>
  </si>
  <si>
    <t>HIDROGEOLOŠKI ISTRAŽNI RADOVI S ELABORATOM ZA IZVORIŠTE JELENSKE VODICE</t>
  </si>
  <si>
    <t>74271000-9</t>
  </si>
  <si>
    <t>ODRŽAVANJE - SERVIS BLOK STANICA</t>
  </si>
  <si>
    <t>IZGRADNJA JAVNOG KANALA U ULICI GRGE FRANJE PUĐAKA - ODVOJAK DO K.BR. 22 c</t>
  </si>
  <si>
    <t>USLUGA PROCJENE TRŽIŠNE VRIJEDNOSTI NEKRETNINA ZA POTREBE IZGRADNJE OBJEKATA VODOOPSKRBE I ODVODNJE d.o.o.</t>
  </si>
  <si>
    <t>LIMNIGRAF ZA PIEZOMETRE</t>
  </si>
  <si>
    <t>NOVELACIJA PROJEKTNE DOKUMENTACIJE ZA IZGRADNJU KANALIZACIJSKE MREŽE NASELJA STARO BRESTJE U SLIVU DOLINSKOG KANALA "BRESTJE" - ZAPADNO OD BRESTOVEČKE CESTE</t>
  </si>
  <si>
    <t>IZRADA IDEJNOG, GLAVNOG I IZVEDBENOG PROJEKTA IZGRADNJE UREĐAJA ZA PROČIŠĆAVANJE OTPADNIH VODA VRHA MEDVEDNICE</t>
  </si>
  <si>
    <t>IZRADA IDEJNOG, GLAVNOG I IZVEDBENOG PROJEKTA ZA REKONSTRUKCIJU VODOOPSKRBNOG CJEVOVODA U ULICI BARUTANSKI JARAK</t>
  </si>
  <si>
    <t>IZRADA IZVEDBENOG PROJEKTA IZGRADNJE KOLEKTORA ČULINEČKA - DIONICA OD TRNAVE DO SLAVONSKE AV. I IZRADA IDEJNOG, GLAVNOG I IZVEDBENOG PROJEKTA IZMJEŠTANJA VODOOPSKRBNOG CJEVOVODA NA TRASI KOLEKTORA</t>
  </si>
  <si>
    <t>ODRŽAVANJE I NADOGRADNJA INFORMACIJSKOG SUSTAVA ZA UPRAVLJANJE KOLIČINAMA PRIRODNOG PLINA (UPKPP)</t>
  </si>
  <si>
    <t>IZRADA IDEJNOG, GLAVNOG I IZVEDBENOG PROJEKTA ISPUSTA KOLEKTORA HORVAĆANSKA U RIJEKU SAVU </t>
  </si>
  <si>
    <t>IZGRADNJA VODOOPSKRBNOG CJEVOVODA U NASTAVKU ULICE MARKUŠEVAČKA DUBRAVA</t>
  </si>
  <si>
    <t>IZGRADNJA VODOOPSKRBNOG CJEVOVODA U ULICI 5. KOZARI PUT 11C-11B</t>
  </si>
  <si>
    <t>ODRŽAVANJE I NADOGRADNJA POSLOVNO INFORMACIJSKIH SUSTAVA PosIS I UPN</t>
  </si>
  <si>
    <t>STRUČNI NADZOR NAD IZGRADNJOM VODOOPSKRBNOG CJEVOVODA U ULICI JANDRIĆEVA I NAUMOVAC</t>
  </si>
  <si>
    <t>07.10.2016.</t>
  </si>
  <si>
    <t>STRUČNI NADZOR NAD SANACIJOM SN I NN POSTROJENJA - SAŠNJAK</t>
  </si>
  <si>
    <t>10.10.2016.</t>
  </si>
  <si>
    <t>STRUČNI NADZOR NAD IZGRADNJOM SUSTAVA ODVODNJE PODRUČJA PANTOVČAK - DONJE PREKRIŽJE - KRALJEVEC</t>
  </si>
  <si>
    <t>16.11.2016.</t>
  </si>
  <si>
    <t>VOĐENJE PROJEKTA NAD IZGRADNJOM SABIRNOG KANALA I MREŽE KUPINEČKI KRALJEVEC I. ETAPA - BREZOVICA</t>
  </si>
  <si>
    <t>21.12.2016.</t>
  </si>
  <si>
    <t>IZRADA IDEJNOG, GLAVNOG I IZVEDBENOG PROJEKTA JAVNIH KANALA U ODVOJKU ULICE BREG I KLANJEC, NASELJE ĐURĐEKOVEC</t>
  </si>
  <si>
    <t>Izmjena ugovora temeljem članka 320 stavak 1. ZJN2016 i produljenje roka</t>
  </si>
  <si>
    <t>ANALIZA TROŠKOVA I KORISTI (CBA) ZA PROJEKT MODERNIZACIJE TRAMVAJSKE INFRASTRUKTURE NA PODRUČJU GRADA ZAGREBA</t>
  </si>
  <si>
    <t>IZRADA STUDIJE IZVODLJIVOSTI ZA PROJEKT MODERNIZACIJE TRAMVAJSKE INFRASTRUKTURE NA PODRUČJU GRADA ZAGREBA</t>
  </si>
  <si>
    <t>STRUČNI NADZOR NAD REKONSTRUKCIJOM KOTLOVNICE NA PRIRODNI PLIN UZ UGRADNJU KOTLA NA DRVNU SJEČKU NA LOKACIJI REMETINEC</t>
  </si>
  <si>
    <t>REZERVNI DIJELOVI I POPRAVAK ASFALTNIH POSTROJENJA</t>
  </si>
  <si>
    <t>PRUŽANJE GEODETSKIH USLUGA ZA POTREBE OBJEKATA NA MORSKIM LOKACIJAMA</t>
  </si>
  <si>
    <t>06.06.2018.</t>
  </si>
  <si>
    <t>IZRADA PROJEKATA ZA SANACIJU POTPORNOG ZIDA I NOSIVE ČELIČNE KONSTRUKCIJE NA LOKACIJI HEINZELOVA 66-68</t>
  </si>
  <si>
    <t>PRILAGODBA PJEŠAČKIH POVRŠINA SLABOVIDNIM OSOBAMA I OSOBAMA SMANJENE POKRETLJIVOSTI</t>
  </si>
  <si>
    <t>SAVJETOVANJE U PODRUČJU OBRAČUNA PLAĆE</t>
  </si>
  <si>
    <t>POPRAVAK TAHOGRAFA</t>
  </si>
  <si>
    <t>IZGRADNJA POTPORNIH ZIDOVA NA LOKACIJI VIII POŽARINJE</t>
  </si>
  <si>
    <t>POREZNO SAVJETOVANJE</t>
  </si>
  <si>
    <t>74122000-0</t>
  </si>
  <si>
    <t>IZRADA PROJEKTA MEHANIČKE OTPORNOSTI I STABILNOSTI OBJEKTA 9B NA LOKACIJI HEINZELOVA 66-68</t>
  </si>
  <si>
    <t>PREUZIMANJE I DALJNJA OBRADA OTPADA KB 20 01 10 (ODJEĆA) I KB 20 01 11 (TEKSTILI)</t>
  </si>
  <si>
    <t>SAVJETOVANJE U PODRUČJU SIGURNOSTI</t>
  </si>
  <si>
    <t>DOPUNA PROJEKTNE DOKUMENTACIJE I TROŠKOVNIKA IZGRADNJE GARAŽA I OTVORENIH NATKRIVENIH SKLADIŠTA SA PRIPADAJUĆOM KOMUNALNOM INFRASTRUKTUROM NA SOC JAKUŠEVEC</t>
  </si>
  <si>
    <t>SANACIJA TOPLOVODA NA LOKACIJAMA PODRUŽNICE ČISTOĆA</t>
  </si>
  <si>
    <t>IZRADA PROJEKTNE DOKUMENTACIJE SANACIJA OSNOVNE ŠKOLE SESVETSKA SELA, DJEČJEG VRTIĆA LANIŠTE I DJEČJEG VRTIĆA MEDO BRUNDO</t>
  </si>
  <si>
    <t>PRILAGODBA I INTEGRACIJA SUSTAVA ZA ZAPRIMANJE E-RAČUNA</t>
  </si>
  <si>
    <t>IZRADA PROJEKTA SANACIJE HIDROIZOLACIJE U PROSTORU ARHIVA U ZGRADI DIREKCIJE ZAGREBAČKOG HOLDINGA d.o.o.</t>
  </si>
  <si>
    <t>IZRADA PROJEKTNE DOKUMENTACIJE SANACIJE EVAKUACIJSKOG STUBIŠTA UPRAVNE ZGRADE PODRUŽNICE ČISTOĆA</t>
  </si>
  <si>
    <t>SANACIJA OŠTEĆENOG POTPORNOG ZIDA NA LOKACIJI HEINZELOVA 66-68</t>
  </si>
  <si>
    <t>RAMPE S UGRADNJOM ZA SPREČAVANJE PROLAZA VOZILA</t>
  </si>
  <si>
    <t>29816000-2</t>
  </si>
  <si>
    <t>IZRADA PROJEKTNE DOKUMENTACIJE UREĐENJA GOSPODARSKOG DVORIŠTA NA LOKACIJI GROBLJA MIROŠEVAC</t>
  </si>
  <si>
    <t>PREUZIMANJE I DALJNJA OBRADA OTPADA - PLASTIKE U GRADSKIM ČETVRTIMA GORNJA DUBRAVA, DONJA DUBRAVA I SESVETE</t>
  </si>
  <si>
    <t>PREUZIMANJE I DALJNJA OBRADA OTPADA - PLASTIKE U GRADSKIM ČETVRTIMA NOVI ZAGREB-ZAPAD I NOVI ZAGREB-ISTOK</t>
  </si>
  <si>
    <t>PREUZIMANJE I DALJNJA OBRADA OTPADA - PLASTIKE U GRADSKOJ ČETVRTI DONJI GRAD</t>
  </si>
  <si>
    <t>PREUZIMANJE I DALJNJA OBRADA OTPADA - PLASTIKE U GRADSKOJ ČETVRTI TREŠNJEVKA JUG</t>
  </si>
  <si>
    <t>IZRADA SCENARIJA I SCENOGRAFIJE ZA DJEČJU EDUKATIVNO-EKOLOŠKU PREDSTAVU "ČISTOGRAD"</t>
  </si>
  <si>
    <t>92310000-7</t>
  </si>
  <si>
    <t>PREUZIMANJE I DALJNJA OBRADA OTPADA KB 20 01 11, TEKSTILI</t>
  </si>
  <si>
    <t>SKLADIŠTENJE OTPADA KB 20 01 38 (DRVO KOJE NE SADRŽI OPASNE TVARI)</t>
  </si>
  <si>
    <t>IZRADA STUDIJE IZVODLJIVOSTI SORTIRANJA ODVOJENO PRIKUPLJENE OTPADNE PLASTIČNE I METALNE AMBALAŽE NA PODRUČJU GRADA ZAGREBA</t>
  </si>
  <si>
    <t>74230000-0</t>
  </si>
  <si>
    <t>PREUZIMANJE I DALJNJA OBRADA DRVETA KOJE NE SADRŽI OPASNE TVARI PRIKUPLJENOG NA RECIKLAŽNIM DVORIŠTIMA</t>
  </si>
  <si>
    <t>PREUZIMANJE I DALJNJA OBRADA DRVETA KOJE NE SADRŽI OPASNE TVARI SA SKLADIŠTA NARUČITELJA</t>
  </si>
  <si>
    <t>PREUZIMANJE I DALJNJA OBRADA MIJEŠANOG NERAZVRSTANOG OTPADA S GROBLJA</t>
  </si>
  <si>
    <t>SANACIJA DIJELA KROVA NA BAZENSKOM KOMPLEKSU SVETICE</t>
  </si>
  <si>
    <t>POPRAVAK, REZERVNI DIJELOVI I POTROŠNI MATERIJAL PRINTERA</t>
  </si>
  <si>
    <t>50310000-1</t>
  </si>
  <si>
    <t>UNIFORME VATROGASNE</t>
  </si>
  <si>
    <t>18115000-8</t>
  </si>
  <si>
    <t>05.01.2018.</t>
  </si>
  <si>
    <t>IZGRADNJA SVJETLOVODNE DISTRIBUCIJSKE MREŽE U NASELJU PODBREŽJE</t>
  </si>
  <si>
    <t>KLIMA UREĐAJI</t>
  </si>
  <si>
    <t>SANACIJA FONTANE NA TRGU ŽRTAVA FAŠIZMA</t>
  </si>
  <si>
    <t>09.02.2018.</t>
  </si>
  <si>
    <t>SANACIJA TERASA I KROVIŠTA NA LOKACIJI HOSTELA CVRČAK U DUGOJ UVALI</t>
  </si>
  <si>
    <t>45260000-7</t>
  </si>
  <si>
    <t>ODRŽAVANJE I POPRAVCI URBANE OPREME I KOMUNALNIH INSTALACIJA NA TRGU BANA JOSIPA JELAČIĆA</t>
  </si>
  <si>
    <t>IZGRADNJA DTK ZA ŽIČARU SLJEME</t>
  </si>
  <si>
    <t>IZMJENA I DOPUNA GLAVNOG PROJEKTA REKONSTRUKCIJE SABIRNOG KANALA MIROŠEVEČKA CESTA</t>
  </si>
  <si>
    <t>INTERVENTNO ČIŠĆENJE DIJELA KANALSKOG SUSTAVA GRADA ZAGREBA</t>
  </si>
  <si>
    <t>ODRŽAVANJE I NADOGRADNJA INFORMACIJSKOG SUSTAVA "CENTRIX" GRADSKE PLINARE ZAGREB - OPSKRBA d.o.o.</t>
  </si>
  <si>
    <t>ODRŽAVANJE I SISTEMSKA PROGRAMSKA PODRŠKA ZA DMS SUSTAV DOCUWARE</t>
  </si>
  <si>
    <t>72521000-3</t>
  </si>
  <si>
    <t>KOLOKACIJA IT INFRASTRUKTURE ZA GRADSKU PLINARU ZAGREB - OPSKRBA d.o.o.</t>
  </si>
  <si>
    <t>72570000-1</t>
  </si>
  <si>
    <t>ODRŽAVANJE I NADOGRADNJA INTRANET PORTALA GPZ - OPSKRBE NA MS SHARE POINT SERVER 2016 PLATFORMI</t>
  </si>
  <si>
    <t>DNEVNO I PERIODIČNO ČIŠĆENJE I PRANJE POSLOVNIH PROSTORA ZA POTREBE GRADSKE PLINARE ZAGREB - OPSKRBA d.o.o.</t>
  </si>
  <si>
    <t>30.05.2018.</t>
  </si>
  <si>
    <t>URBANO KOMUNALNA OPREMA</t>
  </si>
  <si>
    <t>ODRŽAVANJE I POPRAVAK RASVJETE U PJEŠAČKIM PROLAZIMA</t>
  </si>
  <si>
    <t>POSTAVA HIDROTERAPIJSKE OPREME I BAZENA ZA REHABILITACIJU PASA</t>
  </si>
  <si>
    <t>OPREMA ZA FONTANE</t>
  </si>
  <si>
    <t>31000000-6</t>
  </si>
  <si>
    <t>SERVIS, POPRAVAK, REZERVNI DIJELOVI, ISPITIVANJE I OVJERAVANJE OPREME ZA DETEKCIJU PLINOVA</t>
  </si>
  <si>
    <t>ZAPRIMANJE I POLAGANJE NOVCA NA ŽIRO RAČUN GRADSKE PLINARE ZAGREB - OPSKRBA d.o.o.</t>
  </si>
  <si>
    <t>66110000-4</t>
  </si>
  <si>
    <t>OPREMA ZA KLORIRANJE NA OBJEKTU SLAPNICA S UGRADNJOM</t>
  </si>
  <si>
    <t>29871000-5</t>
  </si>
  <si>
    <t>PROVOĐENJE POSTUPKA USKLAĐIVANJA AKATA, DONOŠENJE NOVIH PRAVNIH AKATA, ODLUKA I IZJAVA U SKLADU S OPĆOM UREDBOM (EU) 2016/679 I ZAKONOM O PROVEDBI OPĆE UREDBE O ZAŠTITI PODATAKA (NN 42/18)</t>
  </si>
  <si>
    <t>17.08.2018.</t>
  </si>
  <si>
    <t>USLUGA ZBRINJAVANJA OTPADA ZA GRADSKU PLINARU ZAGREB - OPSKRBA d.o.o.</t>
  </si>
  <si>
    <t>PROTUPROVALNI ALARMNI SUSTAVI I OPREMA</t>
  </si>
  <si>
    <t>POSTAVA NN ELEKTROINSTALACIJA ZA DODATNU POTROŠNJU ELEKTRIČNE ENERGIJE U POSLOVNIM PROSTORIMA NA LOKACIJI PATAČIĆKINA 1B</t>
  </si>
  <si>
    <t>USLUGA POZIVNOG CENTRA VODOOPSKRBE I ODVODNJE d.o.o.</t>
  </si>
  <si>
    <t>SUSTAV VIDEONADZORA S UGRADNJOM ZA VODOOPSKRBU I ODVODNJU d.o.o.</t>
  </si>
  <si>
    <t>SAVJETODAVNE USLUGE ZA POTREBE PRIPREME DALJNJEG PROGRAMIRANJA PAKETNE PROGRAMSKE PODRŠKE PROGRAMA VJERNOSTI GPZ-O d.o.o.</t>
  </si>
  <si>
    <t>72200000-7</t>
  </si>
  <si>
    <t>06.11.2018.</t>
  </si>
  <si>
    <t>PRANJE I ODRŽAVANJE BUKOBRANA NA JADRANSKOJ AVENIJI KOD SPORTSKE DVORANE ARENA ZAGREB</t>
  </si>
  <si>
    <t>PROGRAM ZA ZAŠTITU NA RADU</t>
  </si>
  <si>
    <t>72211000-7</t>
  </si>
  <si>
    <t>KONTEJNERI ZA POSEBNE NAMJENE</t>
  </si>
  <si>
    <t>34221000-2</t>
  </si>
  <si>
    <t>ODRŽAVANJE I POPRAVAK AUTOMATSKE RAMPE PROIZVOĐAČA BFT S.p.A. TIP MOOVI 30</t>
  </si>
  <si>
    <t>BRAVARSKE USLUGE</t>
  </si>
  <si>
    <t>STRUČNE KNJIGE, ČASOPISI I KATALOZI</t>
  </si>
  <si>
    <t>22200000-2</t>
  </si>
  <si>
    <t>MANEVARSKO STRELJIVO ZA GRIČKI TOP</t>
  </si>
  <si>
    <t>29640000-7</t>
  </si>
  <si>
    <t>SANACIJA RESTORANA I SPAVAONICA U PRIZEMLJU HOSTELA CVRČAK U DUGOJ UVALI</t>
  </si>
  <si>
    <t>IZGRADNJA SVJETLOVODNE DISTRIBUCIJSKE MREŽE U LOVINČIĆEVOJ ULICI</t>
  </si>
  <si>
    <t>REDOVNO ODRŽAVANJE I POPRAVAK AUTOMATSKIH RAMPI ZA KONTROLU PROMETA</t>
  </si>
  <si>
    <t>USLUGA ELEKTRONIČKE RAZMJENE RAČUNA</t>
  </si>
  <si>
    <t>67141000-7</t>
  </si>
  <si>
    <t>STRUČNI NADZOR NAD IZGRADNJOM SVJETLOVODNE DISTRIBUCIJSKE MREŽE NA RUDEŠKOJ CESTI</t>
  </si>
  <si>
    <t>STRUČNI NADZOR NAD IZGRADNJOM SVJETLOVODNE DISTRIBUCIJSKE MREŽE U LOVINČIĆEVOJ ULICI</t>
  </si>
  <si>
    <t>SANACIJA FONTANE IZVOR</t>
  </si>
  <si>
    <t>OPREMA ZA KLORIRANJE NA OBJEKTU MALA MLAKA S UGRADNJOM</t>
  </si>
  <si>
    <t>ODRŽAVANJE PLINSKIH BOJLERA</t>
  </si>
  <si>
    <t>50531000-6</t>
  </si>
  <si>
    <t>HITNE INTERVENCIJE NA VODOVODNIM I KANALIZACIJSKIM INSTALACIJAMA</t>
  </si>
  <si>
    <t>PRERAĐENO VOĆE I POVRĆE</t>
  </si>
  <si>
    <t>15330000-0</t>
  </si>
  <si>
    <t>29.12.2017.</t>
  </si>
  <si>
    <t>ODRŽAVANJE APLIKACIJA INFORMACIJSKOG SUSTAVA STEP</t>
  </si>
  <si>
    <t>NAJAM VILIČARA</t>
  </si>
  <si>
    <t>25.05.2018.</t>
  </si>
  <si>
    <t>VETERINARSKE DJELATNOSTI NA PODRUČJU GRADA ZAGREBA</t>
  </si>
  <si>
    <t>85200000-1</t>
  </si>
  <si>
    <t>SPECIJALNO KEMIJSKO SREDSTVO ZA ODVAJANJE BITUMENSKIH MJEŠAVINA</t>
  </si>
  <si>
    <t>24660000-8</t>
  </si>
  <si>
    <t>OSIGURANJE MANAGERSKE ODGOVORNOSTI</t>
  </si>
  <si>
    <t>66337000-1</t>
  </si>
  <si>
    <t>ODRŽAVANJE I OGLAŠAVANJE NA DRUŠTVENIM MREŽAMA</t>
  </si>
  <si>
    <t>74412000-0</t>
  </si>
  <si>
    <t>REZERVNI DIJELOVI, NADOGRADNJA, POTROŠNI MATERIJAL I POPRAVAK SUSTAVA NAPLATE PARKIRANJA NA LOKACIJAMA AVENIJA MARINA DRŽIĆA I JANKOMIR</t>
  </si>
  <si>
    <t>IZRADA IDEJNIH I IZVEDBENIH RJEŠENJA PROMOTIVNIH, EDUKATIVNIH I INFORMATIVNIH MATERIJALA</t>
  </si>
  <si>
    <t>78225000-0</t>
  </si>
  <si>
    <t>MJERNI ELEKTRONIČKI INSTRUMENTI</t>
  </si>
  <si>
    <t>NAJLONSKE NITI ZA TRAVOKOSILICE</t>
  </si>
  <si>
    <t>24714000-2</t>
  </si>
  <si>
    <t>POLIETILENSKE FOLIJE</t>
  </si>
  <si>
    <t>SANACIJA NOSIVE ČELIČNE KONSTRUKCIJE NA LOKACIJI HEINZELOVA 66-68</t>
  </si>
  <si>
    <t>NADZOR NAD MONTAŽOM MODULARNIH KUĆICA NA TRŽNICI DUBEC</t>
  </si>
  <si>
    <t>REDOVNI I IZVANREDNI PREGLED DIZALA</t>
  </si>
  <si>
    <t>STRUČNI NADZOR NAD IZGRADNJOM BETONSKIH GROBNICA, GROBNIH OKVIRA I UGRADNJOM NADGROBNIH ELEMENATA</t>
  </si>
  <si>
    <t>RAČUNALNA OPREMA ZA OSNOVNU ŠKOLU HRVATSKI LESKOVAC</t>
  </si>
  <si>
    <t>IZGRADNJA SVJETLOVODNE DISTRIBUCIJSKE MREŽE</t>
  </si>
  <si>
    <t>METALNE POLICE</t>
  </si>
  <si>
    <t>36141000-1</t>
  </si>
  <si>
    <t>IZRADA IDEJNIH I IZVEDBENIH RJEŠENJA SLIKOVNIH I TEKSTUALNIH MATERIJALA ZA KATALOGE</t>
  </si>
  <si>
    <t>PROMIDŽBA ZAGREBAČKOG HOLDINGA d.o.o.</t>
  </si>
  <si>
    <t>74422000-3</t>
  </si>
  <si>
    <t>IZRADA IDEJNIH I IZVEDBENIH RJEŠENJA GODIŠNJIH IZVJEŠĆA ZGH-a</t>
  </si>
  <si>
    <t>SAVJETOVANJE U PODRUČJU ODNOSA S JAVNOŠĆU</t>
  </si>
  <si>
    <t>RESTORANTSKE USLUGE</t>
  </si>
  <si>
    <t>55300000-3</t>
  </si>
  <si>
    <t>IZRADA STUDIJE TRANSFERNIH CIJENA</t>
  </si>
  <si>
    <t>ODRŽAVANJE HARDVERSKE SISTEMSKE INFRASTRUKTURE ZGH (SERVERI, STOREGE, ...)</t>
  </si>
  <si>
    <t>ODRŽAVANJE I POPRAVAK UPS UREĐAJA</t>
  </si>
  <si>
    <t>RAZNI POTROŠNI MATERIJALI ZA ODRŽAVANJE OBJEKATA ODMARALIŠTA PODRUŽNICA - LOKALNO NARUČIVANJE</t>
  </si>
  <si>
    <t>KNJIGE ZA KNJIŽNICE U DOMOVIMA ZA STARIJE OSOBE</t>
  </si>
  <si>
    <t>22113000-5</t>
  </si>
  <si>
    <t>POPRAVAK I REZERVNI DIJELOVI BAZENSKE TEHNIKE</t>
  </si>
  <si>
    <t>IZRADA IDEJNIH I IZVEDBENIH RJEŠENJA ZA POTREBE PROMIDŽBE MEĐUNARODNE VRTNE IZLOŽBE FLORAART</t>
  </si>
  <si>
    <t>HORTIKULTURNO UREĐENJE OBJEKATA SAVUDRIJA I VELI LOŠINJ</t>
  </si>
  <si>
    <t>RAZNE USLUGE ODRŽAVANJA OBJEKATA ODMARALIŠTA PODRUŽNICA - LOKALNO NARUČIVANJE</t>
  </si>
  <si>
    <t>50000000-5</t>
  </si>
  <si>
    <t>ZAKUP MEDIJSKOG PROSTORA U TJEDNIKU LIDER</t>
  </si>
  <si>
    <t>REZERVNI DIJELOVI, POTROŠNI MATERIJAL I POPRAVAK PRINTERA ZEBRA I AVANSIA-EVOLIS</t>
  </si>
  <si>
    <t>ODRŽAVANJE I POPRAVAK INDUSTRIJSKIH, SEKCIJSKIH, ROLO I GARAŽNIH VRATA</t>
  </si>
  <si>
    <t>UZORKOVANJE I ANALIZA ODLAGALIŠNOG PLINA</t>
  </si>
  <si>
    <t>74312000-9</t>
  </si>
  <si>
    <t>HIDROGEOLOŠKA ANALIZA RADA INTERVENTNOG CRPNOG SUSTAVA NA ODLAGALIŠTU OTPADA JAKUŠEVEC</t>
  </si>
  <si>
    <t>USLUGA CATERINGA</t>
  </si>
  <si>
    <t>55520000-1</t>
  </si>
  <si>
    <t>NAJAM ELEKTRIČNIH VOZILA</t>
  </si>
  <si>
    <t>NALJEPNICE ZA STAKLENE, PVC, METALNE I MRAMORNE POVRŠINE</t>
  </si>
  <si>
    <t>25241000-2</t>
  </si>
  <si>
    <t>PROIZVODI PROGRAMSKE OPREME (LICENCE)</t>
  </si>
  <si>
    <t>REZERVNI DIJELOVI I ODRŽAVANJE SUSTAVA TEHNIČKE ZAŠTITE DIREKCIJE ZGH</t>
  </si>
  <si>
    <t>POLIETILENSKA ZAŠTITNA MREŽA S POSTAVOM</t>
  </si>
  <si>
    <t>MJERENJA EMISIJA ONEČIŠĆUJUĆIH TVARI U ZRAK</t>
  </si>
  <si>
    <t>90314000-1</t>
  </si>
  <si>
    <t>IZRADA IDEJNIH I IZVEDBENIH RJEŠENJA VIZUALNOG IDENTITETA ZAGREBAČKOG HOLDINGA D.O.O.</t>
  </si>
  <si>
    <t>TAPETARSKE USLUGE</t>
  </si>
  <si>
    <t>93940000-9</t>
  </si>
  <si>
    <t>VAGE I UTEZI S AMBALAŽOM</t>
  </si>
  <si>
    <t>29242000-7</t>
  </si>
  <si>
    <t>ODRŽAVANJE, POPRAVAK I REZERVNI DIJELOVI KOMPRESORA PROIZVOĐAČA KAESER I BOGE</t>
  </si>
  <si>
    <t>SERVIS I POPRAVAK KOTLOVA ZA ZAGRIJAVANJE TERMALNOG ULJA PROIZVOĐAČA ĐURO ĐAKOVIĆ</t>
  </si>
  <si>
    <t>SERVIS I POPRAVAK PLINSKIH RAMPI POSTROJENJA ZA PROIZVODNJU ASFALTNIH MJEŠAVINA</t>
  </si>
  <si>
    <t>NAJAM PREDGOTOVLJENIH ZGRADA OD DRVA</t>
  </si>
  <si>
    <t>20330000-8</t>
  </si>
  <si>
    <t>PROMOCIJA APLIKACIJE ZGPARK</t>
  </si>
  <si>
    <t>NAJAM ELEKTROMOBILA ZA PRIJEVOZ POSJETITELJA FOLORAART-a</t>
  </si>
  <si>
    <t>34115000-6</t>
  </si>
  <si>
    <t>RAZNI PROMIDŽBENI MATERIJAL ZA POTREBE MEĐUNARODNE VRTNE IZLOŽBE FLORAART</t>
  </si>
  <si>
    <t>FOTOGRAFSKE USLUGE</t>
  </si>
  <si>
    <t>74811000-7</t>
  </si>
  <si>
    <t>NAJAM AUTOBUSA I TURISTIČKOG VLAKIĆA</t>
  </si>
  <si>
    <t>NAJAM AUDIO I VIDEO OPREME ZA POTREBE MEĐUNARODNE VRTNE IZLOŽBE FLORAART</t>
  </si>
  <si>
    <t>IZRADA VIDEO FILMOVA, SPOTOVA I UMNOŽAVANJE</t>
  </si>
  <si>
    <t>92111000-2</t>
  </si>
  <si>
    <t>UZEMLJENJE OGRADE NA ODLAGALIŠTU OTPADA JAKUŠEVEC</t>
  </si>
  <si>
    <t>45312000-7</t>
  </si>
  <si>
    <t>METLE SIRKOVE</t>
  </si>
  <si>
    <t>POSTAVA MJERAČA VISINE</t>
  </si>
  <si>
    <t>UMJETNIČKO I REPRODUKTIVNO IZVOĐENJE ZA MANIFESTACIJU MEĐUNARODNA VRTNA IZLOŽBA FLORAART</t>
  </si>
  <si>
    <t>STRUČNI NADZOR NAD SANACIJOM SMJEŠTAJNIH KAPACITETA I KUHINJE U KAMPU VELI JOŽE NA LOKACIJI SAVUDRIJA</t>
  </si>
  <si>
    <t>TAHOGRAF LISTIĆI</t>
  </si>
  <si>
    <t>22900000-9</t>
  </si>
  <si>
    <t>REZERVNI DIJELOVI I POPRAVAK VILIČARA RAZNIH PROIZVOĐAČA</t>
  </si>
  <si>
    <t>BRAVARSKI MATERIJALI</t>
  </si>
  <si>
    <t>28630000-7</t>
  </si>
  <si>
    <t>SEFOVI, ARHIVSKI, KARTOTEČNI I LIMENI GARDEROBNI ORMARI</t>
  </si>
  <si>
    <t>SPECIJALNA ODJEĆA, OPREMA I PRIBOR ZA RAD U POSEBNIM UVJETIMA</t>
  </si>
  <si>
    <t>18133000-0</t>
  </si>
  <si>
    <t>GRMLJE CRNOGORICE I BJELOGORICE</t>
  </si>
  <si>
    <t>02513000-3</t>
  </si>
  <si>
    <t>POCINČANI RUBNJACI ZA ODVAJANJE TRAVNATE OD BETONSKE POVRŠINE</t>
  </si>
  <si>
    <t>REZERVNI DIJELOVI, PRIBOR I SERVIS VISOKOTLAČNIH APARATA</t>
  </si>
  <si>
    <t>29247000-2</t>
  </si>
  <si>
    <t>POPRAVAK I REZERVNI DIJELOVI TERETNIH VOZILA</t>
  </si>
  <si>
    <t>50114000-7</t>
  </si>
  <si>
    <t>ODJEVNI DODACI</t>
  </si>
  <si>
    <t>18420000-9</t>
  </si>
  <si>
    <t>ZDRAVSTVENI PREGLEDI RADNIKA</t>
  </si>
  <si>
    <t>SREDSTVA ZA ZAŠTITU BILJA</t>
  </si>
  <si>
    <t>24210000-9</t>
  </si>
  <si>
    <t>MONTAŽA I DEMONTAŽA TRIBINA ZA SJEDENJE U ARENI ZAGREB</t>
  </si>
  <si>
    <t>93900000-7</t>
  </si>
  <si>
    <t>USLUGA UPRAVLJANJA TEHNIČKIM SUSTAVIMA U ARENI ZAGREB</t>
  </si>
  <si>
    <t>74870000-8</t>
  </si>
  <si>
    <t>USLUGA UPRAVLJANJA SIGURNOSNIM SUSTAVIMA U ARENI ZAGREB</t>
  </si>
  <si>
    <t>74611000-5</t>
  </si>
  <si>
    <t>TEHNIČKO-LOGISTIČKA KOORDINACIJA ZA DOGAĐAJE U ARENI ZAGREB</t>
  </si>
  <si>
    <t>74615000-3</t>
  </si>
  <si>
    <t>SUORGANIZACIJA DOGAĐANJA U ARENI ZAGREB</t>
  </si>
  <si>
    <t>MONTAŽA I DEMONTAŽA PARKETA I PODNIH OBLOGA U ARENI ZAGREB</t>
  </si>
  <si>
    <t>DIJELOVI I ODRŽAVANJE ELEKTROMEHANIČKIH I ELEKTROHIDRAULIČNIH RAMPI</t>
  </si>
  <si>
    <t>ODRŽAVANJE I POPRAVAK SUSTAVA DIZEL AGREGATA ZA NUŽNO NAPAJANJE</t>
  </si>
  <si>
    <t>POSUDE, KUTIJE I KAŠETE OD PLASTIKE</t>
  </si>
  <si>
    <t>BIORAZGRADIVO SREDSTVO ZA ODVAJANJE ULJA I MAZIVA</t>
  </si>
  <si>
    <t>24513000-3</t>
  </si>
  <si>
    <t>20.05.2016.</t>
  </si>
  <si>
    <t>TEHNIČKA GUMA I GUMENO-TEHNIČKI PROIZVODI</t>
  </si>
  <si>
    <t>SERVIS, ISPITIVANJE, OVJERAVANJE I REZERVNI DIJELOVI OPREME DRAGER SAFETY</t>
  </si>
  <si>
    <t>POPRAVAK I ODRŽAVANJE HOTELSKE I UGOSTITELJSKE OPREME</t>
  </si>
  <si>
    <t>50880000-7</t>
  </si>
  <si>
    <t>PRAVO KORIŠTENJA ON - LINE INTERNET PORTALA</t>
  </si>
  <si>
    <t>72530000-9</t>
  </si>
  <si>
    <t>POLIPI I REZERVNI DIJELOVI POLIPA</t>
  </si>
  <si>
    <t>PVC ETUII, KORICE, FASCIKLI I FOLIJE</t>
  </si>
  <si>
    <t>25222000-3</t>
  </si>
  <si>
    <t>REZERVNI DIJELOVI I POPRAVAK REZAČA I LOMILICA ZA BETON I ASFALT</t>
  </si>
  <si>
    <t>29475000-9</t>
  </si>
  <si>
    <t>SIGURNOSNA POTVRDA - CERTIFIKAT *.zgh.hr</t>
  </si>
  <si>
    <t>30242000-7</t>
  </si>
  <si>
    <t>ZASTAVE I PRIBOR</t>
  </si>
  <si>
    <t>LICENCE PROGRAMA ZA PREPOZNAVANJE KATALOŠKIH BROJEVA REZERVNIH DIJELOVA VOZILA</t>
  </si>
  <si>
    <t>LICENCE PROGRAMA ZA DIJAGNOSTIKU KVAROVA</t>
  </si>
  <si>
    <t>MREŽE, UŽAD I GURTNE</t>
  </si>
  <si>
    <t>17241000-3</t>
  </si>
  <si>
    <t>OBNAVLJANJE I RECERTIFICIRANJE SUSTAVA SUKLADNO NORMAMA HRN EN ISO 9001 I HRN EN ISO 14001</t>
  </si>
  <si>
    <t>OBNAVLJANJE I RECERTIFICIRANJE SUSTAVA SUKLADNO NORMI OHSAS 18001</t>
  </si>
  <si>
    <t>REDOVNI SERVIS VOZILA</t>
  </si>
  <si>
    <t>50112000-3</t>
  </si>
  <si>
    <t>ZAKUP MEDIJSKOG PROSTORA ZA REALIZACIJU PROJEKTA DIGITALNA HRVATSKA</t>
  </si>
  <si>
    <t>SAMOLJEPIVE TAPETE I TRAKE</t>
  </si>
  <si>
    <t>RUČNI ELEKTRIČNI ALATI</t>
  </si>
  <si>
    <t>IMPLEMENTACIJA I CERTIFICIRANJE SUSTAVA SUKLADNO NORMAMA NIZA HRN, HRN ISO, HRN IEC, HRN EN, HRN ETS I HRN DIN</t>
  </si>
  <si>
    <t>POPRAVAK, SERVIS I REZERVNI DIJELOVI STROJEVA ZA ASFALTNE RADOVE</t>
  </si>
  <si>
    <t>LISTOVI STROJNIH I RUČNIH PILA</t>
  </si>
  <si>
    <t>29476000-6</t>
  </si>
  <si>
    <t>GRIJAČI VODE I OPREMA ZA GRIJANJE</t>
  </si>
  <si>
    <t>29715000-4</t>
  </si>
  <si>
    <t>PAMUČNE KRPE ZA ČIŠĆENJE I ODRŽAVANJE STROJEVA I ALATA</t>
  </si>
  <si>
    <t>17242000-0</t>
  </si>
  <si>
    <t>ODRŽAVANJE, POPRAVAK I REZERVNI DIJELOVI KOMPRESORA RAZNIH PROIZVOĐAČA</t>
  </si>
  <si>
    <t>VISOKOUČINKOVITA ULJA I MAZIVA</t>
  </si>
  <si>
    <t>HITNE INTERVENCIJE NA INSTALACIJAMA RASHLADNOG AMONIJAČNOG POSTROJENJA</t>
  </si>
  <si>
    <t>BAMBUS ŠTAPOVI</t>
  </si>
  <si>
    <t>02120000-1</t>
  </si>
  <si>
    <t>IZRADA IZVEDBENOG PROJEKTA I TEHNIČKE DOKUMENTACIJE SUSTAVA POTROŠNJE TOPLE VODE (PTV-a) U HOSTELU STOIMENA NA LOKACIJI CRIKVENICA</t>
  </si>
  <si>
    <t>ODRŽAVANJE PROTUPOŽARNIH APARATA ZA POTREBE PODRUŽNICA AUTOBUSNI KOLODVOR, ČISTOĆA, GRADSKA GROBLJA I ROBNI TERMINALI ZAGREB</t>
  </si>
  <si>
    <t>REZERVNI DIJELOVI, PRIBOR I POPRAVAK NEELEKTRIČNIH ALATA</t>
  </si>
  <si>
    <t>INDUSTRIJSKE CIJEVI</t>
  </si>
  <si>
    <t>REZERVNI DIJELOVI, POPRAVAK I SERVIS VOZILA MARKE FIAT</t>
  </si>
  <si>
    <t>SVRDLA</t>
  </si>
  <si>
    <t>TKANINE, TAPETARSKI MATERIJAL I PRIBOR</t>
  </si>
  <si>
    <t>17110000-6</t>
  </si>
  <si>
    <t>PLASTIČNE TIPLE I VEZICE</t>
  </si>
  <si>
    <t>ČELIČNA UŽAD, OPREMA I OSTALI PRIBOR</t>
  </si>
  <si>
    <t>KARDANI I REZERVNI DIJELOVI KARDANA</t>
  </si>
  <si>
    <t>SANITETSKI MATERIJAL I PRIRUČNI LIJEKOVI</t>
  </si>
  <si>
    <t>24400000-8</t>
  </si>
  <si>
    <t>TRANSPORTNA, GRAĐEVINSKA I VRTNA KOLICA</t>
  </si>
  <si>
    <t>TIS WEB USLUGA ZA TAHOGRAFE I TAHO RADIONICE I UREĐAJI ZA PREUZIMANJE PODATAKA</t>
  </si>
  <si>
    <t>POTROŠNI MATERIJAL ZA MOTORNA VOZILA</t>
  </si>
  <si>
    <t>ELEKTRIČNI DIJELOVI I ELEKTROMATERIJAL ZA VOZILA</t>
  </si>
  <si>
    <t>31610000-5</t>
  </si>
  <si>
    <t>REZERVNI DIJELOVI, POPRAVAK I SERVIS VOZILA MARKE FORD, OPEL, ŠKODA, AUDI I BMW</t>
  </si>
  <si>
    <t>REZERVNI DIJELOVI, SERVIS I POPRAVAK ELEKTROVOZILA PROIZVOĐAČA MELEX</t>
  </si>
  <si>
    <t>USLUGA PREVOĐENJA</t>
  </si>
  <si>
    <t>REZERVNI DIJELOVI I POPRAVAK PRAONICA VOZILA</t>
  </si>
  <si>
    <t>TELEFONSKE CENTRALE I PRIPADAJUĆA OPREMA</t>
  </si>
  <si>
    <t>32551000-0</t>
  </si>
  <si>
    <t>HITNI POPRAVCI I IZRADA HIDRAULIČNIH CIJEVI</t>
  </si>
  <si>
    <t>50514000-1</t>
  </si>
  <si>
    <t>REZERVNI DIJELOVI I POPRAVAK STROJEVA ZA ŠIVANJE, PRANJE, SUŠENJE I GLAČANJE RUBLJA</t>
  </si>
  <si>
    <t>29542000-0</t>
  </si>
  <si>
    <t>POPRAVAK I REVIZIJA TRANSFORMATORSKE STANICE TS 10/0,4 kV - SVJETIONIK U KAMPU "VELI JOŽE" U SAVUDRIJI</t>
  </si>
  <si>
    <t>STROJNA OBRADA RAZNIH MATERIJALA</t>
  </si>
  <si>
    <t>SREDSTVA ZA DERATIZACIJU, DEZINSEKCIJU I DEZINFEKCIJU</t>
  </si>
  <si>
    <t>24260000-4</t>
  </si>
  <si>
    <t>TERMO ROLE</t>
  </si>
  <si>
    <t>21121000-7</t>
  </si>
  <si>
    <t>ODRŽAVANJE I NADOGRADNJA PROGRAMSKE I STROJNE OPREME INFORMACIJSKIH SUSTAVA FORTRESS I ANURPP</t>
  </si>
  <si>
    <t>OSPOSOBLJAVANJE ZAPOSLENIKA IZ PODRUČJA ZAŠTITE NA RADU I ZAŠTITE OD POŽARA</t>
  </si>
  <si>
    <t>80425000-9</t>
  </si>
  <si>
    <t>PRIMARNE BATERIJE, PUNJAČI BATERIJA I SVJETILJKE</t>
  </si>
  <si>
    <t>31420000-6</t>
  </si>
  <si>
    <t>REZERVNI DIJELOVI I POPRAVAK TRAKTORA RAZNIH PROIZVOĐAČA</t>
  </si>
  <si>
    <t>REZERVNI DIJELOVI I POPRAVAK TRAKTORSKIH PRIKLJUČAKA</t>
  </si>
  <si>
    <t>IZGRADNJA NOVOG DJEČJEG IGRALIŠTA U HOSTELU ZLATOKRILA NA LOKACIJI VELI LOŠINJ</t>
  </si>
  <si>
    <t>TELEVIZORI</t>
  </si>
  <si>
    <t>32324000-0</t>
  </si>
  <si>
    <t>REZERVNI DIJELOVI, POPRAVAK I SERVIS VOZILA MARKE KIA, HYUNDAI, SEAT, VOLVO I LADA</t>
  </si>
  <si>
    <t>ZAKUP MEDIJSKOG PROSTORA U ČASOPISU ZAPOSLENA</t>
  </si>
  <si>
    <t>TEKUĆINE ZA AUTOMATSKE PRAONICE VOZILA</t>
  </si>
  <si>
    <t>ALAT I PRIBOR ZA SOBOSLIKARSKE RADOVE</t>
  </si>
  <si>
    <t>ODRŽAVANJE PROTUPOŽARNIH APARATA ZA POTREBE PODRUŽNICA DIGITALNI GRAD, TRŽNICE, UPRAVLJANJE NEKRETNINAMA, UPRAVLJANJE PROJEKTIMA, VLADIMIR NAZOR, ZAGREBAČKE CESTE, ZAGREBPARKING, ZGOS I ZRINJEVAC</t>
  </si>
  <si>
    <t>PROMOTIVNI MATERIJAL ZA POTREBE PREZENTACIJE ZGH d.o.o.</t>
  </si>
  <si>
    <t>OSPOSOBLJAVANJE ZAPOSLENIKA ZA RAD NA POSLOVIMA S POSEBNIM UVJETIMA RADA</t>
  </si>
  <si>
    <t>80423000-5</t>
  </si>
  <si>
    <t>OPREMA ZA MJERENJE TLAKA TEKUĆINA I PLINOVA</t>
  </si>
  <si>
    <t>TABLETIRANA SOL ZA OMEKŠAVANJE VODE</t>
  </si>
  <si>
    <t>14430000-4</t>
  </si>
  <si>
    <t>REZERVNI DIJELOVI I POPRAVAK PALETNIH DIZALA PROIZVOĐAČA "VULKAN-NOVA"</t>
  </si>
  <si>
    <t>IZGRADNJA SVJETLOVODNE MREŽE U KAMPU VELI JOŽE NA LOKACIJI SAVUDRIJA</t>
  </si>
  <si>
    <t>SNIMKA POSTOJEĆEG STANJA OBJEKTA BR.36 KOMPLEKSA GREDELJ</t>
  </si>
  <si>
    <t>REZERVNI DIJELOVI, POPRAVAK I UMJERAVANJE LABORATORIJSKE OPREME ASFALTNIH BAZA</t>
  </si>
  <si>
    <t>MAGNETNE KARTICE</t>
  </si>
  <si>
    <t>25250000-8</t>
  </si>
  <si>
    <t>SIGURNOSNI SUSTAV ZA VOŽNJU VOZILA UNATRAG - PILOT PROJEKT</t>
  </si>
  <si>
    <t>33211000-2</t>
  </si>
  <si>
    <t>ANALIZA POSLOVNIH PROCESA S UNAPREĐENJEM POSLOVNOG SUSTAVA I REVIZIJA SUSTAVA CARPIO</t>
  </si>
  <si>
    <t>72240000-9</t>
  </si>
  <si>
    <t>ODRŽAVANJE VOZILA I STROJEVA U JAMSTVENOM ROKU</t>
  </si>
  <si>
    <t>DRVENA DRŽALA</t>
  </si>
  <si>
    <t>20512000-8</t>
  </si>
  <si>
    <t>ISPITIVANJE KARAKTERISTIKA PROIZVODA OD BETONA I KAMENOG AGREGATA</t>
  </si>
  <si>
    <t>ODRŽAVANJE I NADOGRADNJA INFORMACIJSKOG SUSTAVA PAKOM</t>
  </si>
  <si>
    <t>IMPLEMENTACIJA I CERTIFICIRANJE JG TUŠKANAC SUKLADNO PARKSMART STANDARDU</t>
  </si>
  <si>
    <t>SPECIJALNA LJEPILA</t>
  </si>
  <si>
    <t>POPRAVAK I REZERVNI DIJELOVI PRIKLJUČNE OPREME ZA STROJEVE</t>
  </si>
  <si>
    <t>POPRAVAK I SERVIS RASHLADNIH VITRINA ZA PRODAJU SIRA I VRHNJA NA TRŽNICAMA</t>
  </si>
  <si>
    <t>REZERVNI DIJELOVI, POPRAVAK I SERVIS VOZILA MARKE VOLKSWAGEN</t>
  </si>
  <si>
    <t>KOŠARE PLETENE</t>
  </si>
  <si>
    <t>20521000-4</t>
  </si>
  <si>
    <t>KEMIKALIJE ZA TRETIRANJE TEHNOLOŠKE VODE U RASHLADNIM SUSTAVIMA</t>
  </si>
  <si>
    <t>24100000-5</t>
  </si>
  <si>
    <t>ODRŽAVANJE PROGRAMSKE OPREME ZA KONTROLU TROŠKOVA TELEKOMUNIKACIJSKIH USLUGA</t>
  </si>
  <si>
    <t>ZAKUP RADIJSKOG OGLASNOG PROSTORA - NARODNI RADIO</t>
  </si>
  <si>
    <t>NAJAM HIBRIDNIH VOZILA</t>
  </si>
  <si>
    <t>REZERVNI DIJELOVI I POPRAVAK VIBRONABIJAČA</t>
  </si>
  <si>
    <t>NAJAM ČISTILICE</t>
  </si>
  <si>
    <t>PUMPA ZA CISTERNE ZA PRANJE JAVNO PROMETNIH POVRŠINA</t>
  </si>
  <si>
    <t>IGLICE I MREŽE ZA ZAŠTITU OD PTICA</t>
  </si>
  <si>
    <t>28413000-0</t>
  </si>
  <si>
    <t>ODRŽAVANJE, POPRAVAK I UMJERAVANJE MJERNIH INSTRUMENATA</t>
  </si>
  <si>
    <t>MONTAŽNE OGRADE</t>
  </si>
  <si>
    <t>28822000-0</t>
  </si>
  <si>
    <t>SERVIS I ODRŽAVANJE PROTUPANIK SISTEMA I PROTUPROVALNIH ALARMNIH SUSTAVA</t>
  </si>
  <si>
    <t>REZERVNI DIJELOVI, PRIBOR I POPRAVAK APARATA ZA ZAVARIVANJE</t>
  </si>
  <si>
    <t>29462000-5</t>
  </si>
  <si>
    <t>REZERVNI DIJELOVI, PRIBOR I POPRAVAK RUČNIH ELEKTRIČNIH ALATA</t>
  </si>
  <si>
    <t>LJESTVE</t>
  </si>
  <si>
    <t>INSTRUMENTI ZA MJERENJE</t>
  </si>
  <si>
    <t>33251000-4</t>
  </si>
  <si>
    <t>SREDSTVO ZA TRETIRANJE OTPADA - EFEKTIVNI MIKROORGANIZMI</t>
  </si>
  <si>
    <t>24140000-7</t>
  </si>
  <si>
    <t>TEHNIČKA PLASTIKA</t>
  </si>
  <si>
    <t>POPRAVAK I ODRŽAVANJE SATOVA</t>
  </si>
  <si>
    <t>50432000-2</t>
  </si>
  <si>
    <t>RASHLADNI AGREGAT SUSTAVA HLAĐENJA IV. KATA AUTOBUSNOG KOLODVORA</t>
  </si>
  <si>
    <t>IZRADA PROJEKTNE I TEHNIČKE DOKUMENTACIJE SANACIJE HOSTELA ARENA</t>
  </si>
  <si>
    <t>REZERVNI DIJELOVI, POPRAVAK I SERVIS VOZILA MARKE RENAULT, CITROEN I PEUGEOT</t>
  </si>
  <si>
    <t>UREDSKI I POSLOVNI STROJEVI, PRIBOR, REZERVNI DIJELOVI I POTROŠNI MATERIJAL</t>
  </si>
  <si>
    <t>30123000-7</t>
  </si>
  <si>
    <t>OZAKONJENJE NEZAKONITO IZGRAĐENIH ZGRADA U VLASNIŠTVU ZAGREBAČKOG HOLDINGA d.o.o.</t>
  </si>
  <si>
    <t>74225000-2</t>
  </si>
  <si>
    <t>POVREMENI PRIJEVOZ PUTNIKA U UNUTARNJEM CESTOVNOM PROMETU NA RELACIJI ZAGREB-VELI LOŠINJ-ZAGREB</t>
  </si>
  <si>
    <t>POVREMENI PRIJEVOZ PUTNIKA U UNUTARNJEM CESTOVNOM PROMETU NA RELACIJAMA ZAGREB-CRIKVENICA-ZAGREB I ZAGREB-SKRADIN-ZAGREB</t>
  </si>
  <si>
    <t>STRUČNI NADZOR NAD RADOVIMA NA ZAVRŠETKU SANACIJE ENERGETSKOG POSTROJENJA HLADNJAČE NA VELETRŽNICI</t>
  </si>
  <si>
    <t>ODRŽAVANJE I NADOGRADNJA PROGRAMSKE I STROJNE OPREME SUSTAVA GANTNER</t>
  </si>
  <si>
    <t>NAJAM FOTOKOPIRNIH STROJEVA ZA POTREBE PODRUŽNICA ZAGREBAČKE CESTE, ZAGREBPARKING, ZGOS I ZRINJEVAC</t>
  </si>
  <si>
    <t>ODRŽAVANJE I POPRAVCI UREĐAJA ZA KOMPENZACIJU JALOVE ENERGIJE</t>
  </si>
  <si>
    <t>PREGLED I ODRŽAVANJE ELEKTROENERGETSKIH POSTROJENJA I INSTALACIJA</t>
  </si>
  <si>
    <t>ZAKUP MEDIJSKOG PROSTORA U TJEDNIKU GLOBUS</t>
  </si>
  <si>
    <t>OGLAŠAVANJE U SVRHU PROMOVIRANJA ZGH d.o.o.</t>
  </si>
  <si>
    <t>ODRŽAVANJE I POPRAVAK RAČUNALNE OPREME</t>
  </si>
  <si>
    <t>IZRADA PRESS CLIPPING-a S ISPORUKOM SELEKTIRANIH ČLANAKA</t>
  </si>
  <si>
    <t>ISTRAŽIVANJE INFLUENCE PTICA NA I U OKOLICI ODLAGALIŠTA KOJE SE HRANE NA ODLAGALIŠTU OTPADA JAKUŠEVEC</t>
  </si>
  <si>
    <t>90320000-6</t>
  </si>
  <si>
    <t>CINČANJE I SREBRENJE METALNIH POVRŠINA</t>
  </si>
  <si>
    <t>UREĐENJE UREDSKOG PROSTORA NA TREĆEM KATU UPRAVNE ZGRADE POSLOVNE JEDINICE ŽITNJAK</t>
  </si>
  <si>
    <t>POPRAVAK SPECIJALNIH VOZILA MARKE MITSUBISHI</t>
  </si>
  <si>
    <t>30.08.2018.</t>
  </si>
  <si>
    <t>Razlika je zbog dodatnih sati rada i čekanja</t>
  </si>
  <si>
    <t xml:space="preserve">Sporazum o prijenosu udjela, preneseno na novo trgovačko društvo temeljem Odluke skupštine Društva od 29.12.2017. godine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</si>
</sst>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1"/>
      <color rgb="FF000000"/>
      <name val="Calibri"/>
      <family val="2"/>
      <scheme val="minor"/>
    </font>
    <font>
      <b/>
      <sz val="11"/>
      <color rgb="FF000000"/>
      <name val="Calibri"/>
      <family val="2"/>
      <scheme val="minor"/>
    </font>
    <font>
      <sz val="10"/>
      <color rgb="FF000000"/>
      <name val="Calibri"/>
      <family val="2"/>
      <scheme val="minor"/>
    </font>
    <font>
      <b/>
      <sz val="10"/>
      <color rgb="FF000000"/>
      <name val="Calibri"/>
      <family val="2"/>
      <scheme val="minor"/>
    </font>
    <font>
      <sz val="10"/>
      <color theme="1"/>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
    <xf numFmtId="0" fontId="0" fillId="0" borderId="0" xfId="0"/>
    <xf numFmtId="0" fontId="20" fillId="0" borderId="10" xfId="0" applyFont="1" applyFill="1" applyBorder="1" applyAlignment="1">
      <alignment horizontal="center" vertical="center" wrapText="1"/>
    </xf>
    <xf numFmtId="0" fontId="20" fillId="0" borderId="10" xfId="0" applyFont="1" applyFill="1" applyBorder="1" applyAlignment="1">
      <alignment horizontal="left" vertical="center" wrapText="1"/>
    </xf>
    <xf numFmtId="0" fontId="20" fillId="0" borderId="10" xfId="0" applyFont="1" applyFill="1" applyBorder="1" applyAlignment="1">
      <alignment vertical="center" wrapText="1"/>
    </xf>
    <xf numFmtId="0" fontId="0" fillId="0" borderId="10" xfId="0" applyFill="1" applyBorder="1" applyAlignment="1">
      <alignment horizontal="center" vertical="center" wrapText="1"/>
    </xf>
    <xf numFmtId="14" fontId="20" fillId="0" borderId="10" xfId="0" applyNumberFormat="1" applyFont="1" applyFill="1" applyBorder="1" applyAlignment="1">
      <alignment horizontal="center" vertical="center" wrapText="1"/>
    </xf>
    <xf numFmtId="0" fontId="20" fillId="0" borderId="10" xfId="0" applyFont="1" applyFill="1" applyBorder="1" applyAlignment="1">
      <alignment horizontal="right" vertical="center" wrapText="1"/>
    </xf>
    <xf numFmtId="0" fontId="0" fillId="0" borderId="10" xfId="0" applyFill="1" applyBorder="1" applyAlignment="1">
      <alignment vertical="center" wrapText="1"/>
    </xf>
    <xf numFmtId="0" fontId="22" fillId="0" borderId="10" xfId="0" applyFont="1" applyFill="1" applyBorder="1" applyAlignment="1">
      <alignment vertical="center" wrapText="1"/>
    </xf>
    <xf numFmtId="0" fontId="0" fillId="0" borderId="0" xfId="0" applyFill="1"/>
    <xf numFmtId="0" fontId="1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vertical="center"/>
    </xf>
    <xf numFmtId="0" fontId="0" fillId="0" borderId="0" xfId="0" applyFill="1" applyAlignment="1">
      <alignment horizontal="right" vertical="center"/>
    </xf>
    <xf numFmtId="0" fontId="21" fillId="0" borderId="11" xfId="0" applyFont="1" applyFill="1" applyBorder="1" applyAlignment="1">
      <alignment horizontal="center" vertical="center" wrapText="1"/>
    </xf>
    <xf numFmtId="0" fontId="21" fillId="0" borderId="11" xfId="0" applyFont="1" applyFill="1" applyBorder="1" applyAlignment="1">
      <alignment vertical="center" wrapText="1"/>
    </xf>
    <xf numFmtId="0" fontId="0" fillId="0" borderId="10" xfId="0" applyFill="1" applyBorder="1" applyAlignment="1">
      <alignment horizontal="left" vertical="center" wrapText="1"/>
    </xf>
    <xf numFmtId="0" fontId="22" fillId="0" borderId="10" xfId="0" applyFont="1" applyFill="1" applyBorder="1" applyAlignment="1">
      <alignment horizontal="center" vertical="center" wrapText="1"/>
    </xf>
    <xf numFmtId="17" fontId="20" fillId="0" borderId="10" xfId="0" applyNumberFormat="1" applyFont="1" applyFill="1" applyBorder="1" applyAlignment="1">
      <alignment horizontal="center" vertical="center" wrapText="1"/>
    </xf>
    <xf numFmtId="0" fontId="20" fillId="0" borderId="10" xfId="0" applyFont="1"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55"/>
  <sheetViews>
    <sheetView showGridLines="0" tabSelected="1" topLeftCell="D1" zoomScale="90" zoomScaleNormal="90" workbookViewId="0">
      <pane ySplit="4" topLeftCell="A1199" activePane="bottomLeft" state="frozen"/>
      <selection pane="bottomLeft" activeCell="J979" sqref="J979"/>
    </sheetView>
  </sheetViews>
  <sheetFormatPr defaultRowHeight="15" x14ac:dyDescent="0.25"/>
  <cols>
    <col min="1" max="1" width="5" style="11" customWidth="1"/>
    <col min="2" max="2" width="12.7109375" style="11" customWidth="1"/>
    <col min="3" max="3" width="36.5703125" style="12" bestFit="1" customWidth="1"/>
    <col min="4" max="4" width="10.5703125" style="11" bestFit="1" customWidth="1"/>
    <col min="5" max="5" width="9.7109375" style="13" bestFit="1" customWidth="1"/>
    <col min="6" max="6" width="22.5703125" style="12" customWidth="1"/>
    <col min="7" max="7" width="36.5703125" style="12" bestFit="1" customWidth="1"/>
    <col min="8" max="8" width="13.85546875" style="11" customWidth="1"/>
    <col min="9" max="9" width="13" style="11" customWidth="1"/>
    <col min="10" max="10" width="13.5703125" style="11" customWidth="1"/>
    <col min="11" max="11" width="16" style="14" customWidth="1"/>
    <col min="12" max="12" width="12.28515625" style="14" customWidth="1"/>
    <col min="13" max="13" width="17.140625" style="14" customWidth="1"/>
    <col min="14" max="14" width="13" style="13" customWidth="1"/>
    <col min="15" max="15" width="14" style="13" customWidth="1"/>
    <col min="16" max="16" width="14.85546875" style="13" customWidth="1"/>
    <col min="17" max="17" width="19.85546875" style="13" customWidth="1"/>
    <col min="18" max="18" width="11.140625" style="11" customWidth="1"/>
    <col min="19" max="19" width="15.28515625" style="11" customWidth="1"/>
    <col min="20" max="20" width="24" style="12" customWidth="1"/>
    <col min="21" max="16384" width="9.140625" style="9"/>
  </cols>
  <sheetData>
    <row r="1" spans="1:20" x14ac:dyDescent="0.25">
      <c r="A1" s="10" t="s">
        <v>0</v>
      </c>
    </row>
    <row r="2" spans="1:20" x14ac:dyDescent="0.25">
      <c r="A2" s="12"/>
    </row>
    <row r="4" spans="1:20" s="11" customFormat="1" ht="76.5" x14ac:dyDescent="0.25">
      <c r="A4" s="15" t="s">
        <v>1</v>
      </c>
      <c r="B4" s="15" t="s">
        <v>2</v>
      </c>
      <c r="C4" s="15" t="s">
        <v>3</v>
      </c>
      <c r="D4" s="15" t="s">
        <v>4</v>
      </c>
      <c r="E4" s="16" t="s">
        <v>5</v>
      </c>
      <c r="F4" s="15" t="s">
        <v>6</v>
      </c>
      <c r="G4" s="15" t="s">
        <v>7</v>
      </c>
      <c r="H4" s="15" t="s">
        <v>8</v>
      </c>
      <c r="I4" s="15" t="s">
        <v>9</v>
      </c>
      <c r="J4" s="15" t="s">
        <v>10</v>
      </c>
      <c r="K4" s="15" t="s">
        <v>11</v>
      </c>
      <c r="L4" s="15" t="s">
        <v>12</v>
      </c>
      <c r="M4" s="15" t="s">
        <v>13</v>
      </c>
      <c r="N4" s="15" t="s">
        <v>14</v>
      </c>
      <c r="O4" s="15" t="s">
        <v>15</v>
      </c>
      <c r="P4" s="15" t="s">
        <v>16</v>
      </c>
      <c r="Q4" s="15" t="s">
        <v>17</v>
      </c>
      <c r="R4" s="15" t="s">
        <v>18</v>
      </c>
      <c r="S4" s="15" t="s">
        <v>19</v>
      </c>
      <c r="T4" s="15" t="s">
        <v>20</v>
      </c>
    </row>
    <row r="5" spans="1:20" ht="76.5" x14ac:dyDescent="0.25">
      <c r="A5" s="1">
        <v>1</v>
      </c>
      <c r="B5" s="1" t="str">
        <f t="shared" ref="B5:B10" si="0">"2014-2466"</f>
        <v>2014-2466</v>
      </c>
      <c r="C5" s="2" t="s">
        <v>21</v>
      </c>
      <c r="D5" s="1" t="s">
        <v>22</v>
      </c>
      <c r="E5" s="3" t="str">
        <f>"2014/S 002-0059774"</f>
        <v>2014/S 002-0059774</v>
      </c>
      <c r="F5" s="2" t="s">
        <v>23</v>
      </c>
      <c r="G5" s="2" t="str">
        <f>CONCATENATE("VODOTEHNIKA D.D.,"," KOTURAŠKA CESTA 49,"," 10000 ZAGREB,"," OIB: 17631431320",CHAR(10),"VODOSKOK D.D.,"," ČULINEČKA CESTA 221/C,"," 10040 ZAGREB,"," OIB: 34134218058",CHAR(10),"VODOPROMET D.O.O.,"," VALTURSKO POLJE 212,"," 52204 LIŽNJAN,"," OIB: 40321585935")</f>
        <v>VODOTEHNIKA D.D., KOTURAŠKA CESTA 49, 10000 ZAGREB, OIB: 17631431320
VODOSKOK D.D., ČULINEČKA CESTA 221/C, 10040 ZAGREB, OIB: 34134218058
VODOPROMET D.O.O., VALTURSKO POLJE 212, 52204 LIŽNJAN, OIB: 40321585935</v>
      </c>
      <c r="H5" s="4"/>
      <c r="I5" s="1" t="s">
        <v>24</v>
      </c>
      <c r="J5" s="1" t="s">
        <v>25</v>
      </c>
      <c r="K5" s="6" t="str">
        <f>"4.200.000,00"</f>
        <v>4.200.000,00</v>
      </c>
      <c r="L5" s="6" t="str">
        <f>"1.050.000,00"</f>
        <v>1.050.000,00</v>
      </c>
      <c r="M5" s="6" t="str">
        <f>"5.250.000,00"</f>
        <v>5.250.000,00</v>
      </c>
      <c r="N5" s="7"/>
      <c r="O5" s="7"/>
      <c r="P5" s="6" t="str">
        <f>""</f>
        <v/>
      </c>
      <c r="Q5" s="7"/>
      <c r="R5" s="1"/>
      <c r="S5" s="1" t="str">
        <f>"NOS-121-A/14"</f>
        <v>NOS-121-A/14</v>
      </c>
      <c r="T5" s="2" t="s">
        <v>26</v>
      </c>
    </row>
    <row r="6" spans="1:20" ht="38.25" x14ac:dyDescent="0.25">
      <c r="A6" s="1">
        <v>2</v>
      </c>
      <c r="B6" s="1" t="str">
        <f t="shared" si="0"/>
        <v>2014-2466</v>
      </c>
      <c r="C6" s="2" t="s">
        <v>21</v>
      </c>
      <c r="D6" s="1" t="s">
        <v>22</v>
      </c>
      <c r="E6" s="3" t="str">
        <f>"2014/S 002-0059774"</f>
        <v>2014/S 002-0059774</v>
      </c>
      <c r="F6" s="2" t="s">
        <v>23</v>
      </c>
      <c r="G6" s="2" t="str">
        <f>CONCATENATE("VODOSKOK D.D.,"," ČULINEČKA CESTA 221/C,"," 10040 ZAGREB,"," OIB: 34134218058")</f>
        <v>VODOSKOK D.D., ČULINEČKA CESTA 221/C, 10040 ZAGREB, OIB: 34134218058</v>
      </c>
      <c r="H6" s="4"/>
      <c r="I6" s="1" t="s">
        <v>24</v>
      </c>
      <c r="J6" s="1" t="s">
        <v>25</v>
      </c>
      <c r="K6" s="6" t="str">
        <f>"4.300.000,00"</f>
        <v>4.300.000,00</v>
      </c>
      <c r="L6" s="6" t="str">
        <f>"1.075.000,00"</f>
        <v>1.075.000,00</v>
      </c>
      <c r="M6" s="6" t="str">
        <f>"5.375.000,00"</f>
        <v>5.375.000,00</v>
      </c>
      <c r="N6" s="7"/>
      <c r="O6" s="7"/>
      <c r="P6" s="6" t="str">
        <f>""</f>
        <v/>
      </c>
      <c r="Q6" s="7"/>
      <c r="R6" s="1"/>
      <c r="S6" s="1" t="str">
        <f>"NOS-121-B/14"</f>
        <v>NOS-121-B/14</v>
      </c>
      <c r="T6" s="2" t="s">
        <v>26</v>
      </c>
    </row>
    <row r="7" spans="1:20" ht="76.5" x14ac:dyDescent="0.25">
      <c r="A7" s="1">
        <v>3</v>
      </c>
      <c r="B7" s="1" t="str">
        <f t="shared" si="0"/>
        <v>2014-2466</v>
      </c>
      <c r="C7" s="2" t="s">
        <v>21</v>
      </c>
      <c r="D7" s="1" t="s">
        <v>22</v>
      </c>
      <c r="E7" s="3" t="str">
        <f>"2014/S 002-0059774"</f>
        <v>2014/S 002-0059774</v>
      </c>
      <c r="F7" s="2" t="s">
        <v>23</v>
      </c>
      <c r="G7" s="2" t="str">
        <f>CONCATENATE("VODOTEHNIKA D.D.,"," KOTURAŠKA CESTA 49,"," 10000 ZAGREB,"," OIB: 17631431320",CHAR(10),"VODOSKOK D.D.,"," ČULINEČKA CESTA 221/C,"," 10040 ZAGREB,"," OIB: 34134218058",CHAR(10),"VODOPROMET D.O.O.,"," VALTURSKO POLJE 212,"," 52204 LIŽNJAN,"," OIB: 40321585935")</f>
        <v>VODOTEHNIKA D.D., KOTURAŠKA CESTA 49, 10000 ZAGREB, OIB: 17631431320
VODOSKOK D.D., ČULINEČKA CESTA 221/C, 10040 ZAGREB, OIB: 34134218058
VODOPROMET D.O.O., VALTURSKO POLJE 212, 52204 LIŽNJAN, OIB: 40321585935</v>
      </c>
      <c r="H7" s="4"/>
      <c r="I7" s="1" t="s">
        <v>24</v>
      </c>
      <c r="J7" s="1" t="s">
        <v>25</v>
      </c>
      <c r="K7" s="6" t="str">
        <f>"11.500.000,00"</f>
        <v>11.500.000,00</v>
      </c>
      <c r="L7" s="6" t="str">
        <f>"2.875.000,00"</f>
        <v>2.875.000,00</v>
      </c>
      <c r="M7" s="6" t="str">
        <f>"14.375.000,00"</f>
        <v>14.375.000,00</v>
      </c>
      <c r="N7" s="7"/>
      <c r="O7" s="7"/>
      <c r="P7" s="6" t="str">
        <f>""</f>
        <v/>
      </c>
      <c r="Q7" s="7"/>
      <c r="R7" s="1"/>
      <c r="S7" s="1" t="str">
        <f>"NOS-121-C/14"</f>
        <v>NOS-121-C/14</v>
      </c>
      <c r="T7" s="2" t="s">
        <v>26</v>
      </c>
    </row>
    <row r="8" spans="1:20" ht="25.5" x14ac:dyDescent="0.25">
      <c r="A8" s="1">
        <v>4</v>
      </c>
      <c r="B8" s="1" t="str">
        <f t="shared" si="0"/>
        <v>2014-2466</v>
      </c>
      <c r="C8" s="2" t="s">
        <v>21</v>
      </c>
      <c r="D8" s="4"/>
      <c r="E8" s="3" t="str">
        <f>""</f>
        <v/>
      </c>
      <c r="F8" s="2" t="s">
        <v>27</v>
      </c>
      <c r="G8" s="2" t="str">
        <f>CONCATENATE("VODOTEHNIKA D.D.,"," KOTURAŠKA CESTA 49,"," 10000 ZAGREB,"," OIB: 1763143132")</f>
        <v>VODOTEHNIKA D.D., KOTURAŠKA CESTA 49, 10000 ZAGREB, OIB: 1763143132</v>
      </c>
      <c r="H8" s="4"/>
      <c r="I8" s="1" t="s">
        <v>25</v>
      </c>
      <c r="J8" s="1" t="s">
        <v>28</v>
      </c>
      <c r="K8" s="6" t="str">
        <f>"369.525,00"</f>
        <v>369.525,00</v>
      </c>
      <c r="L8" s="6" t="str">
        <f>"92.381,25"</f>
        <v>92.381,25</v>
      </c>
      <c r="M8" s="6" t="str">
        <f>"461.906,25"</f>
        <v>461.906,25</v>
      </c>
      <c r="N8" s="5">
        <v>43696</v>
      </c>
      <c r="O8" s="7"/>
      <c r="P8" s="6" t="str">
        <f>"188.837,50"</f>
        <v>188.837,50</v>
      </c>
      <c r="Q8" s="7"/>
      <c r="R8" s="1"/>
      <c r="S8" s="1" t="str">
        <f>"2-19/NOS-121-C/14"</f>
        <v>2-19/NOS-121-C/14</v>
      </c>
      <c r="T8" s="2" t="s">
        <v>29</v>
      </c>
    </row>
    <row r="9" spans="1:20" ht="25.5" x14ac:dyDescent="0.25">
      <c r="A9" s="1">
        <v>5</v>
      </c>
      <c r="B9" s="1" t="str">
        <f t="shared" si="0"/>
        <v>2014-2466</v>
      </c>
      <c r="C9" s="2" t="s">
        <v>21</v>
      </c>
      <c r="D9" s="1" t="s">
        <v>22</v>
      </c>
      <c r="E9" s="3" t="str">
        <f>""</f>
        <v/>
      </c>
      <c r="F9" s="2" t="s">
        <v>27</v>
      </c>
      <c r="G9" s="2" t="str">
        <f>CONCATENATE("VODOSKOK D.D.,"," ČULINEČKA CESTA 221/C,"," 10040 ZAGREB,"," OIB: 34134218058")</f>
        <v>VODOSKOK D.D., ČULINEČKA CESTA 221/C, 10040 ZAGREB, OIB: 34134218058</v>
      </c>
      <c r="H9" s="4"/>
      <c r="I9" s="1" t="s">
        <v>30</v>
      </c>
      <c r="J9" s="1" t="s">
        <v>31</v>
      </c>
      <c r="K9" s="6" t="str">
        <f>"7.529,00"</f>
        <v>7.529,00</v>
      </c>
      <c r="L9" s="6" t="str">
        <f>"1.882,25"</f>
        <v>1.882,25</v>
      </c>
      <c r="M9" s="6" t="str">
        <f>"9.411,25"</f>
        <v>9.411,25</v>
      </c>
      <c r="N9" s="5">
        <v>43616</v>
      </c>
      <c r="O9" s="7"/>
      <c r="P9" s="6" t="str">
        <f>"9.411,25"</f>
        <v>9.411,25</v>
      </c>
      <c r="Q9" s="7"/>
      <c r="R9" s="1"/>
      <c r="S9" s="1" t="str">
        <f>"1-19/NOS-121-C/14"</f>
        <v>1-19/NOS-121-C/14</v>
      </c>
      <c r="T9" s="2" t="s">
        <v>29</v>
      </c>
    </row>
    <row r="10" spans="1:20" ht="25.5" x14ac:dyDescent="0.25">
      <c r="A10" s="1">
        <v>6</v>
      </c>
      <c r="B10" s="1" t="str">
        <f t="shared" si="0"/>
        <v>2014-2466</v>
      </c>
      <c r="C10" s="2" t="s">
        <v>21</v>
      </c>
      <c r="D10" s="1" t="s">
        <v>22</v>
      </c>
      <c r="E10" s="3" t="str">
        <f>""</f>
        <v/>
      </c>
      <c r="F10" s="2" t="s">
        <v>27</v>
      </c>
      <c r="G10" s="2" t="str">
        <f>CONCATENATE("VODOTEHNIKA D.D.,"," KOTURAŠKA CESTA 49,"," 10000 ZAGREB,"," OIB: 1763143132")</f>
        <v>VODOTEHNIKA D.D., KOTURAŠKA CESTA 49, 10000 ZAGREB, OIB: 1763143132</v>
      </c>
      <c r="H10" s="4"/>
      <c r="I10" s="1" t="s">
        <v>32</v>
      </c>
      <c r="J10" s="1" t="s">
        <v>31</v>
      </c>
      <c r="K10" s="6" t="str">
        <f>"8.475,00"</f>
        <v>8.475,00</v>
      </c>
      <c r="L10" s="6" t="str">
        <f>"2.118,75"</f>
        <v>2.118,75</v>
      </c>
      <c r="M10" s="6" t="str">
        <f>"10.593,75"</f>
        <v>10.593,75</v>
      </c>
      <c r="N10" s="5">
        <v>43613</v>
      </c>
      <c r="O10" s="7"/>
      <c r="P10" s="6" t="str">
        <f>"10.593,75"</f>
        <v>10.593,75</v>
      </c>
      <c r="Q10" s="7"/>
      <c r="R10" s="1"/>
      <c r="S10" s="1" t="str">
        <f>"3-19/NOS-121-C/14"</f>
        <v>3-19/NOS-121-C/14</v>
      </c>
      <c r="T10" s="2" t="s">
        <v>33</v>
      </c>
    </row>
    <row r="11" spans="1:20" ht="38.25" x14ac:dyDescent="0.25">
      <c r="A11" s="1">
        <v>7</v>
      </c>
      <c r="B11" s="1" t="str">
        <f t="shared" ref="B11:B16" si="1">"2015-1947"</f>
        <v>2015-1947</v>
      </c>
      <c r="C11" s="2" t="s">
        <v>34</v>
      </c>
      <c r="D11" s="1" t="s">
        <v>35</v>
      </c>
      <c r="E11" s="3" t="str">
        <f>"2015/S 002-0012033"</f>
        <v>2015/S 002-0012033</v>
      </c>
      <c r="F11" s="2" t="s">
        <v>23</v>
      </c>
      <c r="G11" s="2" t="str">
        <f t="shared" ref="G11:G16" si="2">CONCATENATE("KAMENOLOM GORJAK D.O.O.,"," GORNJE JESENJE bb,"," 49233 GORNJE JESENJE,"," OIB: 700926237")</f>
        <v>KAMENOLOM GORJAK D.O.O., GORNJE JESENJE bb, 49233 GORNJE JESENJE, OIB: 700926237</v>
      </c>
      <c r="H11" s="4"/>
      <c r="I11" s="1" t="s">
        <v>36</v>
      </c>
      <c r="J11" s="1" t="s">
        <v>37</v>
      </c>
      <c r="K11" s="6" t="str">
        <f>"62.000.000,00"</f>
        <v>62.000.000,00</v>
      </c>
      <c r="L11" s="6" t="str">
        <f>"15.500.000,00"</f>
        <v>15.500.000,00</v>
      </c>
      <c r="M11" s="6" t="str">
        <f>"77.500.000,00"</f>
        <v>77.500.000,00</v>
      </c>
      <c r="N11" s="7"/>
      <c r="O11" s="7"/>
      <c r="P11" s="6" t="str">
        <f>""</f>
        <v/>
      </c>
      <c r="Q11" s="7"/>
      <c r="R11" s="1"/>
      <c r="S11" s="1" t="str">
        <f>"NOS-62/15"</f>
        <v>NOS-62/15</v>
      </c>
      <c r="T11" s="2" t="s">
        <v>26</v>
      </c>
    </row>
    <row r="12" spans="1:20" ht="38.25" x14ac:dyDescent="0.25">
      <c r="A12" s="1">
        <v>8</v>
      </c>
      <c r="B12" s="1" t="str">
        <f t="shared" si="1"/>
        <v>2015-1947</v>
      </c>
      <c r="C12" s="2" t="s">
        <v>38</v>
      </c>
      <c r="D12" s="1" t="s">
        <v>35</v>
      </c>
      <c r="E12" s="3" t="str">
        <f>""</f>
        <v/>
      </c>
      <c r="F12" s="2" t="s">
        <v>27</v>
      </c>
      <c r="G12" s="2" t="str">
        <f t="shared" si="2"/>
        <v>KAMENOLOM GORJAK D.O.O., GORNJE JESENJE bb, 49233 GORNJE JESENJE, OIB: 700926237</v>
      </c>
      <c r="H12" s="4"/>
      <c r="I12" s="1" t="s">
        <v>39</v>
      </c>
      <c r="J12" s="1" t="s">
        <v>40</v>
      </c>
      <c r="K12" s="6" t="str">
        <f>"9.917.250,00"</f>
        <v>9.917.250,00</v>
      </c>
      <c r="L12" s="6" t="str">
        <f>"2.479.312,50"</f>
        <v>2.479.312,50</v>
      </c>
      <c r="M12" s="6" t="str">
        <f>"12.396.562,50"</f>
        <v>12.396.562,50</v>
      </c>
      <c r="N12" s="5">
        <v>43684</v>
      </c>
      <c r="O12" s="7"/>
      <c r="P12" s="6" t="str">
        <f>"12.336.901,25"</f>
        <v>12.336.901,25</v>
      </c>
      <c r="Q12" s="7"/>
      <c r="R12" s="1"/>
      <c r="S12" s="1" t="str">
        <f>"7-18/NOS-62/15"</f>
        <v>7-18/NOS-62/15</v>
      </c>
      <c r="T12" s="2" t="s">
        <v>33</v>
      </c>
    </row>
    <row r="13" spans="1:20" ht="38.25" x14ac:dyDescent="0.25">
      <c r="A13" s="1">
        <v>9</v>
      </c>
      <c r="B13" s="1" t="str">
        <f t="shared" si="1"/>
        <v>2015-1947</v>
      </c>
      <c r="C13" s="2" t="s">
        <v>38</v>
      </c>
      <c r="D13" s="4"/>
      <c r="E13" s="3" t="str">
        <f>""</f>
        <v/>
      </c>
      <c r="F13" s="2" t="s">
        <v>27</v>
      </c>
      <c r="G13" s="2" t="str">
        <f t="shared" si="2"/>
        <v>KAMENOLOM GORJAK D.O.O., GORNJE JESENJE bb, 49233 GORNJE JESENJE, OIB: 700926237</v>
      </c>
      <c r="H13" s="4"/>
      <c r="I13" s="1" t="s">
        <v>41</v>
      </c>
      <c r="J13" s="1" t="s">
        <v>42</v>
      </c>
      <c r="K13" s="6" t="str">
        <f>"1.500.000,00"</f>
        <v>1.500.000,00</v>
      </c>
      <c r="L13" s="6" t="str">
        <f>"375.000,00"</f>
        <v>375.000,00</v>
      </c>
      <c r="M13" s="6" t="str">
        <f>"1.875.000,00"</f>
        <v>1.875.000,00</v>
      </c>
      <c r="N13" s="5">
        <v>43708</v>
      </c>
      <c r="O13" s="7"/>
      <c r="P13" s="6" t="str">
        <f>"1.484.637,15"</f>
        <v>1.484.637,15</v>
      </c>
      <c r="Q13" s="7"/>
      <c r="R13" s="1"/>
      <c r="S13" s="1" t="str">
        <f>"13-18/NOS-62/15"</f>
        <v>13-18/NOS-62/15</v>
      </c>
      <c r="T13" s="2" t="s">
        <v>29</v>
      </c>
    </row>
    <row r="14" spans="1:20" ht="38.25" x14ac:dyDescent="0.25">
      <c r="A14" s="1">
        <v>10</v>
      </c>
      <c r="B14" s="1" t="str">
        <f t="shared" si="1"/>
        <v>2015-1947</v>
      </c>
      <c r="C14" s="2" t="s">
        <v>38</v>
      </c>
      <c r="D14" s="4"/>
      <c r="E14" s="3" t="str">
        <f>""</f>
        <v/>
      </c>
      <c r="F14" s="2" t="s">
        <v>27</v>
      </c>
      <c r="G14" s="2" t="str">
        <f t="shared" si="2"/>
        <v>KAMENOLOM GORJAK D.O.O., GORNJE JESENJE bb, 49233 GORNJE JESENJE, OIB: 700926237</v>
      </c>
      <c r="H14" s="4"/>
      <c r="I14" s="1" t="s">
        <v>43</v>
      </c>
      <c r="J14" s="1" t="s">
        <v>42</v>
      </c>
      <c r="K14" s="6" t="str">
        <f>"310.500,00"</f>
        <v>310.500,00</v>
      </c>
      <c r="L14" s="6" t="str">
        <f>"77.625,00"</f>
        <v>77.625,00</v>
      </c>
      <c r="M14" s="6" t="str">
        <f>"388.125,00"</f>
        <v>388.125,00</v>
      </c>
      <c r="N14" s="5">
        <v>43721</v>
      </c>
      <c r="O14" s="7"/>
      <c r="P14" s="6" t="str">
        <f>"391.982,81"</f>
        <v>391.982,81</v>
      </c>
      <c r="Q14" s="7"/>
      <c r="R14" s="1"/>
      <c r="S14" s="1" t="str">
        <f>"14-18/NOS-62/15"</f>
        <v>14-18/NOS-62/15</v>
      </c>
      <c r="T14" s="2" t="s">
        <v>33</v>
      </c>
    </row>
    <row r="15" spans="1:20" ht="38.25" x14ac:dyDescent="0.25">
      <c r="A15" s="1">
        <v>11</v>
      </c>
      <c r="B15" s="1" t="str">
        <f t="shared" si="1"/>
        <v>2015-1947</v>
      </c>
      <c r="C15" s="2" t="s">
        <v>38</v>
      </c>
      <c r="D15" s="1" t="s">
        <v>35</v>
      </c>
      <c r="E15" s="3" t="str">
        <f>""</f>
        <v/>
      </c>
      <c r="F15" s="2" t="s">
        <v>27</v>
      </c>
      <c r="G15" s="2" t="str">
        <f t="shared" si="2"/>
        <v>KAMENOLOM GORJAK D.O.O., GORNJE JESENJE bb, 49233 GORNJE JESENJE, OIB: 700926237</v>
      </c>
      <c r="H15" s="4"/>
      <c r="I15" s="1" t="s">
        <v>44</v>
      </c>
      <c r="J15" s="1" t="s">
        <v>45</v>
      </c>
      <c r="K15" s="6" t="str">
        <f>"5.503.300,00"</f>
        <v>5.503.300,00</v>
      </c>
      <c r="L15" s="6" t="str">
        <f>"1.375.825,00"</f>
        <v>1.375.825,00</v>
      </c>
      <c r="M15" s="6" t="str">
        <f>"6.879.125,00"</f>
        <v>6.879.125,00</v>
      </c>
      <c r="N15" s="5">
        <v>43693</v>
      </c>
      <c r="O15" s="7"/>
      <c r="P15" s="6" t="str">
        <f>"5.925.334,81"</f>
        <v>5.925.334,81</v>
      </c>
      <c r="Q15" s="7"/>
      <c r="R15" s="1"/>
      <c r="S15" s="1" t="str">
        <f>"1-19/NOS-62/15"</f>
        <v>1-19/NOS-62/15</v>
      </c>
      <c r="T15" s="2" t="s">
        <v>33</v>
      </c>
    </row>
    <row r="16" spans="1:20" ht="38.25" x14ac:dyDescent="0.25">
      <c r="A16" s="1">
        <v>12</v>
      </c>
      <c r="B16" s="1" t="str">
        <f t="shared" si="1"/>
        <v>2015-1947</v>
      </c>
      <c r="C16" s="2" t="s">
        <v>38</v>
      </c>
      <c r="D16" s="1" t="s">
        <v>35</v>
      </c>
      <c r="E16" s="3" t="str">
        <f>""</f>
        <v/>
      </c>
      <c r="F16" s="2" t="s">
        <v>27</v>
      </c>
      <c r="G16" s="2" t="str">
        <f t="shared" si="2"/>
        <v>KAMENOLOM GORJAK D.O.O., GORNJE JESENJE bb, 49233 GORNJE JESENJE, OIB: 700926237</v>
      </c>
      <c r="H16" s="4"/>
      <c r="I16" s="1" t="s">
        <v>46</v>
      </c>
      <c r="J16" s="1" t="s">
        <v>47</v>
      </c>
      <c r="K16" s="6" t="str">
        <f>"3.600,00"</f>
        <v>3.600,00</v>
      </c>
      <c r="L16" s="6" t="str">
        <f>"859,50"</f>
        <v>859,50</v>
      </c>
      <c r="M16" s="6" t="str">
        <f>"4.297,50"</f>
        <v>4.297,50</v>
      </c>
      <c r="N16" s="5">
        <v>43673</v>
      </c>
      <c r="O16" s="7"/>
      <c r="P16" s="6" t="str">
        <f>"4.297,50"</f>
        <v>4.297,50</v>
      </c>
      <c r="Q16" s="7"/>
      <c r="R16" s="1"/>
      <c r="S16" s="1" t="str">
        <f>"2-19/NOS-62/15"</f>
        <v>2-19/NOS-62/15</v>
      </c>
      <c r="T16" s="2" t="s">
        <v>33</v>
      </c>
    </row>
    <row r="17" spans="1:20" ht="51" x14ac:dyDescent="0.25">
      <c r="A17" s="1">
        <v>13</v>
      </c>
      <c r="B17" s="1" t="str">
        <f>"2015-2517"</f>
        <v>2015-2517</v>
      </c>
      <c r="C17" s="2" t="s">
        <v>48</v>
      </c>
      <c r="D17" s="1" t="s">
        <v>49</v>
      </c>
      <c r="E17" s="3" t="str">
        <f>"2015/S 002-0039025"</f>
        <v>2015/S 002-0039025</v>
      </c>
      <c r="F17" s="2" t="s">
        <v>23</v>
      </c>
      <c r="G17" s="2" t="str">
        <f>CONCATENATE("KING ICT D.O.O.,"," BUZINSKI PRILAZ 10,"," 10010 ZAGREB,"," OIB: 67001695549")</f>
        <v>KING ICT D.O.O., BUZINSKI PRILAZ 10, 10010 ZAGREB, OIB: 67001695549</v>
      </c>
      <c r="H17" s="4"/>
      <c r="I17" s="1" t="s">
        <v>50</v>
      </c>
      <c r="J17" s="1" t="s">
        <v>42</v>
      </c>
      <c r="K17" s="6" t="str">
        <f>"2.000.000,00"</f>
        <v>2.000.000,00</v>
      </c>
      <c r="L17" s="6" t="str">
        <f>"500.000,00"</f>
        <v>500.000,00</v>
      </c>
      <c r="M17" s="6" t="str">
        <f>"2.500.000,00"</f>
        <v>2.500.000,00</v>
      </c>
      <c r="N17" s="7"/>
      <c r="O17" s="7"/>
      <c r="P17" s="6" t="str">
        <f>""</f>
        <v/>
      </c>
      <c r="Q17" s="7"/>
      <c r="R17" s="1"/>
      <c r="S17" s="1" t="str">
        <f>"NOS-176/15"</f>
        <v>NOS-176/15</v>
      </c>
      <c r="T17" s="2" t="s">
        <v>33</v>
      </c>
    </row>
    <row r="18" spans="1:20" ht="63.75" x14ac:dyDescent="0.25">
      <c r="A18" s="1">
        <v>14</v>
      </c>
      <c r="B18" s="1" t="str">
        <f>"2015-2517"</f>
        <v>2015-2517</v>
      </c>
      <c r="C18" s="2" t="s">
        <v>51</v>
      </c>
      <c r="D18" s="4"/>
      <c r="E18" s="3" t="str">
        <f>""</f>
        <v/>
      </c>
      <c r="F18" s="2" t="s">
        <v>52</v>
      </c>
      <c r="G18" s="2" t="str">
        <f>CONCATENATE("KING ICT D.O.O.,"," BUZINSKI PRILAZ 10,"," 10010 ZAGREB,"," OIB: 67001695549")</f>
        <v>KING ICT D.O.O., BUZINSKI PRILAZ 10, 10010 ZAGREB, OIB: 67001695549</v>
      </c>
      <c r="H18" s="4"/>
      <c r="I18" s="1" t="s">
        <v>53</v>
      </c>
      <c r="J18" s="1" t="s">
        <v>40</v>
      </c>
      <c r="K18" s="6" t="str">
        <f>"27.830,81"</f>
        <v>27.830,81</v>
      </c>
      <c r="L18" s="6" t="str">
        <f>"6.957,70"</f>
        <v>6.957,70</v>
      </c>
      <c r="M18" s="6" t="str">
        <f>"34.788,51"</f>
        <v>34.788,51</v>
      </c>
      <c r="N18" s="5">
        <v>43503</v>
      </c>
      <c r="O18" s="7"/>
      <c r="P18" s="6" t="str">
        <f>"34.788,51"</f>
        <v>34.788,51</v>
      </c>
      <c r="Q18" s="7"/>
      <c r="R18" s="1"/>
      <c r="S18" s="1" t="str">
        <f>"2-18/NOS-176/15#1"</f>
        <v>2-18/NOS-176/15#1</v>
      </c>
      <c r="T18" s="2" t="s">
        <v>33</v>
      </c>
    </row>
    <row r="19" spans="1:20" ht="114.75" x14ac:dyDescent="0.25">
      <c r="A19" s="1">
        <v>15</v>
      </c>
      <c r="B19" s="1" t="str">
        <f>"2015-2198"</f>
        <v>2015-2198</v>
      </c>
      <c r="C19" s="2" t="s">
        <v>54</v>
      </c>
      <c r="D19" s="1" t="s">
        <v>55</v>
      </c>
      <c r="E19" s="3" t="str">
        <f>"2015/S 002-0022457"</f>
        <v>2015/S 002-0022457</v>
      </c>
      <c r="F19" s="2" t="s">
        <v>23</v>
      </c>
      <c r="G19" s="2" t="str">
        <f>CONCATENATE("NARODNE NOVINE D.D.,"," OIB: 64546066176",CHAR(10),"TIP - ZAGREB D.O.O.,"," VINOGRADSKA 34,"," 10431 SVETA NEDJELJA,"," OIB: 36198195227",CHAR(10),"BIRODOM D.O.O.,"," UL. HOJNIKOVA 19,"," 10250 LUČKO,"," OIB: 47794513055")</f>
        <v>NARODNE NOVINE D.D., OIB: 64546066176
TIP - ZAGREB D.O.O., VINOGRADSKA 34, 10431 SVETA NEDJELJA, OIB: 36198195227
BIRODOM D.O.O., UL. HOJNIKOVA 19, 10250 LUČKO, OIB: 47794513055</v>
      </c>
      <c r="H19" s="4"/>
      <c r="I19" s="1" t="s">
        <v>56</v>
      </c>
      <c r="J19" s="1" t="s">
        <v>57</v>
      </c>
      <c r="K19" s="6" t="str">
        <f>"7.952.000,00"</f>
        <v>7.952.000,00</v>
      </c>
      <c r="L19" s="6" t="str">
        <f>"1.988.000,00"</f>
        <v>1.988.000,00</v>
      </c>
      <c r="M19" s="6" t="str">
        <f>"9.940.000,00"</f>
        <v>9.940.000,00</v>
      </c>
      <c r="N19" s="7"/>
      <c r="O19" s="7"/>
      <c r="P19" s="6" t="str">
        <f>""</f>
        <v/>
      </c>
      <c r="Q19" s="7"/>
      <c r="R19" s="1"/>
      <c r="S19" s="1" t="str">
        <f>"NOS-196-ZGH/15"</f>
        <v>NOS-196-ZGH/15</v>
      </c>
      <c r="T19" s="2" t="s">
        <v>58</v>
      </c>
    </row>
    <row r="20" spans="1:20" ht="25.5" x14ac:dyDescent="0.25">
      <c r="A20" s="1">
        <v>16</v>
      </c>
      <c r="B20" s="1" t="str">
        <f>"2015-2198"</f>
        <v>2015-2198</v>
      </c>
      <c r="C20" s="2" t="s">
        <v>54</v>
      </c>
      <c r="D20" s="1" t="s">
        <v>55</v>
      </c>
      <c r="E20" s="3" t="str">
        <f>""</f>
        <v/>
      </c>
      <c r="F20" s="2" t="s">
        <v>27</v>
      </c>
      <c r="G20" s="2" t="str">
        <f>CONCATENATE("NARODNE NOVINE D.D.,"," OIB: 64546066176")</f>
        <v>NARODNE NOVINE D.D., OIB: 64546066176</v>
      </c>
      <c r="H20" s="4"/>
      <c r="I20" s="1" t="s">
        <v>59</v>
      </c>
      <c r="J20" s="1" t="s">
        <v>42</v>
      </c>
      <c r="K20" s="6" t="str">
        <f>"13.280,91"</f>
        <v>13.280,91</v>
      </c>
      <c r="L20" s="6" t="str">
        <f>"3.320,23"</f>
        <v>3.320,23</v>
      </c>
      <c r="M20" s="6" t="str">
        <f>"16.601,14"</f>
        <v>16.601,14</v>
      </c>
      <c r="N20" s="5">
        <v>43550</v>
      </c>
      <c r="O20" s="7"/>
      <c r="P20" s="6" t="str">
        <f>"15.625,64"</f>
        <v>15.625,64</v>
      </c>
      <c r="Q20" s="7"/>
      <c r="R20" s="1"/>
      <c r="S20" s="1" t="str">
        <f>"14-18/NOS-196-ZGH/15"</f>
        <v>14-18/NOS-196-ZGH/15</v>
      </c>
      <c r="T20" s="2" t="s">
        <v>60</v>
      </c>
    </row>
    <row r="21" spans="1:20" ht="51" x14ac:dyDescent="0.25">
      <c r="A21" s="1">
        <v>17</v>
      </c>
      <c r="B21" s="1" t="str">
        <f>"2015-2198"</f>
        <v>2015-2198</v>
      </c>
      <c r="C21" s="2" t="s">
        <v>61</v>
      </c>
      <c r="D21" s="1" t="s">
        <v>55</v>
      </c>
      <c r="E21" s="3" t="str">
        <f>""</f>
        <v/>
      </c>
      <c r="F21" s="2" t="s">
        <v>52</v>
      </c>
      <c r="G21" s="2" t="str">
        <f>CONCATENATE("NARODNE NOVINE D.D.,"," OIB: 64546066176")</f>
        <v>NARODNE NOVINE D.D., OIB: 64546066176</v>
      </c>
      <c r="H21" s="4"/>
      <c r="I21" s="1" t="s">
        <v>62</v>
      </c>
      <c r="J21" s="1" t="s">
        <v>42</v>
      </c>
      <c r="K21" s="6" t="str">
        <f>"1.060,00"</f>
        <v>1.060,00</v>
      </c>
      <c r="L21" s="6" t="str">
        <f>"265,00"</f>
        <v>265,00</v>
      </c>
      <c r="M21" s="6" t="str">
        <f>"1.325,00"</f>
        <v>1.325,00</v>
      </c>
      <c r="N21" s="5">
        <v>43448</v>
      </c>
      <c r="O21" s="7"/>
      <c r="P21" s="6" t="str">
        <f>"1.325,00"</f>
        <v>1.325,00</v>
      </c>
      <c r="Q21" s="7"/>
      <c r="R21" s="1"/>
      <c r="S21" s="1" t="str">
        <f>"14-18/NOS-196-ZGH/15#1"</f>
        <v>14-18/NOS-196-ZGH/15#1</v>
      </c>
      <c r="T21" s="2" t="s">
        <v>60</v>
      </c>
    </row>
    <row r="22" spans="1:20" ht="38.25" x14ac:dyDescent="0.25">
      <c r="A22" s="1">
        <v>18</v>
      </c>
      <c r="B22" s="1" t="str">
        <f>"2015-2198"</f>
        <v>2015-2198</v>
      </c>
      <c r="C22" s="2" t="s">
        <v>54</v>
      </c>
      <c r="D22" s="1" t="s">
        <v>55</v>
      </c>
      <c r="E22" s="3" t="str">
        <f>""</f>
        <v/>
      </c>
      <c r="F22" s="2" t="s">
        <v>27</v>
      </c>
      <c r="G22" s="2" t="str">
        <f>CONCATENATE("TIP - ZAGREB D.O.O.,"," VINOGRADSKA 34,"," 10431 SVETA NEDJELJA,"," OIB: 36198195227")</f>
        <v>TIP - ZAGREB D.O.O., VINOGRADSKA 34, 10431 SVETA NEDJELJA, OIB: 36198195227</v>
      </c>
      <c r="H22" s="4"/>
      <c r="I22" s="1" t="s">
        <v>63</v>
      </c>
      <c r="J22" s="1" t="s">
        <v>64</v>
      </c>
      <c r="K22" s="6" t="str">
        <f>"68.144,88"</f>
        <v>68.144,88</v>
      </c>
      <c r="L22" s="6" t="str">
        <f>"17.036,22"</f>
        <v>17.036,22</v>
      </c>
      <c r="M22" s="6" t="str">
        <f>"85.181,10"</f>
        <v>85.181,10</v>
      </c>
      <c r="N22" s="5">
        <v>43483</v>
      </c>
      <c r="O22" s="7"/>
      <c r="P22" s="6" t="str">
        <f>"20.134,72"</f>
        <v>20.134,72</v>
      </c>
      <c r="Q22" s="7"/>
      <c r="R22" s="1"/>
      <c r="S22" s="1" t="str">
        <f>"18-18/NOS-196-ZGH/15"</f>
        <v>18-18/NOS-196-ZGH/15</v>
      </c>
      <c r="T22" s="2" t="s">
        <v>65</v>
      </c>
    </row>
    <row r="23" spans="1:20" ht="38.25" x14ac:dyDescent="0.25">
      <c r="A23" s="1">
        <v>19</v>
      </c>
      <c r="B23" s="1" t="str">
        <f>"2016-10"</f>
        <v>2016-10</v>
      </c>
      <c r="C23" s="2" t="s">
        <v>66</v>
      </c>
      <c r="D23" s="1" t="s">
        <v>67</v>
      </c>
      <c r="E23" s="3" t="str">
        <f>"2016/S 002-0003641"</f>
        <v>2016/S 002-0003641</v>
      </c>
      <c r="F23" s="2" t="s">
        <v>23</v>
      </c>
      <c r="G23" s="2" t="str">
        <f>CONCATENATE("IN2 D.O.O.,"," MAROHNIĆEVA 1/1,"," 10000 ZAGREB,"," OIB: 68195665956")</f>
        <v>IN2 D.O.O., MAROHNIĆEVA 1/1, 10000 ZAGREB, OIB: 68195665956</v>
      </c>
      <c r="H23" s="4"/>
      <c r="I23" s="1" t="s">
        <v>68</v>
      </c>
      <c r="J23" s="1" t="s">
        <v>69</v>
      </c>
      <c r="K23" s="6" t="str">
        <f>"10.000.000,00"</f>
        <v>10.000.000,00</v>
      </c>
      <c r="L23" s="6" t="str">
        <f>"2.500.000,00"</f>
        <v>2.500.000,00</v>
      </c>
      <c r="M23" s="6" t="str">
        <f>"12.500.000,00"</f>
        <v>12.500.000,00</v>
      </c>
      <c r="N23" s="7"/>
      <c r="O23" s="7"/>
      <c r="P23" s="6" t="str">
        <f>""</f>
        <v/>
      </c>
      <c r="Q23" s="7"/>
      <c r="R23" s="1"/>
      <c r="S23" s="1" t="str">
        <f>"NOS-8/16"</f>
        <v>NOS-8/16</v>
      </c>
      <c r="T23" s="2" t="s">
        <v>33</v>
      </c>
    </row>
    <row r="24" spans="1:20" ht="38.25" x14ac:dyDescent="0.25">
      <c r="A24" s="1">
        <v>20</v>
      </c>
      <c r="B24" s="1" t="str">
        <f>"2016-10"</f>
        <v>2016-10</v>
      </c>
      <c r="C24" s="2" t="s">
        <v>66</v>
      </c>
      <c r="D24" s="1" t="s">
        <v>67</v>
      </c>
      <c r="E24" s="3" t="str">
        <f>""</f>
        <v/>
      </c>
      <c r="F24" s="2" t="s">
        <v>27</v>
      </c>
      <c r="G24" s="2" t="str">
        <f>CONCATENATE("IN2 D.O.O.,"," MAROHNIĆEVA 1/1,"," 10000 ZAGREB,"," OIB: 68195665956")</f>
        <v>IN2 D.O.O., MAROHNIĆEVA 1/1, 10000 ZAGREB, OIB: 68195665956</v>
      </c>
      <c r="H24" s="4"/>
      <c r="I24" s="1" t="s">
        <v>70</v>
      </c>
      <c r="J24" s="1" t="s">
        <v>71</v>
      </c>
      <c r="K24" s="6" t="str">
        <f>"2.299.375,00"</f>
        <v>2.299.375,00</v>
      </c>
      <c r="L24" s="6" t="str">
        <f>"574.843,75"</f>
        <v>574.843,75</v>
      </c>
      <c r="M24" s="6" t="str">
        <f>"2.874.218,75"</f>
        <v>2.874.218,75</v>
      </c>
      <c r="N24" s="5">
        <v>43537</v>
      </c>
      <c r="O24" s="7"/>
      <c r="P24" s="6" t="str">
        <f>"2.847.468,75"</f>
        <v>2.847.468,75</v>
      </c>
      <c r="Q24" s="7"/>
      <c r="R24" s="1"/>
      <c r="S24" s="1" t="str">
        <f>"1-18/NOS-8/16"</f>
        <v>1-18/NOS-8/16</v>
      </c>
      <c r="T24" s="2" t="s">
        <v>33</v>
      </c>
    </row>
    <row r="25" spans="1:20" ht="51" x14ac:dyDescent="0.25">
      <c r="A25" s="1">
        <v>21</v>
      </c>
      <c r="B25" s="1" t="str">
        <f>"2016-10"</f>
        <v>2016-10</v>
      </c>
      <c r="C25" s="2" t="s">
        <v>72</v>
      </c>
      <c r="D25" s="1" t="s">
        <v>67</v>
      </c>
      <c r="E25" s="3" t="str">
        <f>""</f>
        <v/>
      </c>
      <c r="F25" s="2" t="s">
        <v>52</v>
      </c>
      <c r="G25" s="2" t="str">
        <f>CONCATENATE("IN2 D.O.O.,"," MAROHNIĆEVA 1/1,"," 10000 ZAGREB,"," OIB: 68195665956")</f>
        <v>IN2 D.O.O., MAROHNIĆEVA 1/1, 10000 ZAGREB, OIB: 68195665956</v>
      </c>
      <c r="H25" s="4"/>
      <c r="I25" s="1" t="s">
        <v>73</v>
      </c>
      <c r="J25" s="1" t="s">
        <v>74</v>
      </c>
      <c r="K25" s="6" t="str">
        <f>""</f>
        <v/>
      </c>
      <c r="L25" s="6" t="str">
        <f>"0,00"</f>
        <v>0,00</v>
      </c>
      <c r="M25" s="6" t="str">
        <f>"0,00"</f>
        <v>0,00</v>
      </c>
      <c r="N25" s="5">
        <v>43622</v>
      </c>
      <c r="O25" s="7"/>
      <c r="P25" s="6" t="str">
        <f>"250.000,00"</f>
        <v>250.000,00</v>
      </c>
      <c r="Q25" s="7"/>
      <c r="R25" s="1"/>
      <c r="S25" s="1" t="str">
        <f>"1-18/NOS-8/16#1"</f>
        <v>1-18/NOS-8/16#1</v>
      </c>
      <c r="T25" s="2" t="s">
        <v>33</v>
      </c>
    </row>
    <row r="26" spans="1:20" ht="63.75" x14ac:dyDescent="0.25">
      <c r="A26" s="1">
        <v>22</v>
      </c>
      <c r="B26" s="1" t="str">
        <f t="shared" ref="B26:B39" si="3">"2016-2565"</f>
        <v>2016-2565</v>
      </c>
      <c r="C26" s="2" t="s">
        <v>75</v>
      </c>
      <c r="D26" s="1" t="s">
        <v>76</v>
      </c>
      <c r="E26" s="3" t="str">
        <f>"2016/S 002-0011348"</f>
        <v>2016/S 002-0011348</v>
      </c>
      <c r="F26" s="2" t="s">
        <v>23</v>
      </c>
      <c r="G26" s="2" t="str">
        <f t="shared" ref="G26:G39" si="4">CONCATENATE("VELPRO-CENTAR PLUS D.O.O.,"," OIB: 81169150175")</f>
        <v>VELPRO-CENTAR PLUS D.O.O., OIB: 81169150175</v>
      </c>
      <c r="H26" s="4"/>
      <c r="I26" s="1" t="s">
        <v>77</v>
      </c>
      <c r="J26" s="1" t="s">
        <v>78</v>
      </c>
      <c r="K26" s="6" t="str">
        <f>"8.000.000,00"</f>
        <v>8.000.000,00</v>
      </c>
      <c r="L26" s="6" t="str">
        <f>"2.000.000,00"</f>
        <v>2.000.000,00</v>
      </c>
      <c r="M26" s="6" t="str">
        <f>"10.000.000,00"</f>
        <v>10.000.000,00</v>
      </c>
      <c r="N26" s="7"/>
      <c r="O26" s="7"/>
      <c r="P26" s="6" t="str">
        <f>""</f>
        <v/>
      </c>
      <c r="Q26" s="7"/>
      <c r="R26" s="1"/>
      <c r="S26" s="1" t="str">
        <f>"NOS-54-A/16"</f>
        <v>NOS-54-A/16</v>
      </c>
      <c r="T26" s="2" t="s">
        <v>79</v>
      </c>
    </row>
    <row r="27" spans="1:20" ht="25.5" x14ac:dyDescent="0.25">
      <c r="A27" s="1">
        <v>23</v>
      </c>
      <c r="B27" s="1" t="str">
        <f t="shared" si="3"/>
        <v>2016-2565</v>
      </c>
      <c r="C27" s="2" t="s">
        <v>75</v>
      </c>
      <c r="D27" s="1" t="s">
        <v>76</v>
      </c>
      <c r="E27" s="3" t="str">
        <f>""</f>
        <v/>
      </c>
      <c r="F27" s="2" t="s">
        <v>27</v>
      </c>
      <c r="G27" s="2" t="str">
        <f t="shared" si="4"/>
        <v>VELPRO-CENTAR PLUS D.O.O., OIB: 81169150175</v>
      </c>
      <c r="H27" s="4"/>
      <c r="I27" s="1" t="s">
        <v>80</v>
      </c>
      <c r="J27" s="1" t="s">
        <v>81</v>
      </c>
      <c r="K27" s="6" t="str">
        <f>"2.681.359,85"</f>
        <v>2.681.359,85</v>
      </c>
      <c r="L27" s="6" t="str">
        <f>"670.339,96"</f>
        <v>670.339,96</v>
      </c>
      <c r="M27" s="6" t="str">
        <f>"3.351.699,81"</f>
        <v>3.351.699,81</v>
      </c>
      <c r="N27" s="5">
        <v>43676</v>
      </c>
      <c r="O27" s="7"/>
      <c r="P27" s="6" t="str">
        <f>"873.177,16"</f>
        <v>873.177,16</v>
      </c>
      <c r="Q27" s="7"/>
      <c r="R27" s="1"/>
      <c r="S27" s="1" t="str">
        <f>"2-17/NOS-54-A/16"</f>
        <v>2-17/NOS-54-A/16</v>
      </c>
      <c r="T27" s="2" t="s">
        <v>33</v>
      </c>
    </row>
    <row r="28" spans="1:20" ht="25.5" x14ac:dyDescent="0.25">
      <c r="A28" s="1">
        <v>24</v>
      </c>
      <c r="B28" s="1" t="str">
        <f t="shared" si="3"/>
        <v>2016-2565</v>
      </c>
      <c r="C28" s="2" t="s">
        <v>75</v>
      </c>
      <c r="D28" s="4"/>
      <c r="E28" s="3" t="str">
        <f>""</f>
        <v/>
      </c>
      <c r="F28" s="2" t="s">
        <v>27</v>
      </c>
      <c r="G28" s="2" t="str">
        <f t="shared" si="4"/>
        <v>VELPRO-CENTAR PLUS D.O.O., OIB: 81169150175</v>
      </c>
      <c r="H28" s="4"/>
      <c r="I28" s="1" t="s">
        <v>82</v>
      </c>
      <c r="J28" s="1" t="s">
        <v>83</v>
      </c>
      <c r="K28" s="6" t="str">
        <f>"783.795,92"</f>
        <v>783.795,92</v>
      </c>
      <c r="L28" s="6" t="str">
        <f>"195.948,98"</f>
        <v>195.948,98</v>
      </c>
      <c r="M28" s="6" t="str">
        <f>"979.744,90"</f>
        <v>979.744,90</v>
      </c>
      <c r="N28" s="5">
        <v>116495</v>
      </c>
      <c r="O28" s="7"/>
      <c r="P28" s="6" t="str">
        <f>"349.825,06"</f>
        <v>349.825,06</v>
      </c>
      <c r="Q28" s="7"/>
      <c r="R28" s="1"/>
      <c r="S28" s="1" t="str">
        <f>"3-18/NOS-54-A/16"</f>
        <v>3-18/NOS-54-A/16</v>
      </c>
      <c r="T28" s="2" t="s">
        <v>33</v>
      </c>
    </row>
    <row r="29" spans="1:20" ht="25.5" x14ac:dyDescent="0.25">
      <c r="A29" s="1">
        <v>25</v>
      </c>
      <c r="B29" s="1" t="str">
        <f t="shared" si="3"/>
        <v>2016-2565</v>
      </c>
      <c r="C29" s="2" t="s">
        <v>75</v>
      </c>
      <c r="D29" s="4"/>
      <c r="E29" s="3" t="str">
        <f>""</f>
        <v/>
      </c>
      <c r="F29" s="2" t="s">
        <v>27</v>
      </c>
      <c r="G29" s="2" t="str">
        <f t="shared" si="4"/>
        <v>VELPRO-CENTAR PLUS D.O.O., OIB: 81169150175</v>
      </c>
      <c r="H29" s="4"/>
      <c r="I29" s="1" t="s">
        <v>84</v>
      </c>
      <c r="J29" s="1" t="s">
        <v>71</v>
      </c>
      <c r="K29" s="6" t="str">
        <f>"149.992,34"</f>
        <v>149.992,34</v>
      </c>
      <c r="L29" s="6" t="str">
        <f>"37.498,09"</f>
        <v>37.498,09</v>
      </c>
      <c r="M29" s="6" t="str">
        <f>"187.490,43"</f>
        <v>187.490,43</v>
      </c>
      <c r="N29" s="5">
        <v>43701</v>
      </c>
      <c r="O29" s="7"/>
      <c r="P29" s="6" t="str">
        <f>"111.583,86"</f>
        <v>111.583,86</v>
      </c>
      <c r="Q29" s="7"/>
      <c r="R29" s="1"/>
      <c r="S29" s="1" t="str">
        <f>"7-18/NOS-54-A/16"</f>
        <v>7-18/NOS-54-A/16</v>
      </c>
      <c r="T29" s="2" t="s">
        <v>29</v>
      </c>
    </row>
    <row r="30" spans="1:20" ht="25.5" x14ac:dyDescent="0.25">
      <c r="A30" s="1">
        <v>26</v>
      </c>
      <c r="B30" s="1" t="str">
        <f t="shared" si="3"/>
        <v>2016-2565</v>
      </c>
      <c r="C30" s="2" t="s">
        <v>75</v>
      </c>
      <c r="D30" s="1" t="s">
        <v>76</v>
      </c>
      <c r="E30" s="3" t="str">
        <f>""</f>
        <v/>
      </c>
      <c r="F30" s="2" t="s">
        <v>27</v>
      </c>
      <c r="G30" s="2" t="str">
        <f t="shared" si="4"/>
        <v>VELPRO-CENTAR PLUS D.O.O., OIB: 81169150175</v>
      </c>
      <c r="H30" s="4"/>
      <c r="I30" s="1" t="s">
        <v>85</v>
      </c>
      <c r="J30" s="1" t="s">
        <v>42</v>
      </c>
      <c r="K30" s="6" t="str">
        <f>"1.205.957,88"</f>
        <v>1.205.957,88</v>
      </c>
      <c r="L30" s="6" t="str">
        <f>"301.489,47"</f>
        <v>301.489,47</v>
      </c>
      <c r="M30" s="6" t="str">
        <f>"1.507.447,35"</f>
        <v>1.507.447,35</v>
      </c>
      <c r="N30" s="5">
        <v>43672</v>
      </c>
      <c r="O30" s="7"/>
      <c r="P30" s="6" t="str">
        <f>"513.693,05"</f>
        <v>513.693,05</v>
      </c>
      <c r="Q30" s="7"/>
      <c r="R30" s="1"/>
      <c r="S30" s="1" t="str">
        <f>"17-18/NOS-54-A/16"</f>
        <v>17-18/NOS-54-A/16</v>
      </c>
      <c r="T30" s="2" t="s">
        <v>33</v>
      </c>
    </row>
    <row r="31" spans="1:20" ht="63.75" x14ac:dyDescent="0.25">
      <c r="A31" s="1">
        <v>27</v>
      </c>
      <c r="B31" s="1" t="str">
        <f t="shared" si="3"/>
        <v>2016-2565</v>
      </c>
      <c r="C31" s="2" t="s">
        <v>75</v>
      </c>
      <c r="D31" s="1" t="s">
        <v>76</v>
      </c>
      <c r="E31" s="3" t="str">
        <f>"2016/S 002-0011348"</f>
        <v>2016/S 002-0011348</v>
      </c>
      <c r="F31" s="2" t="s">
        <v>23</v>
      </c>
      <c r="G31" s="2" t="str">
        <f t="shared" si="4"/>
        <v>VELPRO-CENTAR PLUS D.O.O., OIB: 81169150175</v>
      </c>
      <c r="H31" s="4"/>
      <c r="I31" s="1" t="s">
        <v>77</v>
      </c>
      <c r="J31" s="1" t="s">
        <v>78</v>
      </c>
      <c r="K31" s="6" t="str">
        <f>"2.500.000,00"</f>
        <v>2.500.000,00</v>
      </c>
      <c r="L31" s="6" t="str">
        <f>"625.000,00"</f>
        <v>625.000,00</v>
      </c>
      <c r="M31" s="6" t="str">
        <f>"3.125.000,00"</f>
        <v>3.125.000,00</v>
      </c>
      <c r="N31" s="7"/>
      <c r="O31" s="7"/>
      <c r="P31" s="6" t="str">
        <f>""</f>
        <v/>
      </c>
      <c r="Q31" s="7"/>
      <c r="R31" s="1"/>
      <c r="S31" s="1" t="str">
        <f>"NOS-54-B/16"</f>
        <v>NOS-54-B/16</v>
      </c>
      <c r="T31" s="2" t="s">
        <v>79</v>
      </c>
    </row>
    <row r="32" spans="1:20" ht="25.5" x14ac:dyDescent="0.25">
      <c r="A32" s="1">
        <v>28</v>
      </c>
      <c r="B32" s="1" t="str">
        <f t="shared" si="3"/>
        <v>2016-2565</v>
      </c>
      <c r="C32" s="2" t="s">
        <v>75</v>
      </c>
      <c r="D32" s="4"/>
      <c r="E32" s="3" t="str">
        <f>""</f>
        <v/>
      </c>
      <c r="F32" s="2" t="s">
        <v>27</v>
      </c>
      <c r="G32" s="2" t="str">
        <f t="shared" si="4"/>
        <v>VELPRO-CENTAR PLUS D.O.O., OIB: 81169150175</v>
      </c>
      <c r="H32" s="4"/>
      <c r="I32" s="1" t="s">
        <v>82</v>
      </c>
      <c r="J32" s="1" t="s">
        <v>83</v>
      </c>
      <c r="K32" s="6" t="str">
        <f>"296.959,65"</f>
        <v>296.959,65</v>
      </c>
      <c r="L32" s="6" t="str">
        <f>"74.239,91"</f>
        <v>74.239,91</v>
      </c>
      <c r="M32" s="6" t="str">
        <f>"371.199,56"</f>
        <v>371.199,56</v>
      </c>
      <c r="N32" s="5">
        <v>43566</v>
      </c>
      <c r="O32" s="7"/>
      <c r="P32" s="6" t="str">
        <f>"183.756,56"</f>
        <v>183.756,56</v>
      </c>
      <c r="Q32" s="7"/>
      <c r="R32" s="1"/>
      <c r="S32" s="1" t="str">
        <f>"3-18/NOS-54-B/16"</f>
        <v>3-18/NOS-54-B/16</v>
      </c>
      <c r="T32" s="2" t="s">
        <v>33</v>
      </c>
    </row>
    <row r="33" spans="1:20" ht="25.5" x14ac:dyDescent="0.25">
      <c r="A33" s="1">
        <v>29</v>
      </c>
      <c r="B33" s="1" t="str">
        <f t="shared" si="3"/>
        <v>2016-2565</v>
      </c>
      <c r="C33" s="2" t="s">
        <v>75</v>
      </c>
      <c r="D33" s="4"/>
      <c r="E33" s="3" t="str">
        <f>""</f>
        <v/>
      </c>
      <c r="F33" s="2" t="s">
        <v>27</v>
      </c>
      <c r="G33" s="2" t="str">
        <f t="shared" si="4"/>
        <v>VELPRO-CENTAR PLUS D.O.O., OIB: 81169150175</v>
      </c>
      <c r="H33" s="4"/>
      <c r="I33" s="1" t="s">
        <v>84</v>
      </c>
      <c r="J33" s="1" t="s">
        <v>71</v>
      </c>
      <c r="K33" s="6" t="str">
        <f>"59.527,22"</f>
        <v>59.527,22</v>
      </c>
      <c r="L33" s="6" t="str">
        <f>"14.881,81"</f>
        <v>14.881,81</v>
      </c>
      <c r="M33" s="6" t="str">
        <f>"74.409,03"</f>
        <v>74.409,03</v>
      </c>
      <c r="N33" s="5">
        <v>43589</v>
      </c>
      <c r="O33" s="7"/>
      <c r="P33" s="6" t="str">
        <f>"61.899,24"</f>
        <v>61.899,24</v>
      </c>
      <c r="Q33" s="7"/>
      <c r="R33" s="1"/>
      <c r="S33" s="1" t="str">
        <f>"7-18/NOS-54-B/16"</f>
        <v>7-18/NOS-54-B/16</v>
      </c>
      <c r="T33" s="2" t="s">
        <v>29</v>
      </c>
    </row>
    <row r="34" spans="1:20" ht="25.5" x14ac:dyDescent="0.25">
      <c r="A34" s="1">
        <v>30</v>
      </c>
      <c r="B34" s="1" t="str">
        <f t="shared" si="3"/>
        <v>2016-2565</v>
      </c>
      <c r="C34" s="2" t="s">
        <v>75</v>
      </c>
      <c r="D34" s="1" t="s">
        <v>76</v>
      </c>
      <c r="E34" s="3" t="str">
        <f>""</f>
        <v/>
      </c>
      <c r="F34" s="2" t="s">
        <v>27</v>
      </c>
      <c r="G34" s="2" t="str">
        <f t="shared" si="4"/>
        <v>VELPRO-CENTAR PLUS D.O.O., OIB: 81169150175</v>
      </c>
      <c r="H34" s="4"/>
      <c r="I34" s="1" t="s">
        <v>86</v>
      </c>
      <c r="J34" s="1" t="s">
        <v>42</v>
      </c>
      <c r="K34" s="6" t="str">
        <f>"198.856,46"</f>
        <v>198.856,46</v>
      </c>
      <c r="L34" s="6" t="str">
        <f>"49.714,12"</f>
        <v>49.714,12</v>
      </c>
      <c r="M34" s="6" t="str">
        <f>"248.570,58"</f>
        <v>248.570,58</v>
      </c>
      <c r="N34" s="5">
        <v>116404</v>
      </c>
      <c r="O34" s="7"/>
      <c r="P34" s="6" t="str">
        <f>"106.971,92"</f>
        <v>106.971,92</v>
      </c>
      <c r="Q34" s="7"/>
      <c r="R34" s="1"/>
      <c r="S34" s="1" t="str">
        <f>"16-18/NOS-54-B/16"</f>
        <v>16-18/NOS-54-B/16</v>
      </c>
      <c r="T34" s="2" t="s">
        <v>33</v>
      </c>
    </row>
    <row r="35" spans="1:20" ht="63.75" x14ac:dyDescent="0.25">
      <c r="A35" s="1">
        <v>31</v>
      </c>
      <c r="B35" s="1" t="str">
        <f t="shared" si="3"/>
        <v>2016-2565</v>
      </c>
      <c r="C35" s="2" t="s">
        <v>75</v>
      </c>
      <c r="D35" s="1" t="s">
        <v>76</v>
      </c>
      <c r="E35" s="3" t="str">
        <f>"2016/S 002-0011348"</f>
        <v>2016/S 002-0011348</v>
      </c>
      <c r="F35" s="2" t="s">
        <v>23</v>
      </c>
      <c r="G35" s="2" t="str">
        <f t="shared" si="4"/>
        <v>VELPRO-CENTAR PLUS D.O.O., OIB: 81169150175</v>
      </c>
      <c r="H35" s="4"/>
      <c r="I35" s="1" t="s">
        <v>77</v>
      </c>
      <c r="J35" s="1" t="s">
        <v>78</v>
      </c>
      <c r="K35" s="6" t="str">
        <f>"1.500.000,00"</f>
        <v>1.500.000,00</v>
      </c>
      <c r="L35" s="6" t="str">
        <f>"375.000,00"</f>
        <v>375.000,00</v>
      </c>
      <c r="M35" s="6" t="str">
        <f>"1.875.000,00"</f>
        <v>1.875.000,00</v>
      </c>
      <c r="N35" s="7"/>
      <c r="O35" s="7"/>
      <c r="P35" s="6" t="str">
        <f>""</f>
        <v/>
      </c>
      <c r="Q35" s="7"/>
      <c r="R35" s="1"/>
      <c r="S35" s="1" t="str">
        <f>"NOS-54-C/16"</f>
        <v>NOS-54-C/16</v>
      </c>
      <c r="T35" s="2" t="s">
        <v>79</v>
      </c>
    </row>
    <row r="36" spans="1:20" ht="25.5" x14ac:dyDescent="0.25">
      <c r="A36" s="1">
        <v>32</v>
      </c>
      <c r="B36" s="1" t="str">
        <f t="shared" si="3"/>
        <v>2016-2565</v>
      </c>
      <c r="C36" s="2" t="s">
        <v>75</v>
      </c>
      <c r="D36" s="4"/>
      <c r="E36" s="3" t="str">
        <f>""</f>
        <v/>
      </c>
      <c r="F36" s="2" t="s">
        <v>27</v>
      </c>
      <c r="G36" s="2" t="str">
        <f t="shared" si="4"/>
        <v>VELPRO-CENTAR PLUS D.O.O., OIB: 81169150175</v>
      </c>
      <c r="H36" s="4"/>
      <c r="I36" s="1" t="s">
        <v>84</v>
      </c>
      <c r="J36" s="1" t="s">
        <v>71</v>
      </c>
      <c r="K36" s="6" t="str">
        <f>"40.002,60"</f>
        <v>40.002,60</v>
      </c>
      <c r="L36" s="6" t="str">
        <f>"10.000,65"</f>
        <v>10.000,65</v>
      </c>
      <c r="M36" s="6" t="str">
        <f>"50.003,25"</f>
        <v>50.003,25</v>
      </c>
      <c r="N36" s="5">
        <v>43703</v>
      </c>
      <c r="O36" s="7"/>
      <c r="P36" s="6" t="str">
        <f>"36.083,55"</f>
        <v>36.083,55</v>
      </c>
      <c r="Q36" s="7"/>
      <c r="R36" s="1"/>
      <c r="S36" s="1" t="str">
        <f>"4-18/NOS-54-C/16"</f>
        <v>4-18/NOS-54-C/16</v>
      </c>
      <c r="T36" s="2" t="s">
        <v>29</v>
      </c>
    </row>
    <row r="37" spans="1:20" ht="25.5" x14ac:dyDescent="0.25">
      <c r="A37" s="1">
        <v>33</v>
      </c>
      <c r="B37" s="1" t="str">
        <f t="shared" si="3"/>
        <v>2016-2565</v>
      </c>
      <c r="C37" s="2" t="s">
        <v>75</v>
      </c>
      <c r="D37" s="4"/>
      <c r="E37" s="3" t="str">
        <f>""</f>
        <v/>
      </c>
      <c r="F37" s="2" t="s">
        <v>27</v>
      </c>
      <c r="G37" s="2" t="str">
        <f t="shared" si="4"/>
        <v>VELPRO-CENTAR PLUS D.O.O., OIB: 81169150175</v>
      </c>
      <c r="H37" s="4"/>
      <c r="I37" s="1" t="s">
        <v>85</v>
      </c>
      <c r="J37" s="1" t="s">
        <v>42</v>
      </c>
      <c r="K37" s="6" t="str">
        <f>"349.814,88"</f>
        <v>349.814,88</v>
      </c>
      <c r="L37" s="6" t="str">
        <f>"87.453,72"</f>
        <v>87.453,72</v>
      </c>
      <c r="M37" s="6" t="str">
        <f>"437.268,60"</f>
        <v>437.268,60</v>
      </c>
      <c r="N37" s="5">
        <v>43604</v>
      </c>
      <c r="O37" s="7"/>
      <c r="P37" s="6" t="str">
        <f>"426.324,10"</f>
        <v>426.324,10</v>
      </c>
      <c r="Q37" s="7"/>
      <c r="R37" s="1"/>
      <c r="S37" s="1" t="str">
        <f>"8-18/NOS-54-C/16"</f>
        <v>8-18/NOS-54-C/16</v>
      </c>
      <c r="T37" s="2" t="s">
        <v>33</v>
      </c>
    </row>
    <row r="38" spans="1:20" ht="63.75" x14ac:dyDescent="0.25">
      <c r="A38" s="1">
        <v>34</v>
      </c>
      <c r="B38" s="1" t="str">
        <f t="shared" si="3"/>
        <v>2016-2565</v>
      </c>
      <c r="C38" s="2" t="s">
        <v>75</v>
      </c>
      <c r="D38" s="1" t="s">
        <v>76</v>
      </c>
      <c r="E38" s="3" t="str">
        <f>"2016/S 002-0011348"</f>
        <v>2016/S 002-0011348</v>
      </c>
      <c r="F38" s="2" t="s">
        <v>23</v>
      </c>
      <c r="G38" s="2" t="str">
        <f t="shared" si="4"/>
        <v>VELPRO-CENTAR PLUS D.O.O., OIB: 81169150175</v>
      </c>
      <c r="H38" s="4"/>
      <c r="I38" s="1" t="s">
        <v>87</v>
      </c>
      <c r="J38" s="1" t="s">
        <v>88</v>
      </c>
      <c r="K38" s="6" t="str">
        <f>"3.000.000,00"</f>
        <v>3.000.000,00</v>
      </c>
      <c r="L38" s="6" t="str">
        <f>"750.000,00"</f>
        <v>750.000,00</v>
      </c>
      <c r="M38" s="6" t="str">
        <f>"3.750.000,00"</f>
        <v>3.750.000,00</v>
      </c>
      <c r="N38" s="7"/>
      <c r="O38" s="7"/>
      <c r="P38" s="6" t="str">
        <f>""</f>
        <v/>
      </c>
      <c r="Q38" s="7"/>
      <c r="R38" s="1"/>
      <c r="S38" s="1" t="str">
        <f>"NOS-54-D/16"</f>
        <v>NOS-54-D/16</v>
      </c>
      <c r="T38" s="2" t="s">
        <v>79</v>
      </c>
    </row>
    <row r="39" spans="1:20" ht="25.5" x14ac:dyDescent="0.25">
      <c r="A39" s="1">
        <v>35</v>
      </c>
      <c r="B39" s="1" t="str">
        <f t="shared" si="3"/>
        <v>2016-2565</v>
      </c>
      <c r="C39" s="2" t="s">
        <v>75</v>
      </c>
      <c r="D39" s="4"/>
      <c r="E39" s="3" t="str">
        <f>""</f>
        <v/>
      </c>
      <c r="F39" s="2" t="s">
        <v>27</v>
      </c>
      <c r="G39" s="2" t="str">
        <f t="shared" si="4"/>
        <v>VELPRO-CENTAR PLUS D.O.O., OIB: 81169150175</v>
      </c>
      <c r="H39" s="4"/>
      <c r="I39" s="1" t="s">
        <v>85</v>
      </c>
      <c r="J39" s="1" t="s">
        <v>42</v>
      </c>
      <c r="K39" s="6" t="str">
        <f>"399.995,46"</f>
        <v>399.995,46</v>
      </c>
      <c r="L39" s="6" t="str">
        <f>"99.998,87"</f>
        <v>99.998,87</v>
      </c>
      <c r="M39" s="6" t="str">
        <f>"499.994,33"</f>
        <v>499.994,33</v>
      </c>
      <c r="N39" s="5">
        <v>43384</v>
      </c>
      <c r="O39" s="7"/>
      <c r="P39" s="6" t="str">
        <f>"588.448,40"</f>
        <v>588.448,40</v>
      </c>
      <c r="Q39" s="7"/>
      <c r="R39" s="1"/>
      <c r="S39" s="1" t="str">
        <f>"3-18/NOS-54-D/16"</f>
        <v>3-18/NOS-54-D/16</v>
      </c>
      <c r="T39" s="2" t="s">
        <v>33</v>
      </c>
    </row>
    <row r="40" spans="1:20" ht="38.25" x14ac:dyDescent="0.25">
      <c r="A40" s="1">
        <v>36</v>
      </c>
      <c r="B40" s="1" t="str">
        <f>"2016-2805"</f>
        <v>2016-2805</v>
      </c>
      <c r="C40" s="2" t="s">
        <v>89</v>
      </c>
      <c r="D40" s="1" t="s">
        <v>90</v>
      </c>
      <c r="E40" s="3" t="str">
        <f>"2016/S 002-0012018"</f>
        <v>2016/S 002-0012018</v>
      </c>
      <c r="F40" s="2" t="s">
        <v>23</v>
      </c>
      <c r="G40" s="2" t="str">
        <f>CONCATENATE("AUTO HRVATSKA PRODAJNO SERVISNI CENTRI D.O.O.,"," ZASTAVNICE 25/C,"," 10251 HRVATSKI LESKOVAC,"," OIB: 87682591133")</f>
        <v>AUTO HRVATSKA PRODAJNO SERVISNI CENTRI D.O.O., ZASTAVNICE 25/C, 10251 HRVATSKI LESKOVAC, OIB: 87682591133</v>
      </c>
      <c r="H40" s="4"/>
      <c r="I40" s="1" t="s">
        <v>91</v>
      </c>
      <c r="J40" s="1" t="s">
        <v>92</v>
      </c>
      <c r="K40" s="6" t="str">
        <f>"2.500.000,00"</f>
        <v>2.500.000,00</v>
      </c>
      <c r="L40" s="6" t="str">
        <f>"625.000,00"</f>
        <v>625.000,00</v>
      </c>
      <c r="M40" s="6" t="str">
        <f>"3.125.000,00"</f>
        <v>3.125.000,00</v>
      </c>
      <c r="N40" s="7"/>
      <c r="O40" s="7"/>
      <c r="P40" s="6" t="str">
        <f>""</f>
        <v/>
      </c>
      <c r="Q40" s="7"/>
      <c r="R40" s="1"/>
      <c r="S40" s="1" t="str">
        <f>"NOS-74/16"</f>
        <v>NOS-74/16</v>
      </c>
      <c r="T40" s="2" t="s">
        <v>33</v>
      </c>
    </row>
    <row r="41" spans="1:20" ht="38.25" x14ac:dyDescent="0.25">
      <c r="A41" s="1">
        <v>37</v>
      </c>
      <c r="B41" s="1" t="str">
        <f>"2016-2805"</f>
        <v>2016-2805</v>
      </c>
      <c r="C41" s="2" t="s">
        <v>89</v>
      </c>
      <c r="D41" s="4"/>
      <c r="E41" s="3" t="str">
        <f>""</f>
        <v/>
      </c>
      <c r="F41" s="2" t="s">
        <v>27</v>
      </c>
      <c r="G41" s="2" t="str">
        <f>CONCATENATE("AUTO HRVATSKA PRODAJNO SERVISNI CENTRI D.O.O.,"," ZASTAVNICE 25/C,"," 10251 HRVATSKI LESKOVAC,"," OIB: 87682591133")</f>
        <v>AUTO HRVATSKA PRODAJNO SERVISNI CENTRI D.O.O., ZASTAVNICE 25/C, 10251 HRVATSKI LESKOVAC, OIB: 87682591133</v>
      </c>
      <c r="H41" s="4"/>
      <c r="I41" s="1" t="s">
        <v>92</v>
      </c>
      <c r="J41" s="1" t="s">
        <v>64</v>
      </c>
      <c r="K41" s="6" t="str">
        <f>"166.004,62"</f>
        <v>166.004,62</v>
      </c>
      <c r="L41" s="6" t="str">
        <f>"41.501,15"</f>
        <v>41.501,15</v>
      </c>
      <c r="M41" s="6" t="str">
        <f>"207.505,77"</f>
        <v>207.505,77</v>
      </c>
      <c r="N41" s="5">
        <v>43425</v>
      </c>
      <c r="O41" s="7"/>
      <c r="P41" s="6" t="str">
        <f>"169.688,75"</f>
        <v>169.688,75</v>
      </c>
      <c r="Q41" s="7"/>
      <c r="R41" s="1"/>
      <c r="S41" s="1" t="str">
        <f>"101-18/NOS-74/16"</f>
        <v>101-18/NOS-74/16</v>
      </c>
      <c r="T41" s="2" t="s">
        <v>33</v>
      </c>
    </row>
    <row r="42" spans="1:20" ht="63.75" x14ac:dyDescent="0.25">
      <c r="A42" s="1">
        <v>38</v>
      </c>
      <c r="B42" s="1" t="str">
        <f>"2016-71"</f>
        <v>2016-71</v>
      </c>
      <c r="C42" s="2" t="s">
        <v>93</v>
      </c>
      <c r="D42" s="1" t="s">
        <v>94</v>
      </c>
      <c r="E42" s="3" t="str">
        <f>"2016/S 002-0007356"</f>
        <v>2016/S 002-0007356</v>
      </c>
      <c r="F42" s="2" t="s">
        <v>23</v>
      </c>
      <c r="G42" s="2" t="str">
        <f>CONCATENATE("ELDRA D.O.O.,"," LUG SAMOBORSKI,","  KNEZA NINOSLAVA 9,"," 10432 BREGANA,"," OIB: 79695515983",CHAR(10),"PERINIĆ SISTEMI D.O.O.,"," VRHOVEC 28,"," 10000 ZAGREB,"," OIB: 38880270076")</f>
        <v>ELDRA D.O.O., LUG SAMOBORSKI,  KNEZA NINOSLAVA 9, 10432 BREGANA, OIB: 79695515983
PERINIĆ SISTEMI D.O.O., VRHOVEC 28, 10000 ZAGREB, OIB: 38880270076</v>
      </c>
      <c r="H42" s="4"/>
      <c r="I42" s="1" t="s">
        <v>95</v>
      </c>
      <c r="J42" s="1" t="s">
        <v>96</v>
      </c>
      <c r="K42" s="6" t="str">
        <f>"1.100.000,00"</f>
        <v>1.100.000,00</v>
      </c>
      <c r="L42" s="6" t="str">
        <f>"275.000,00"</f>
        <v>275.000,00</v>
      </c>
      <c r="M42" s="6" t="str">
        <f>"1.375.000,00"</f>
        <v>1.375.000,00</v>
      </c>
      <c r="N42" s="7"/>
      <c r="O42" s="7"/>
      <c r="P42" s="6" t="str">
        <f>""</f>
        <v/>
      </c>
      <c r="Q42" s="7"/>
      <c r="R42" s="1"/>
      <c r="S42" s="1" t="str">
        <f>"NOS-75/16"</f>
        <v>NOS-75/16</v>
      </c>
      <c r="T42" s="2" t="s">
        <v>33</v>
      </c>
    </row>
    <row r="43" spans="1:20" ht="38.25" x14ac:dyDescent="0.25">
      <c r="A43" s="1">
        <v>39</v>
      </c>
      <c r="B43" s="1" t="str">
        <f>"2016-71"</f>
        <v>2016-71</v>
      </c>
      <c r="C43" s="2" t="s">
        <v>93</v>
      </c>
      <c r="D43" s="4"/>
      <c r="E43" s="3" t="str">
        <f>""</f>
        <v/>
      </c>
      <c r="F43" s="2" t="s">
        <v>27</v>
      </c>
      <c r="G43" s="2" t="str">
        <f>CONCATENATE("ELDRA D.O.O.,"," LUG SAMOBORSKI,","  KNEZA NINOSLAVA 9,"," 10432 BREGANA,"," OIB: 79695515983")</f>
        <v>ELDRA D.O.O., LUG SAMOBORSKI,  KNEZA NINOSLAVA 9, 10432 BREGANA, OIB: 79695515983</v>
      </c>
      <c r="H43" s="4"/>
      <c r="I43" s="1" t="s">
        <v>96</v>
      </c>
      <c r="J43" s="1" t="s">
        <v>74</v>
      </c>
      <c r="K43" s="6" t="str">
        <f>"99.999,00"</f>
        <v>99.999,00</v>
      </c>
      <c r="L43" s="6" t="str">
        <f>"24.999,75"</f>
        <v>24.999,75</v>
      </c>
      <c r="M43" s="6" t="str">
        <f>"124.998,75"</f>
        <v>124.998,75</v>
      </c>
      <c r="N43" s="5">
        <v>43404</v>
      </c>
      <c r="O43" s="7"/>
      <c r="P43" s="6" t="str">
        <f>"18.250,00"</f>
        <v>18.250,00</v>
      </c>
      <c r="Q43" s="7"/>
      <c r="R43" s="1"/>
      <c r="S43" s="1" t="str">
        <f>"4-18/NOS-75/16"</f>
        <v>4-18/NOS-75/16</v>
      </c>
      <c r="T43" s="2" t="s">
        <v>33</v>
      </c>
    </row>
    <row r="44" spans="1:20" ht="63.75" x14ac:dyDescent="0.25">
      <c r="A44" s="1">
        <v>40</v>
      </c>
      <c r="B44" s="1" t="str">
        <f>"2016-123"</f>
        <v>2016-123</v>
      </c>
      <c r="C44" s="2" t="s">
        <v>97</v>
      </c>
      <c r="D44" s="1" t="s">
        <v>35</v>
      </c>
      <c r="E44" s="3" t="str">
        <f>"2016/S 002-0015070."</f>
        <v>2016/S 002-0015070.</v>
      </c>
      <c r="F44" s="2" t="s">
        <v>23</v>
      </c>
      <c r="G44" s="2" t="str">
        <f>CONCATENATE("SMIT-COMMERCE D.O.O.,"," GORNJOSTUPNIČKA 9B,"," 10255 GORNJI STUPNIK,"," OIB: 95243482140",CHAR(10),"HOLCIM (HRVATSKA) D.O.O.,"," KOROMAČNO 7B,"," 52222 KOROMAČNO,"," OIB: 60131430579")</f>
        <v>SMIT-COMMERCE D.O.O., GORNJOSTUPNIČKA 9B, 10255 GORNJI STUPNIK, OIB: 95243482140
HOLCIM (HRVATSKA) D.O.O., KOROMAČNO 7B, 52222 KOROMAČNO, OIB: 60131430579</v>
      </c>
      <c r="H44" s="4"/>
      <c r="I44" s="1" t="s">
        <v>98</v>
      </c>
      <c r="J44" s="1" t="s">
        <v>99</v>
      </c>
      <c r="K44" s="6" t="str">
        <f>"1.300.000,00"</f>
        <v>1.300.000,00</v>
      </c>
      <c r="L44" s="6" t="str">
        <f>"325.000,00"</f>
        <v>325.000,00</v>
      </c>
      <c r="M44" s="6" t="str">
        <f>"1.625.000,00"</f>
        <v>1.625.000,00</v>
      </c>
      <c r="N44" s="7"/>
      <c r="O44" s="7"/>
      <c r="P44" s="6" t="str">
        <f>""</f>
        <v/>
      </c>
      <c r="Q44" s="7"/>
      <c r="R44" s="1"/>
      <c r="S44" s="1" t="str">
        <f>"NOS-77/16"</f>
        <v>NOS-77/16</v>
      </c>
      <c r="T44" s="2" t="s">
        <v>33</v>
      </c>
    </row>
    <row r="45" spans="1:20" ht="38.25" x14ac:dyDescent="0.25">
      <c r="A45" s="1">
        <v>41</v>
      </c>
      <c r="B45" s="1" t="str">
        <f>"2016-123"</f>
        <v>2016-123</v>
      </c>
      <c r="C45" s="2" t="s">
        <v>97</v>
      </c>
      <c r="D45" s="1" t="s">
        <v>35</v>
      </c>
      <c r="E45" s="3" t="str">
        <f>""</f>
        <v/>
      </c>
      <c r="F45" s="2" t="s">
        <v>27</v>
      </c>
      <c r="G45" s="2" t="str">
        <f>CONCATENATE("SMIT-COMMERCE D.O.O.,"," GORNJOSTUPNIČKA 9B,"," 10255 GORNJI STUPNIK,"," OIB: 9524348214")</f>
        <v>SMIT-COMMERCE D.O.O., GORNJOSTUPNIČKA 9B, 10255 GORNJI STUPNIK, OIB: 9524348214</v>
      </c>
      <c r="H45" s="4"/>
      <c r="I45" s="1" t="s">
        <v>96</v>
      </c>
      <c r="J45" s="1" t="s">
        <v>74</v>
      </c>
      <c r="K45" s="6" t="str">
        <f>"385.540,00"</f>
        <v>385.540,00</v>
      </c>
      <c r="L45" s="6" t="str">
        <f>"96.385,00"</f>
        <v>96.385,00</v>
      </c>
      <c r="M45" s="6" t="str">
        <f>"481.925,00"</f>
        <v>481.925,00</v>
      </c>
      <c r="N45" s="5">
        <v>43714</v>
      </c>
      <c r="O45" s="7"/>
      <c r="P45" s="6" t="str">
        <f>"241.058,91"</f>
        <v>241.058,91</v>
      </c>
      <c r="Q45" s="7"/>
      <c r="R45" s="1"/>
      <c r="S45" s="1" t="str">
        <f>"4-18/NOS-77/16"</f>
        <v>4-18/NOS-77/16</v>
      </c>
      <c r="T45" s="2" t="s">
        <v>33</v>
      </c>
    </row>
    <row r="46" spans="1:20" ht="89.25" x14ac:dyDescent="0.25">
      <c r="A46" s="1">
        <v>42</v>
      </c>
      <c r="B46" s="1" t="str">
        <f>"2016-133"</f>
        <v>2016-133</v>
      </c>
      <c r="C46" s="2" t="s">
        <v>100</v>
      </c>
      <c r="D46" s="1" t="s">
        <v>101</v>
      </c>
      <c r="E46" s="3" t="str">
        <f>"2016/S 002-0014755"</f>
        <v>2016/S 002-0014755</v>
      </c>
      <c r="F46" s="2" t="s">
        <v>23</v>
      </c>
      <c r="G46" s="2" t="str">
        <f>CONCATENATE("MA.CO.T. D.O.O.,"," INDUSTRIJSKA ZONA R-29,"," KUKULJANOVO bb,"," 51227 KUKULJANOVO,"," OIB: 88870948836",CHAR(10),"SCHEDA D.O.O.,"," LJUDEVITA POSAVSKOG 29,"," 10360 SESVETE,"," OIB: 76219817247",CHAR(10),"PELOT GLOBE D.O.O.,"," KESTERČANEKOVA 2A,"," 10000 ZAGREB,"," OIB: 0317335658")</f>
        <v>MA.CO.T. D.O.O., INDUSTRIJSKA ZONA R-29, KUKULJANOVO bb, 51227 KUKULJANOVO, OIB: 88870948836
SCHEDA D.O.O., LJUDEVITA POSAVSKOG 29, 10360 SESVETE, OIB: 76219817247
PELOT GLOBE D.O.O., KESTERČANEKOVA 2A, 10000 ZAGREB, OIB: 0317335658</v>
      </c>
      <c r="H46" s="4"/>
      <c r="I46" s="1" t="s">
        <v>95</v>
      </c>
      <c r="J46" s="1" t="s">
        <v>96</v>
      </c>
      <c r="K46" s="6" t="str">
        <f>"1.020.000,00"</f>
        <v>1.020.000,00</v>
      </c>
      <c r="L46" s="6" t="str">
        <f>"255.000,00"</f>
        <v>255.000,00</v>
      </c>
      <c r="M46" s="6" t="str">
        <f>"1.275.000,00"</f>
        <v>1.275.000,00</v>
      </c>
      <c r="N46" s="7"/>
      <c r="O46" s="7"/>
      <c r="P46" s="6" t="str">
        <f>""</f>
        <v/>
      </c>
      <c r="Q46" s="7"/>
      <c r="R46" s="1"/>
      <c r="S46" s="1" t="str">
        <f>"NOS-78/16"</f>
        <v>NOS-78/16</v>
      </c>
      <c r="T46" s="2" t="s">
        <v>26</v>
      </c>
    </row>
    <row r="47" spans="1:20" ht="38.25" x14ac:dyDescent="0.25">
      <c r="A47" s="1">
        <v>43</v>
      </c>
      <c r="B47" s="1" t="str">
        <f>"2016-133"</f>
        <v>2016-133</v>
      </c>
      <c r="C47" s="2" t="s">
        <v>100</v>
      </c>
      <c r="D47" s="4"/>
      <c r="E47" s="3" t="str">
        <f>""</f>
        <v/>
      </c>
      <c r="F47" s="2" t="s">
        <v>27</v>
      </c>
      <c r="G47" s="2" t="str">
        <f>CONCATENATE("SCHEDA D.O.O.,"," LJUDEVITA POSAVSKOG 29,"," 10360 SESVETE,"," OIB: 76219817247")</f>
        <v>SCHEDA D.O.O., LJUDEVITA POSAVSKOG 29, 10360 SESVETE, OIB: 76219817247</v>
      </c>
      <c r="H47" s="4"/>
      <c r="I47" s="1" t="s">
        <v>102</v>
      </c>
      <c r="J47" s="1" t="s">
        <v>103</v>
      </c>
      <c r="K47" s="6" t="str">
        <f>"345.000,00"</f>
        <v>345.000,00</v>
      </c>
      <c r="L47" s="6" t="str">
        <f>"86.250,00"</f>
        <v>86.250,00</v>
      </c>
      <c r="M47" s="6" t="str">
        <f>"431.250,00"</f>
        <v>431.250,00</v>
      </c>
      <c r="N47" s="5">
        <v>43454</v>
      </c>
      <c r="O47" s="7"/>
      <c r="P47" s="6" t="str">
        <f>"431.250,00"</f>
        <v>431.250,00</v>
      </c>
      <c r="Q47" s="7"/>
      <c r="R47" s="1"/>
      <c r="S47" s="1" t="str">
        <f>"1-18/NOS-78/16"</f>
        <v>1-18/NOS-78/16</v>
      </c>
      <c r="T47" s="2" t="s">
        <v>33</v>
      </c>
    </row>
    <row r="48" spans="1:20" ht="114.75" x14ac:dyDescent="0.25">
      <c r="A48" s="1">
        <v>44</v>
      </c>
      <c r="B48" s="1" t="str">
        <f t="shared" ref="B48:B55" si="5">"2016-2801"</f>
        <v>2016-2801</v>
      </c>
      <c r="C48" s="2" t="s">
        <v>104</v>
      </c>
      <c r="D48" s="1" t="s">
        <v>105</v>
      </c>
      <c r="E48" s="3" t="str">
        <f>"2016/S 002-0015552"</f>
        <v>2016/S 002-0015552</v>
      </c>
      <c r="F48" s="2" t="s">
        <v>23</v>
      </c>
      <c r="G48" s="2" t="str">
        <f t="shared" ref="G48:G55" si="6">CONCATENATE("HP D.D.,"," JURIŠIĆEVA 13,"," 10000 ZAGREB,"," OIB: 87311810356")</f>
        <v>HP D.D., JURIŠIĆEVA 13, 10000 ZAGREB, OIB: 87311810356</v>
      </c>
      <c r="H48" s="4"/>
      <c r="I48" s="1" t="s">
        <v>106</v>
      </c>
      <c r="J48" s="1" t="s">
        <v>107</v>
      </c>
      <c r="K48" s="6" t="str">
        <f>"30.315.000,00"</f>
        <v>30.315.000,00</v>
      </c>
      <c r="L48" s="6" t="str">
        <f>"7.578.750,00"</f>
        <v>7.578.750,00</v>
      </c>
      <c r="M48" s="6" t="str">
        <f>"37.893.750,00"</f>
        <v>37.893.750,00</v>
      </c>
      <c r="N48" s="7"/>
      <c r="O48" s="7"/>
      <c r="P48" s="6" t="str">
        <f>""</f>
        <v/>
      </c>
      <c r="Q48" s="7"/>
      <c r="R48" s="1"/>
      <c r="S48" s="1" t="str">
        <f>"NOS-89-A-ZGH/16"</f>
        <v>NOS-89-A-ZGH/16</v>
      </c>
      <c r="T48" s="2" t="s">
        <v>58</v>
      </c>
    </row>
    <row r="49" spans="1:20" ht="25.5" x14ac:dyDescent="0.25">
      <c r="A49" s="1">
        <v>45</v>
      </c>
      <c r="B49" s="1" t="str">
        <f t="shared" si="5"/>
        <v>2016-2801</v>
      </c>
      <c r="C49" s="2" t="s">
        <v>104</v>
      </c>
      <c r="D49" s="1" t="s">
        <v>105</v>
      </c>
      <c r="E49" s="3" t="str">
        <f>""</f>
        <v/>
      </c>
      <c r="F49" s="2" t="s">
        <v>27</v>
      </c>
      <c r="G49" s="2" t="str">
        <f t="shared" si="6"/>
        <v>HP D.D., JURIŠIĆEVA 13, 10000 ZAGREB, OIB: 87311810356</v>
      </c>
      <c r="H49" s="4"/>
      <c r="I49" s="1" t="s">
        <v>108</v>
      </c>
      <c r="J49" s="1" t="s">
        <v>109</v>
      </c>
      <c r="K49" s="6" t="str">
        <f>"1.464.000,00"</f>
        <v>1.464.000,00</v>
      </c>
      <c r="L49" s="6" t="str">
        <f>"366.000,00"</f>
        <v>366.000,00</v>
      </c>
      <c r="M49" s="6" t="str">
        <f>"1.830.000,00"</f>
        <v>1.830.000,00</v>
      </c>
      <c r="N49" s="5">
        <v>44196</v>
      </c>
      <c r="O49" s="7"/>
      <c r="P49" s="6" t="str">
        <f>"1.018.149,21"</f>
        <v>1.018.149,21</v>
      </c>
      <c r="Q49" s="7"/>
      <c r="R49" s="1"/>
      <c r="S49" s="1" t="str">
        <f>"12-17/NOS-89-A-ZGH/16"</f>
        <v>12-17/NOS-89-A-ZGH/16</v>
      </c>
      <c r="T49" s="2" t="s">
        <v>33</v>
      </c>
    </row>
    <row r="50" spans="1:20" ht="25.5" x14ac:dyDescent="0.25">
      <c r="A50" s="1">
        <v>46</v>
      </c>
      <c r="B50" s="1" t="str">
        <f t="shared" si="5"/>
        <v>2016-2801</v>
      </c>
      <c r="C50" s="2" t="s">
        <v>104</v>
      </c>
      <c r="D50" s="1" t="s">
        <v>105</v>
      </c>
      <c r="E50" s="3" t="str">
        <f>""</f>
        <v/>
      </c>
      <c r="F50" s="2" t="s">
        <v>27</v>
      </c>
      <c r="G50" s="2" t="str">
        <f t="shared" si="6"/>
        <v>HP D.D., JURIŠIĆEVA 13, 10000 ZAGREB, OIB: 87311810356</v>
      </c>
      <c r="H50" s="4"/>
      <c r="I50" s="1" t="s">
        <v>110</v>
      </c>
      <c r="J50" s="1" t="s">
        <v>42</v>
      </c>
      <c r="K50" s="6" t="str">
        <f>"3.042.858,36"</f>
        <v>3.042.858,36</v>
      </c>
      <c r="L50" s="6" t="str">
        <f>"760.714,59"</f>
        <v>760.714,59</v>
      </c>
      <c r="M50" s="6" t="str">
        <f>"3.803.572,95"</f>
        <v>3.803.572,95</v>
      </c>
      <c r="N50" s="5">
        <v>43496</v>
      </c>
      <c r="O50" s="7"/>
      <c r="P50" s="6" t="str">
        <f>"3.488.705,71"</f>
        <v>3.488.705,71</v>
      </c>
      <c r="Q50" s="7"/>
      <c r="R50" s="1"/>
      <c r="S50" s="1" t="str">
        <f>"8-18/NOS-89-A-ZGH/16"</f>
        <v>8-18/NOS-89-A-ZGH/16</v>
      </c>
      <c r="T50" s="2" t="s">
        <v>29</v>
      </c>
    </row>
    <row r="51" spans="1:20" ht="25.5" x14ac:dyDescent="0.25">
      <c r="A51" s="1">
        <v>47</v>
      </c>
      <c r="B51" s="1" t="str">
        <f t="shared" si="5"/>
        <v>2016-2801</v>
      </c>
      <c r="C51" s="2" t="s">
        <v>104</v>
      </c>
      <c r="D51" s="1" t="s">
        <v>105</v>
      </c>
      <c r="E51" s="3" t="str">
        <f>""</f>
        <v/>
      </c>
      <c r="F51" s="2" t="s">
        <v>27</v>
      </c>
      <c r="G51" s="2" t="str">
        <f t="shared" si="6"/>
        <v>HP D.D., JURIŠIĆEVA 13, 10000 ZAGREB, OIB: 87311810356</v>
      </c>
      <c r="H51" s="4"/>
      <c r="I51" s="1" t="s">
        <v>111</v>
      </c>
      <c r="J51" s="1" t="s">
        <v>74</v>
      </c>
      <c r="K51" s="6" t="str">
        <f>"49.099,61"</f>
        <v>49.099,61</v>
      </c>
      <c r="L51" s="6" t="str">
        <f>"12.274,90"</f>
        <v>12.274,90</v>
      </c>
      <c r="M51" s="6" t="str">
        <f>"61.374,51"</f>
        <v>61.374,51</v>
      </c>
      <c r="N51" s="5">
        <v>43555</v>
      </c>
      <c r="O51" s="7"/>
      <c r="P51" s="6" t="str">
        <f>"19.860,69"</f>
        <v>19.860,69</v>
      </c>
      <c r="Q51" s="7"/>
      <c r="R51" s="1"/>
      <c r="S51" s="1" t="str">
        <f>"9-18/NOS-89-A-ZGH/16"</f>
        <v>9-18/NOS-89-A-ZGH/16</v>
      </c>
      <c r="T51" s="2" t="s">
        <v>112</v>
      </c>
    </row>
    <row r="52" spans="1:20" ht="25.5" x14ac:dyDescent="0.25">
      <c r="A52" s="1">
        <v>48</v>
      </c>
      <c r="B52" s="1" t="str">
        <f t="shared" si="5"/>
        <v>2016-2801</v>
      </c>
      <c r="C52" s="2" t="s">
        <v>104</v>
      </c>
      <c r="D52" s="4"/>
      <c r="E52" s="3" t="str">
        <f>""</f>
        <v/>
      </c>
      <c r="F52" s="2" t="s">
        <v>27</v>
      </c>
      <c r="G52" s="2" t="str">
        <f t="shared" si="6"/>
        <v>HP D.D., JURIŠIĆEVA 13, 10000 ZAGREB, OIB: 87311810356</v>
      </c>
      <c r="H52" s="4"/>
      <c r="I52" s="1" t="s">
        <v>113</v>
      </c>
      <c r="J52" s="1" t="s">
        <v>114</v>
      </c>
      <c r="K52" s="6" t="str">
        <f>"2.146.128,70"</f>
        <v>2.146.128,70</v>
      </c>
      <c r="L52" s="6" t="str">
        <f>"536.532,18"</f>
        <v>536.532,18</v>
      </c>
      <c r="M52" s="6" t="str">
        <f>"2.682.660,88"</f>
        <v>2.682.660,88</v>
      </c>
      <c r="N52" s="5">
        <v>43628</v>
      </c>
      <c r="O52" s="7"/>
      <c r="P52" s="6" t="str">
        <f>"2.455.053,26"</f>
        <v>2.455.053,26</v>
      </c>
      <c r="Q52" s="7"/>
      <c r="R52" s="1"/>
      <c r="S52" s="1" t="str">
        <f>"10-18/NOS-89-A-ZGH/16"</f>
        <v>10-18/NOS-89-A-ZGH/16</v>
      </c>
      <c r="T52" s="2" t="s">
        <v>60</v>
      </c>
    </row>
    <row r="53" spans="1:20" ht="38.25" x14ac:dyDescent="0.25">
      <c r="A53" s="1">
        <v>49</v>
      </c>
      <c r="B53" s="1" t="str">
        <f t="shared" si="5"/>
        <v>2016-2801</v>
      </c>
      <c r="C53" s="2" t="s">
        <v>104</v>
      </c>
      <c r="D53" s="1" t="s">
        <v>105</v>
      </c>
      <c r="E53" s="3" t="str">
        <f>""</f>
        <v/>
      </c>
      <c r="F53" s="2" t="s">
        <v>27</v>
      </c>
      <c r="G53" s="2" t="str">
        <f t="shared" si="6"/>
        <v>HP D.D., JURIŠIĆEVA 13, 10000 ZAGREB, OIB: 87311810356</v>
      </c>
      <c r="H53" s="4"/>
      <c r="I53" s="1" t="s">
        <v>115</v>
      </c>
      <c r="J53" s="1" t="s">
        <v>40</v>
      </c>
      <c r="K53" s="6" t="str">
        <f>"3.999.999,56"</f>
        <v>3.999.999,56</v>
      </c>
      <c r="L53" s="6" t="str">
        <f>"999.999,89"</f>
        <v>999.999,89</v>
      </c>
      <c r="M53" s="6" t="str">
        <f>"4.999.999,45"</f>
        <v>4.999.999,45</v>
      </c>
      <c r="N53" s="5">
        <v>43476</v>
      </c>
      <c r="O53" s="7"/>
      <c r="P53" s="6" t="str">
        <f>"57.610,20"</f>
        <v>57.610,20</v>
      </c>
      <c r="Q53" s="7"/>
      <c r="R53" s="1"/>
      <c r="S53" s="1" t="str">
        <f>"11-18/NOS-89-A-ZGH/16"</f>
        <v>11-18/NOS-89-A-ZGH/16</v>
      </c>
      <c r="T53" s="2" t="s">
        <v>65</v>
      </c>
    </row>
    <row r="54" spans="1:20" ht="114.75" x14ac:dyDescent="0.25">
      <c r="A54" s="1">
        <v>50</v>
      </c>
      <c r="B54" s="1" t="str">
        <f t="shared" si="5"/>
        <v>2016-2801</v>
      </c>
      <c r="C54" s="2" t="s">
        <v>104</v>
      </c>
      <c r="D54" s="1" t="s">
        <v>105</v>
      </c>
      <c r="E54" s="3" t="str">
        <f>"2016/S 002-0015552"</f>
        <v>2016/S 002-0015552</v>
      </c>
      <c r="F54" s="2" t="s">
        <v>23</v>
      </c>
      <c r="G54" s="2" t="str">
        <f t="shared" si="6"/>
        <v>HP D.D., JURIŠIĆEVA 13, 10000 ZAGREB, OIB: 87311810356</v>
      </c>
      <c r="H54" s="4"/>
      <c r="I54" s="1" t="s">
        <v>106</v>
      </c>
      <c r="J54" s="1" t="s">
        <v>107</v>
      </c>
      <c r="K54" s="6" t="str">
        <f>"775.000,00"</f>
        <v>775.000,00</v>
      </c>
      <c r="L54" s="6" t="str">
        <f>"193.750,00"</f>
        <v>193.750,00</v>
      </c>
      <c r="M54" s="6" t="str">
        <f>"968.750,00"</f>
        <v>968.750,00</v>
      </c>
      <c r="N54" s="7"/>
      <c r="O54" s="7"/>
      <c r="P54" s="6" t="str">
        <f>""</f>
        <v/>
      </c>
      <c r="Q54" s="7"/>
      <c r="R54" s="1"/>
      <c r="S54" s="1" t="str">
        <f>"NOS-89-B-ZGH/16"</f>
        <v>NOS-89-B-ZGH/16</v>
      </c>
      <c r="T54" s="2" t="s">
        <v>58</v>
      </c>
    </row>
    <row r="55" spans="1:20" ht="25.5" x14ac:dyDescent="0.25">
      <c r="A55" s="1">
        <v>51</v>
      </c>
      <c r="B55" s="1" t="str">
        <f t="shared" si="5"/>
        <v>2016-2801</v>
      </c>
      <c r="C55" s="2" t="s">
        <v>104</v>
      </c>
      <c r="D55" s="1" t="s">
        <v>105</v>
      </c>
      <c r="E55" s="3" t="str">
        <f>""</f>
        <v/>
      </c>
      <c r="F55" s="2" t="s">
        <v>27</v>
      </c>
      <c r="G55" s="2" t="str">
        <f t="shared" si="6"/>
        <v>HP D.D., JURIŠIĆEVA 13, 10000 ZAGREB, OIB: 87311810356</v>
      </c>
      <c r="H55" s="4"/>
      <c r="I55" s="1" t="s">
        <v>116</v>
      </c>
      <c r="J55" s="1" t="s">
        <v>42</v>
      </c>
      <c r="K55" s="6" t="str">
        <f>"7.086,80"</f>
        <v>7.086,80</v>
      </c>
      <c r="L55" s="6" t="str">
        <f>"1.771,70"</f>
        <v>1.771,70</v>
      </c>
      <c r="M55" s="6" t="str">
        <f>"8.858,50"</f>
        <v>8.858,50</v>
      </c>
      <c r="N55" s="1" t="s">
        <v>117</v>
      </c>
      <c r="O55" s="7"/>
      <c r="P55" s="6" t="str">
        <f>""</f>
        <v/>
      </c>
      <c r="Q55" s="7"/>
      <c r="R55" s="1"/>
      <c r="S55" s="1" t="str">
        <f>"5-18/NOS-89-B-ZGH/16"</f>
        <v>5-18/NOS-89-B-ZGH/16</v>
      </c>
      <c r="T55" s="2" t="s">
        <v>29</v>
      </c>
    </row>
    <row r="56" spans="1:20" ht="114.75" x14ac:dyDescent="0.25">
      <c r="A56" s="1">
        <v>52</v>
      </c>
      <c r="B56" s="1" t="str">
        <f>"2016-449"</f>
        <v>2016-449</v>
      </c>
      <c r="C56" s="2" t="s">
        <v>118</v>
      </c>
      <c r="D56" s="1" t="s">
        <v>119</v>
      </c>
      <c r="E56" s="3" t="str">
        <f>""</f>
        <v/>
      </c>
      <c r="F56" s="2" t="s">
        <v>120</v>
      </c>
      <c r="G56" s="2" t="str">
        <f>CONCATENATE("INSTAL-PROM D.O.O.,"," LJUTOMERSKA 33A,"," 10040 ZAGREB,"," OIB: 21231984689")</f>
        <v>INSTAL-PROM D.O.O., LJUTOMERSKA 33A, 10040 ZAGREB, OIB: 21231984689</v>
      </c>
      <c r="H56" s="1" t="str">
        <f>CONCATENATE("GEO 6 D.O.O.,"," OIB: 56516261347",CHAR(10),"PERVISUS D.O.O.,"," OIB: 44353834669",CHAR(10),"MGV D.O.O.,"," OIB: 07790118186")</f>
        <v>GEO 6 D.O.O., OIB: 56516261347
PERVISUS D.O.O., OIB: 44353834669
MGV D.O.O., OIB: 07790118186</v>
      </c>
      <c r="I56" s="1" t="s">
        <v>37</v>
      </c>
      <c r="J56" s="1" t="s">
        <v>121</v>
      </c>
      <c r="K56" s="6" t="str">
        <f>"102.933,02"</f>
        <v>102.933,02</v>
      </c>
      <c r="L56" s="6" t="str">
        <f>"0,00"</f>
        <v>0,00</v>
      </c>
      <c r="M56" s="6" t="str">
        <f>"0,00"</f>
        <v>0,00</v>
      </c>
      <c r="N56" s="1" t="s">
        <v>117</v>
      </c>
      <c r="O56" s="7"/>
      <c r="P56" s="6" t="str">
        <f>"0,00"</f>
        <v>0,00</v>
      </c>
      <c r="Q56" s="7"/>
      <c r="R56" s="1"/>
      <c r="S56" s="1" t="str">
        <f>"16-17/NOS-95/16-1"</f>
        <v>16-17/NOS-95/16-1</v>
      </c>
      <c r="T56" s="2" t="s">
        <v>29</v>
      </c>
    </row>
    <row r="57" spans="1:20" ht="63.75" x14ac:dyDescent="0.25">
      <c r="A57" s="1">
        <v>53</v>
      </c>
      <c r="B57" s="1" t="str">
        <f>"2016-38"</f>
        <v>2016-38</v>
      </c>
      <c r="C57" s="2" t="s">
        <v>122</v>
      </c>
      <c r="D57" s="1" t="s">
        <v>123</v>
      </c>
      <c r="E57" s="3" t="str">
        <f>"2016/S 002-0016375"</f>
        <v>2016/S 002-0016375</v>
      </c>
      <c r="F57" s="2" t="s">
        <v>23</v>
      </c>
      <c r="G57" s="2" t="str">
        <f>CONCATENATE("C.I.A.K. D.O.O.,"," OIB: 47428597158",CHAR(10),"C.I.A.K. AUTO D.O.O.,"," GORNJOSTUPNIČKA 96,"," 10255 GORNJI STUPNIK,"," OIB: 62595301902",CHAR(10),"C.I.A.K. TRADE D.O.O.,"," RESNIČKA 21,"," 10000 ZAGREB,"," OIB: 76912302278")</f>
        <v>C.I.A.K. D.O.O., OIB: 47428597158
C.I.A.K. AUTO D.O.O., GORNJOSTUPNIČKA 96, 10255 GORNJI STUPNIK, OIB: 62595301902
C.I.A.K. TRADE D.O.O., RESNIČKA 21, 10000 ZAGREB, OIB: 76912302278</v>
      </c>
      <c r="H57" s="4"/>
      <c r="I57" s="1" t="s">
        <v>124</v>
      </c>
      <c r="J57" s="1" t="s">
        <v>125</v>
      </c>
      <c r="K57" s="6" t="str">
        <f>"720.000,00"</f>
        <v>720.000,00</v>
      </c>
      <c r="L57" s="6" t="str">
        <f>"180.000,00"</f>
        <v>180.000,00</v>
      </c>
      <c r="M57" s="6" t="str">
        <f>"900.000,00"</f>
        <v>900.000,00</v>
      </c>
      <c r="N57" s="7"/>
      <c r="O57" s="7"/>
      <c r="P57" s="6" t="str">
        <f>""</f>
        <v/>
      </c>
      <c r="Q57" s="7"/>
      <c r="R57" s="1"/>
      <c r="S57" s="1" t="str">
        <f>"NOS-96/16"</f>
        <v>NOS-96/16</v>
      </c>
      <c r="T57" s="2" t="s">
        <v>26</v>
      </c>
    </row>
    <row r="58" spans="1:20" ht="25.5" x14ac:dyDescent="0.25">
      <c r="A58" s="1">
        <v>54</v>
      </c>
      <c r="B58" s="1" t="str">
        <f>"2016-38"</f>
        <v>2016-38</v>
      </c>
      <c r="C58" s="2" t="s">
        <v>122</v>
      </c>
      <c r="D58" s="1" t="s">
        <v>123</v>
      </c>
      <c r="E58" s="3" t="str">
        <f>""</f>
        <v/>
      </c>
      <c r="F58" s="2" t="s">
        <v>27</v>
      </c>
      <c r="G58" s="2" t="str">
        <f>CONCATENATE("C.I.A.K. D.O.O.,"," OIB: 47428597158")</f>
        <v>C.I.A.K. D.O.O., OIB: 47428597158</v>
      </c>
      <c r="H58" s="4"/>
      <c r="I58" s="1" t="s">
        <v>126</v>
      </c>
      <c r="J58" s="1" t="s">
        <v>74</v>
      </c>
      <c r="K58" s="6" t="str">
        <f>"76.948,00"</f>
        <v>76.948,00</v>
      </c>
      <c r="L58" s="6" t="str">
        <f>"19.237,00"</f>
        <v>19.237,00</v>
      </c>
      <c r="M58" s="6" t="str">
        <f>"96.185,00"</f>
        <v>96.185,00</v>
      </c>
      <c r="N58" s="5">
        <v>43601</v>
      </c>
      <c r="O58" s="7"/>
      <c r="P58" s="6" t="str">
        <f>"95.972,50"</f>
        <v>95.972,50</v>
      </c>
      <c r="Q58" s="7"/>
      <c r="R58" s="1"/>
      <c r="S58" s="1" t="str">
        <f>"10-18/NOS-96/16"</f>
        <v>10-18/NOS-96/16</v>
      </c>
      <c r="T58" s="2" t="s">
        <v>33</v>
      </c>
    </row>
    <row r="59" spans="1:20" ht="114.75" x14ac:dyDescent="0.25">
      <c r="A59" s="1">
        <v>55</v>
      </c>
      <c r="B59" s="1" t="str">
        <f>"2016-2506"</f>
        <v>2016-2506</v>
      </c>
      <c r="C59" s="2" t="s">
        <v>127</v>
      </c>
      <c r="D59" s="1" t="s">
        <v>128</v>
      </c>
      <c r="E59" s="3" t="str">
        <f>" 2016/S 002-0006074"</f>
        <v xml:space="preserve"> 2016/S 002-0006074</v>
      </c>
      <c r="F59" s="2" t="s">
        <v>23</v>
      </c>
      <c r="G59" s="2" t="str">
        <f>CONCATENATE("NARODNE NOVINE D.D.,"," OIB: 64546066176")</f>
        <v>NARODNE NOVINE D.D., OIB: 64546066176</v>
      </c>
      <c r="H59" s="4"/>
      <c r="I59" s="1" t="s">
        <v>56</v>
      </c>
      <c r="J59" s="1" t="s">
        <v>57</v>
      </c>
      <c r="K59" s="6" t="str">
        <f>"2.000.000,00"</f>
        <v>2.000.000,00</v>
      </c>
      <c r="L59" s="6" t="str">
        <f>"500.000,00"</f>
        <v>500.000,00</v>
      </c>
      <c r="M59" s="6" t="str">
        <f>"2.500.000,00"</f>
        <v>2.500.000,00</v>
      </c>
      <c r="N59" s="7"/>
      <c r="O59" s="7"/>
      <c r="P59" s="6" t="str">
        <f>""</f>
        <v/>
      </c>
      <c r="Q59" s="7"/>
      <c r="R59" s="1"/>
      <c r="S59" s="1" t="str">
        <f>"NOS-97-ZGH/16"</f>
        <v>NOS-97-ZGH/16</v>
      </c>
      <c r="T59" s="2" t="s">
        <v>58</v>
      </c>
    </row>
    <row r="60" spans="1:20" ht="25.5" x14ac:dyDescent="0.25">
      <c r="A60" s="1">
        <v>56</v>
      </c>
      <c r="B60" s="1" t="str">
        <f>"2016-2506"</f>
        <v>2016-2506</v>
      </c>
      <c r="C60" s="2" t="s">
        <v>127</v>
      </c>
      <c r="D60" s="1" t="s">
        <v>128</v>
      </c>
      <c r="E60" s="3" t="str">
        <f>""</f>
        <v/>
      </c>
      <c r="F60" s="2" t="s">
        <v>27</v>
      </c>
      <c r="G60" s="2" t="str">
        <f>CONCATENATE("NARODNE NOVINE D.D.,"," OIB: 64546066176")</f>
        <v>NARODNE NOVINE D.D., OIB: 64546066176</v>
      </c>
      <c r="H60" s="4"/>
      <c r="I60" s="1" t="s">
        <v>129</v>
      </c>
      <c r="J60" s="1" t="s">
        <v>64</v>
      </c>
      <c r="K60" s="6" t="str">
        <f>"248.205,22"</f>
        <v>248.205,22</v>
      </c>
      <c r="L60" s="6" t="str">
        <f>"62.051,31"</f>
        <v>62.051,31</v>
      </c>
      <c r="M60" s="6" t="str">
        <f>"310.256,53"</f>
        <v>310.256,53</v>
      </c>
      <c r="N60" s="5">
        <v>408771</v>
      </c>
      <c r="O60" s="7"/>
      <c r="P60" s="6" t="str">
        <f>"246.566,00"</f>
        <v>246.566,00</v>
      </c>
      <c r="Q60" s="7"/>
      <c r="R60" s="1"/>
      <c r="S60" s="1" t="str">
        <f>"15-18/NOS-97-ZGH/16"</f>
        <v>15-18/NOS-97-ZGH/16</v>
      </c>
      <c r="T60" s="2" t="s">
        <v>33</v>
      </c>
    </row>
    <row r="61" spans="1:20" ht="38.25" x14ac:dyDescent="0.25">
      <c r="A61" s="1">
        <v>57</v>
      </c>
      <c r="B61" s="1" t="str">
        <f>"2016-2820"</f>
        <v>2016-2820</v>
      </c>
      <c r="C61" s="2" t="s">
        <v>130</v>
      </c>
      <c r="D61" s="1" t="s">
        <v>131</v>
      </c>
      <c r="E61" s="3" t="str">
        <f>"2016/S 002-0015756"</f>
        <v>2016/S 002-0015756</v>
      </c>
      <c r="F61" s="2" t="s">
        <v>23</v>
      </c>
      <c r="G61" s="2" t="str">
        <f>CONCATENATE("I.B. JAZBINA D.O.O.,"," JAZBINA 151,"," 10000 ZAGREB,"," OIB: 77265033209")</f>
        <v>I.B. JAZBINA D.O.O., JAZBINA 151, 10000 ZAGREB, OIB: 77265033209</v>
      </c>
      <c r="H61" s="4"/>
      <c r="I61" s="1" t="s">
        <v>132</v>
      </c>
      <c r="J61" s="1" t="s">
        <v>133</v>
      </c>
      <c r="K61" s="6" t="str">
        <f>"9.100.000,00"</f>
        <v>9.100.000,00</v>
      </c>
      <c r="L61" s="6" t="str">
        <f>"2.275.000,00"</f>
        <v>2.275.000,00</v>
      </c>
      <c r="M61" s="6" t="str">
        <f>"11.375.000,00"</f>
        <v>11.375.000,00</v>
      </c>
      <c r="N61" s="7"/>
      <c r="O61" s="7"/>
      <c r="P61" s="6" t="str">
        <f>""</f>
        <v/>
      </c>
      <c r="Q61" s="7"/>
      <c r="R61" s="1"/>
      <c r="S61" s="1" t="str">
        <f>"NOS-102/16"</f>
        <v>NOS-102/16</v>
      </c>
      <c r="T61" s="2" t="s">
        <v>33</v>
      </c>
    </row>
    <row r="62" spans="1:20" ht="25.5" x14ac:dyDescent="0.25">
      <c r="A62" s="1">
        <v>58</v>
      </c>
      <c r="B62" s="1" t="str">
        <f>"2016-2820"</f>
        <v>2016-2820</v>
      </c>
      <c r="C62" s="2" t="s">
        <v>130</v>
      </c>
      <c r="D62" s="1" t="s">
        <v>131</v>
      </c>
      <c r="E62" s="3" t="str">
        <f>""</f>
        <v/>
      </c>
      <c r="F62" s="2" t="s">
        <v>27</v>
      </c>
      <c r="G62" s="2" t="str">
        <f>CONCATENATE("I.B. JAZBINA D.O.O.,"," JAZBINA 151,"," 10000 ZAGREB,"," OIB: 77265033209")</f>
        <v>I.B. JAZBINA D.O.O., JAZBINA 151, 10000 ZAGREB, OIB: 77265033209</v>
      </c>
      <c r="H62" s="4"/>
      <c r="I62" s="1" t="s">
        <v>134</v>
      </c>
      <c r="J62" s="1" t="s">
        <v>64</v>
      </c>
      <c r="K62" s="6" t="str">
        <f>"1.348.750,00"</f>
        <v>1.348.750,00</v>
      </c>
      <c r="L62" s="6" t="str">
        <f>"337.187,50"</f>
        <v>337.187,50</v>
      </c>
      <c r="M62" s="6" t="str">
        <f>"1.685.937,50"</f>
        <v>1.685.937,50</v>
      </c>
      <c r="N62" s="5">
        <v>43531</v>
      </c>
      <c r="O62" s="7"/>
      <c r="P62" s="6" t="str">
        <f>"1.709.531,25"</f>
        <v>1.709.531,25</v>
      </c>
      <c r="Q62" s="7"/>
      <c r="R62" s="1"/>
      <c r="S62" s="1" t="str">
        <f>"3-18/NOS-102/16"</f>
        <v>3-18/NOS-102/16</v>
      </c>
      <c r="T62" s="2" t="s">
        <v>33</v>
      </c>
    </row>
    <row r="63" spans="1:20" ht="38.25" x14ac:dyDescent="0.25">
      <c r="A63" s="1">
        <v>59</v>
      </c>
      <c r="B63" s="1" t="str">
        <f>"2016-53"</f>
        <v>2016-53</v>
      </c>
      <c r="C63" s="2" t="s">
        <v>135</v>
      </c>
      <c r="D63" s="1" t="s">
        <v>136</v>
      </c>
      <c r="E63" s="3" t="str">
        <f>"2016/S 002-0018560"</f>
        <v>2016/S 002-0018560</v>
      </c>
      <c r="F63" s="2" t="s">
        <v>23</v>
      </c>
      <c r="G63" s="2" t="str">
        <f>CONCATENATE("SMIT-COMMERCE D.O.O.,"," GORNJOSTUPNIČKA 9B,"," 10255 GORNJI STUPNIK,"," OIB: 9524348214")</f>
        <v>SMIT-COMMERCE D.O.O., GORNJOSTUPNIČKA 9B, 10255 GORNJI STUPNIK, OIB: 9524348214</v>
      </c>
      <c r="H63" s="4"/>
      <c r="I63" s="1" t="s">
        <v>137</v>
      </c>
      <c r="J63" s="1" t="s">
        <v>138</v>
      </c>
      <c r="K63" s="6" t="str">
        <f>"5.580.000,00"</f>
        <v>5.580.000,00</v>
      </c>
      <c r="L63" s="6" t="str">
        <f>"1.395.000,00"</f>
        <v>1.395.000,00</v>
      </c>
      <c r="M63" s="6" t="str">
        <f>"6.975.000,00"</f>
        <v>6.975.000,00</v>
      </c>
      <c r="N63" s="7"/>
      <c r="O63" s="7"/>
      <c r="P63" s="6" t="str">
        <f>""</f>
        <v/>
      </c>
      <c r="Q63" s="7"/>
      <c r="R63" s="1"/>
      <c r="S63" s="1" t="str">
        <f>"NOS-104-A/16"</f>
        <v>NOS-104-A/16</v>
      </c>
      <c r="T63" s="2" t="s">
        <v>26</v>
      </c>
    </row>
    <row r="64" spans="1:20" ht="38.25" x14ac:dyDescent="0.25">
      <c r="A64" s="1">
        <v>60</v>
      </c>
      <c r="B64" s="1" t="str">
        <f>"2016-53"</f>
        <v>2016-53</v>
      </c>
      <c r="C64" s="2" t="s">
        <v>135</v>
      </c>
      <c r="D64" s="1" t="s">
        <v>136</v>
      </c>
      <c r="E64" s="3" t="str">
        <f>""</f>
        <v/>
      </c>
      <c r="F64" s="2" t="s">
        <v>27</v>
      </c>
      <c r="G64" s="2" t="str">
        <f>CONCATENATE("SMIT-COMMERCE D.O.O.,"," GORNJOSTUPNIČKA 9B,"," 10255 GORNJI STUPNIK,"," OIB: 9524348214")</f>
        <v>SMIT-COMMERCE D.O.O., GORNJOSTUPNIČKA 9B, 10255 GORNJI STUPNIK, OIB: 9524348214</v>
      </c>
      <c r="H64" s="4"/>
      <c r="I64" s="1" t="s">
        <v>139</v>
      </c>
      <c r="J64" s="1" t="s">
        <v>140</v>
      </c>
      <c r="K64" s="6" t="str">
        <f>"106.851,40"</f>
        <v>106.851,40</v>
      </c>
      <c r="L64" s="6" t="str">
        <f>"26.712,85"</f>
        <v>26.712,85</v>
      </c>
      <c r="M64" s="6" t="str">
        <f>"133.564,25"</f>
        <v>133.564,25</v>
      </c>
      <c r="N64" s="5">
        <v>43704</v>
      </c>
      <c r="O64" s="7"/>
      <c r="P64" s="6" t="str">
        <f>"135.220,09"</f>
        <v>135.220,09</v>
      </c>
      <c r="Q64" s="7"/>
      <c r="R64" s="1"/>
      <c r="S64" s="1" t="str">
        <f>"12-18/NOS-104-A/16"</f>
        <v>12-18/NOS-104-A/16</v>
      </c>
      <c r="T64" s="2" t="s">
        <v>33</v>
      </c>
    </row>
    <row r="65" spans="1:20" ht="102" x14ac:dyDescent="0.25">
      <c r="A65" s="1">
        <v>61</v>
      </c>
      <c r="B65" s="1" t="str">
        <f>"2016-131"</f>
        <v>2016-131</v>
      </c>
      <c r="C65" s="2" t="s">
        <v>141</v>
      </c>
      <c r="D65" s="1" t="s">
        <v>142</v>
      </c>
      <c r="E65" s="3" t="str">
        <f>"2016/S 002-0021071"</f>
        <v>2016/S 002-0021071</v>
      </c>
      <c r="F65" s="2" t="s">
        <v>23</v>
      </c>
      <c r="G65" s="2" t="str">
        <f>CONCATENATE("KSU D.O.O.,"," DR. JURJA DOBRILE 50,"," 10410 VELIKA GORICA,"," OIB: 349769936")</f>
        <v>KSU D.O.O., DR. JURJA DOBRILE 50, 10410 VELIKA GORICA, OIB: 349769936</v>
      </c>
      <c r="H65" s="4"/>
      <c r="I65" s="1" t="s">
        <v>143</v>
      </c>
      <c r="J65" s="1" t="s">
        <v>144</v>
      </c>
      <c r="K65" s="6" t="str">
        <f>"1.730.000,00"</f>
        <v>1.730.000,00</v>
      </c>
      <c r="L65" s="6" t="str">
        <f>"432.500,00"</f>
        <v>432.500,00</v>
      </c>
      <c r="M65" s="6" t="str">
        <f>"2.162.500,00"</f>
        <v>2.162.500,00</v>
      </c>
      <c r="N65" s="7"/>
      <c r="O65" s="7"/>
      <c r="P65" s="6" t="str">
        <f>""</f>
        <v/>
      </c>
      <c r="Q65" s="7"/>
      <c r="R65" s="1"/>
      <c r="S65" s="1" t="str">
        <f>"NOS-107/16"</f>
        <v>NOS-107/16</v>
      </c>
      <c r="T65" s="2" t="s">
        <v>145</v>
      </c>
    </row>
    <row r="66" spans="1:20" ht="25.5" x14ac:dyDescent="0.25">
      <c r="A66" s="1">
        <v>62</v>
      </c>
      <c r="B66" s="1" t="str">
        <f>"2016-131"</f>
        <v>2016-131</v>
      </c>
      <c r="C66" s="2" t="s">
        <v>141</v>
      </c>
      <c r="D66" s="1" t="s">
        <v>142</v>
      </c>
      <c r="E66" s="3" t="str">
        <f>""</f>
        <v/>
      </c>
      <c r="F66" s="2" t="s">
        <v>27</v>
      </c>
      <c r="G66" s="2" t="str">
        <f>CONCATENATE("KSU D.O.O.,"," DR. JURJA DOBRILE 50,"," 10410 VELIKA GORICA,"," OIB: 349769936")</f>
        <v>KSU D.O.O., DR. JURJA DOBRILE 50, 10410 VELIKA GORICA, OIB: 349769936</v>
      </c>
      <c r="H66" s="4"/>
      <c r="I66" s="1" t="s">
        <v>146</v>
      </c>
      <c r="J66" s="1" t="s">
        <v>147</v>
      </c>
      <c r="K66" s="6" t="str">
        <f>"23.750,00"</f>
        <v>23.750,00</v>
      </c>
      <c r="L66" s="6" t="str">
        <f>"5.937,50"</f>
        <v>5.937,50</v>
      </c>
      <c r="M66" s="6" t="str">
        <f>"29.687,50"</f>
        <v>29.687,50</v>
      </c>
      <c r="N66" s="5">
        <v>43553</v>
      </c>
      <c r="O66" s="7"/>
      <c r="P66" s="6" t="str">
        <f>"13.416,05"</f>
        <v>13.416,05</v>
      </c>
      <c r="Q66" s="7"/>
      <c r="R66" s="1"/>
      <c r="S66" s="1" t="str">
        <f>"36-17/NOS-107/16"</f>
        <v>36-17/NOS-107/16</v>
      </c>
      <c r="T66" s="2" t="s">
        <v>60</v>
      </c>
    </row>
    <row r="67" spans="1:20" ht="51" x14ac:dyDescent="0.25">
      <c r="A67" s="1">
        <v>63</v>
      </c>
      <c r="B67" s="1" t="str">
        <f>"2016-131"</f>
        <v>2016-131</v>
      </c>
      <c r="C67" s="2" t="s">
        <v>148</v>
      </c>
      <c r="D67" s="1" t="s">
        <v>142</v>
      </c>
      <c r="E67" s="3" t="str">
        <f>""</f>
        <v/>
      </c>
      <c r="F67" s="2" t="s">
        <v>52</v>
      </c>
      <c r="G67" s="2" t="str">
        <f>CONCATENATE("KSU D.O.O.,"," DR. JURJA DOBRILE 50,"," 10410 VELIKA GORICA,"," OIB: 349769936")</f>
        <v>KSU D.O.O., DR. JURJA DOBRILE 50, 10410 VELIKA GORICA, OIB: 349769936</v>
      </c>
      <c r="H67" s="4"/>
      <c r="I67" s="1" t="s">
        <v>149</v>
      </c>
      <c r="J67" s="1" t="s">
        <v>53</v>
      </c>
      <c r="K67" s="6" t="str">
        <f>""</f>
        <v/>
      </c>
      <c r="L67" s="6" t="str">
        <f>"0,00"</f>
        <v>0,00</v>
      </c>
      <c r="M67" s="6" t="str">
        <f>"0,00"</f>
        <v>0,00</v>
      </c>
      <c r="N67" s="5">
        <v>43403</v>
      </c>
      <c r="O67" s="7"/>
      <c r="P67" s="6" t="str">
        <f>"2.890,18"</f>
        <v>2.890,18</v>
      </c>
      <c r="Q67" s="7"/>
      <c r="R67" s="1"/>
      <c r="S67" s="1" t="str">
        <f>"36-17/NOS-107/16-2"</f>
        <v>36-17/NOS-107/16-2</v>
      </c>
      <c r="T67" s="2" t="s">
        <v>60</v>
      </c>
    </row>
    <row r="68" spans="1:20" ht="25.5" x14ac:dyDescent="0.25">
      <c r="A68" s="1">
        <v>64</v>
      </c>
      <c r="B68" s="1" t="str">
        <f>"2016-131"</f>
        <v>2016-131</v>
      </c>
      <c r="C68" s="2" t="s">
        <v>141</v>
      </c>
      <c r="D68" s="1" t="s">
        <v>142</v>
      </c>
      <c r="E68" s="3" t="str">
        <f>""</f>
        <v/>
      </c>
      <c r="F68" s="2" t="s">
        <v>27</v>
      </c>
      <c r="G68" s="2" t="str">
        <f>CONCATENATE("KSU D.O.O.,"," DR. JURJA DOBRILE 50,"," 10410 VELIKA GORICA,"," OIB: 349769936")</f>
        <v>KSU D.O.O., DR. JURJA DOBRILE 50, 10410 VELIKA GORICA, OIB: 349769936</v>
      </c>
      <c r="H68" s="4"/>
      <c r="I68" s="1" t="s">
        <v>150</v>
      </c>
      <c r="J68" s="1" t="s">
        <v>42</v>
      </c>
      <c r="K68" s="6" t="str">
        <f>"639.556,44"</f>
        <v>639.556,44</v>
      </c>
      <c r="L68" s="6" t="str">
        <f>"159.889,11"</f>
        <v>159.889,11</v>
      </c>
      <c r="M68" s="6" t="str">
        <f>"799.445,55"</f>
        <v>799.445,55</v>
      </c>
      <c r="N68" s="5">
        <v>43830</v>
      </c>
      <c r="O68" s="7"/>
      <c r="P68" s="6" t="str">
        <f>"588.707,26"</f>
        <v>588.707,26</v>
      </c>
      <c r="Q68" s="7"/>
      <c r="R68" s="1"/>
      <c r="S68" s="1" t="str">
        <f>"59-18/NOS-107/16"</f>
        <v>59-18/NOS-107/16</v>
      </c>
      <c r="T68" s="2" t="s">
        <v>33</v>
      </c>
    </row>
    <row r="69" spans="1:20" ht="38.25" x14ac:dyDescent="0.25">
      <c r="A69" s="1">
        <v>65</v>
      </c>
      <c r="B69" s="1" t="str">
        <f>"2016-29"</f>
        <v>2016-29</v>
      </c>
      <c r="C69" s="2" t="s">
        <v>151</v>
      </c>
      <c r="D69" s="1" t="s">
        <v>152</v>
      </c>
      <c r="E69" s="3" t="str">
        <f>" 2016/S 002-0019570"</f>
        <v xml:space="preserve"> 2016/S 002-0019570</v>
      </c>
      <c r="F69" s="2" t="s">
        <v>23</v>
      </c>
      <c r="G69" s="2" t="str">
        <f>CONCATENATE("IKOM D.O.O.,"," KOVINSKA 7,"," 10090 ZAGREB-SUSEDGRAD,"," OIB: 86247075815")</f>
        <v>IKOM D.O.O., KOVINSKA 7, 10090 ZAGREB-SUSEDGRAD, OIB: 86247075815</v>
      </c>
      <c r="H69" s="4"/>
      <c r="I69" s="1" t="s">
        <v>153</v>
      </c>
      <c r="J69" s="1" t="s">
        <v>154</v>
      </c>
      <c r="K69" s="6" t="str">
        <f>"15.000.000,00"</f>
        <v>15.000.000,00</v>
      </c>
      <c r="L69" s="6" t="str">
        <f>"3.750.000,00"</f>
        <v>3.750.000,00</v>
      </c>
      <c r="M69" s="6" t="str">
        <f>"18.750.000,00"</f>
        <v>18.750.000,00</v>
      </c>
      <c r="N69" s="7"/>
      <c r="O69" s="7"/>
      <c r="P69" s="6" t="str">
        <f>""</f>
        <v/>
      </c>
      <c r="Q69" s="7"/>
      <c r="R69" s="1"/>
      <c r="S69" s="1" t="str">
        <f>"NOS-109/16"</f>
        <v>NOS-109/16</v>
      </c>
      <c r="T69" s="2" t="s">
        <v>29</v>
      </c>
    </row>
    <row r="70" spans="1:20" ht="25.5" x14ac:dyDescent="0.25">
      <c r="A70" s="1">
        <v>66</v>
      </c>
      <c r="B70" s="1" t="str">
        <f>"2016-29"</f>
        <v>2016-29</v>
      </c>
      <c r="C70" s="2" t="s">
        <v>151</v>
      </c>
      <c r="D70" s="4"/>
      <c r="E70" s="3" t="str">
        <f>""</f>
        <v/>
      </c>
      <c r="F70" s="2" t="s">
        <v>27</v>
      </c>
      <c r="G70" s="2" t="str">
        <f>CONCATENATE("IKOM D.O.O.,"," KOVINSKA 7,"," 10090 ZAGREB-SUSEDGRAD,"," OIB: 86247075815")</f>
        <v>IKOM D.O.O., KOVINSKA 7, 10090 ZAGREB-SUSEDGRAD, OIB: 86247075815</v>
      </c>
      <c r="H70" s="4"/>
      <c r="I70" s="1" t="s">
        <v>155</v>
      </c>
      <c r="J70" s="1" t="s">
        <v>71</v>
      </c>
      <c r="K70" s="6" t="str">
        <f>"3.273.990,00"</f>
        <v>3.273.990,00</v>
      </c>
      <c r="L70" s="6" t="str">
        <f>"818.497,50"</f>
        <v>818.497,50</v>
      </c>
      <c r="M70" s="6" t="str">
        <f>"4.092.487,50"</f>
        <v>4.092.487,50</v>
      </c>
      <c r="N70" s="5">
        <v>43522</v>
      </c>
      <c r="O70" s="7"/>
      <c r="P70" s="6" t="str">
        <f>"4.028.487,50"</f>
        <v>4.028.487,50</v>
      </c>
      <c r="Q70" s="7"/>
      <c r="R70" s="1"/>
      <c r="S70" s="1" t="str">
        <f>"4-18/NOS-109/16"</f>
        <v>4-18/NOS-109/16</v>
      </c>
      <c r="T70" s="2" t="s">
        <v>29</v>
      </c>
    </row>
    <row r="71" spans="1:20" ht="25.5" x14ac:dyDescent="0.25">
      <c r="A71" s="1">
        <v>67</v>
      </c>
      <c r="B71" s="1" t="str">
        <f>"2016-29"</f>
        <v>2016-29</v>
      </c>
      <c r="C71" s="2" t="s">
        <v>151</v>
      </c>
      <c r="D71" s="4"/>
      <c r="E71" s="3" t="str">
        <f>""</f>
        <v/>
      </c>
      <c r="F71" s="2" t="s">
        <v>27</v>
      </c>
      <c r="G71" s="2" t="str">
        <f>CONCATENATE("IKOM D.O.O.,"," KOVINSKA 7,"," 10090 ZAGREB-SUSEDGRAD,"," OIB: 86247075815")</f>
        <v>IKOM D.O.O., KOVINSKA 7, 10090 ZAGREB-SUSEDGRAD, OIB: 86247075815</v>
      </c>
      <c r="H71" s="4"/>
      <c r="I71" s="1" t="s">
        <v>41</v>
      </c>
      <c r="J71" s="1" t="s">
        <v>64</v>
      </c>
      <c r="K71" s="6" t="str">
        <f>"371.520,00"</f>
        <v>371.520,00</v>
      </c>
      <c r="L71" s="6" t="str">
        <f>"92.880,00"</f>
        <v>92.880,00</v>
      </c>
      <c r="M71" s="6" t="str">
        <f>"464.400,00"</f>
        <v>464.400,00</v>
      </c>
      <c r="N71" s="5">
        <v>43549</v>
      </c>
      <c r="O71" s="7"/>
      <c r="P71" s="6" t="str">
        <f>"432.775,00"</f>
        <v>432.775,00</v>
      </c>
      <c r="Q71" s="7"/>
      <c r="R71" s="1"/>
      <c r="S71" s="1" t="str">
        <f>"5-18/NOS-109/16"</f>
        <v>5-18/NOS-109/16</v>
      </c>
      <c r="T71" s="2" t="s">
        <v>29</v>
      </c>
    </row>
    <row r="72" spans="1:20" ht="76.5" x14ac:dyDescent="0.25">
      <c r="A72" s="1">
        <v>68</v>
      </c>
      <c r="B72" s="1" t="str">
        <f>"2016-3079"</f>
        <v>2016-3079</v>
      </c>
      <c r="C72" s="2" t="s">
        <v>156</v>
      </c>
      <c r="D72" s="1" t="s">
        <v>157</v>
      </c>
      <c r="E72" s="3" t="str">
        <f>"2016/S 002-0024333"</f>
        <v>2016/S 002-0024333</v>
      </c>
      <c r="F72" s="2" t="s">
        <v>23</v>
      </c>
      <c r="G72" s="2" t="str">
        <f>CONCATENATE("EKONERG D.O.O.,"," KORANSKA ULICA 5,"," 10000 ZAGREB,"," OIB: 71690188016")</f>
        <v>EKONERG D.O.O., KORANSKA ULICA 5, 10000 ZAGREB, OIB: 71690188016</v>
      </c>
      <c r="H72" s="1" t="str">
        <f>CONCATENATE("INSTITUT ZA MEDICINSKA ISTRAŽIVANJA I MEDICINU RADA,"," OIB: 30285469659")</f>
        <v>INSTITUT ZA MEDICINSKA ISTRAŽIVANJA I MEDICINU RADA, OIB: 30285469659</v>
      </c>
      <c r="I72" s="1" t="s">
        <v>158</v>
      </c>
      <c r="J72" s="1" t="s">
        <v>159</v>
      </c>
      <c r="K72" s="6" t="str">
        <f>"700.000,00"</f>
        <v>700.000,00</v>
      </c>
      <c r="L72" s="6" t="str">
        <f>"175.000,00"</f>
        <v>175.000,00</v>
      </c>
      <c r="M72" s="6" t="str">
        <f>"875.000,00"</f>
        <v>875.000,00</v>
      </c>
      <c r="N72" s="7"/>
      <c r="O72" s="7"/>
      <c r="P72" s="6" t="str">
        <f>""</f>
        <v/>
      </c>
      <c r="Q72" s="7"/>
      <c r="R72" s="1"/>
      <c r="S72" s="1" t="str">
        <f>"NOS-112/16"</f>
        <v>NOS-112/16</v>
      </c>
      <c r="T72" s="2" t="s">
        <v>33</v>
      </c>
    </row>
    <row r="73" spans="1:20" ht="25.5" x14ac:dyDescent="0.25">
      <c r="A73" s="1">
        <v>69</v>
      </c>
      <c r="B73" s="1" t="str">
        <f>"2016-3079"</f>
        <v>2016-3079</v>
      </c>
      <c r="C73" s="2" t="s">
        <v>156</v>
      </c>
      <c r="D73" s="4"/>
      <c r="E73" s="3" t="str">
        <f>""</f>
        <v/>
      </c>
      <c r="F73" s="2" t="s">
        <v>27</v>
      </c>
      <c r="G73" s="2" t="str">
        <f>CONCATENATE("EKONERG D.O.O.,"," KORANSKA ULICA 5,"," 10000 ZAGREB,"," OIB: 71690188016")</f>
        <v>EKONERG D.O.O., KORANSKA ULICA 5, 10000 ZAGREB, OIB: 71690188016</v>
      </c>
      <c r="H73" s="4"/>
      <c r="I73" s="1" t="s">
        <v>160</v>
      </c>
      <c r="J73" s="1" t="s">
        <v>114</v>
      </c>
      <c r="K73" s="6" t="str">
        <f>"349.965,00"</f>
        <v>349.965,00</v>
      </c>
      <c r="L73" s="6" t="str">
        <f>"87.491,25"</f>
        <v>87.491,25</v>
      </c>
      <c r="M73" s="6" t="str">
        <f>"437.456,25"</f>
        <v>437.456,25</v>
      </c>
      <c r="N73" s="5">
        <v>43635</v>
      </c>
      <c r="O73" s="7"/>
      <c r="P73" s="6" t="str">
        <f>"437.456,25"</f>
        <v>437.456,25</v>
      </c>
      <c r="Q73" s="7"/>
      <c r="R73" s="1"/>
      <c r="S73" s="1" t="str">
        <f>"1-18/NOS-112/16"</f>
        <v>1-18/NOS-112/16</v>
      </c>
      <c r="T73" s="2" t="s">
        <v>33</v>
      </c>
    </row>
    <row r="74" spans="1:20" ht="51" x14ac:dyDescent="0.25">
      <c r="A74" s="1">
        <v>70</v>
      </c>
      <c r="B74" s="1" t="str">
        <f>"2016-3079"</f>
        <v>2016-3079</v>
      </c>
      <c r="C74" s="2" t="s">
        <v>161</v>
      </c>
      <c r="D74" s="4"/>
      <c r="E74" s="3" t="str">
        <f>""</f>
        <v/>
      </c>
      <c r="F74" s="2" t="s">
        <v>52</v>
      </c>
      <c r="G74" s="2" t="str">
        <f>CONCATENATE("EKONERG D.O.O.,"," KORANSKA ULICA 5,"," 10000 ZAGREB,"," OIB: 71690188016")</f>
        <v>EKONERG D.O.O., KORANSKA ULICA 5, 10000 ZAGREB, OIB: 71690188016</v>
      </c>
      <c r="H74" s="4"/>
      <c r="I74" s="1" t="s">
        <v>162</v>
      </c>
      <c r="J74" s="1" t="s">
        <v>114</v>
      </c>
      <c r="K74" s="6" t="str">
        <f>""</f>
        <v/>
      </c>
      <c r="L74" s="6" t="str">
        <f>"0,00"</f>
        <v>0,00</v>
      </c>
      <c r="M74" s="6" t="str">
        <f>"0,00"</f>
        <v>0,00</v>
      </c>
      <c r="N74" s="5">
        <v>43635</v>
      </c>
      <c r="O74" s="7"/>
      <c r="P74" s="6" t="str">
        <f>"42.000,00"</f>
        <v>42.000,00</v>
      </c>
      <c r="Q74" s="7"/>
      <c r="R74" s="1"/>
      <c r="S74" s="1" t="str">
        <f>"1-18/NOS-112/16#1"</f>
        <v>1-18/NOS-112/16#1</v>
      </c>
      <c r="T74" s="2" t="s">
        <v>33</v>
      </c>
    </row>
    <row r="75" spans="1:20" ht="38.25" x14ac:dyDescent="0.25">
      <c r="A75" s="1">
        <v>71</v>
      </c>
      <c r="B75" s="1" t="str">
        <f>"2016-2743"</f>
        <v>2016-2743</v>
      </c>
      <c r="C75" s="2" t="s">
        <v>163</v>
      </c>
      <c r="D75" s="1" t="s">
        <v>164</v>
      </c>
      <c r="E75" s="3" t="str">
        <f>"2016/S 002-0024119"</f>
        <v>2016/S 002-0024119</v>
      </c>
      <c r="F75" s="2" t="s">
        <v>23</v>
      </c>
      <c r="G75" s="2" t="str">
        <f>CONCATENATE("OMEGA SOFTWARE D.O.O.,"," KAMENARKA 37,"," 10010 ZAGREB-SLOBOŠTINA,"," OIB: 40102169932")</f>
        <v>OMEGA SOFTWARE D.O.O., KAMENARKA 37, 10010 ZAGREB-SLOBOŠTINA, OIB: 40102169932</v>
      </c>
      <c r="H75" s="4"/>
      <c r="I75" s="1" t="s">
        <v>165</v>
      </c>
      <c r="J75" s="1" t="s">
        <v>166</v>
      </c>
      <c r="K75" s="6" t="str">
        <f>"720.000,00"</f>
        <v>720.000,00</v>
      </c>
      <c r="L75" s="6" t="str">
        <f>"180.000,00"</f>
        <v>180.000,00</v>
      </c>
      <c r="M75" s="6" t="str">
        <f>"900.000,00"</f>
        <v>900.000,00</v>
      </c>
      <c r="N75" s="7"/>
      <c r="O75" s="7"/>
      <c r="P75" s="6" t="str">
        <f>""</f>
        <v/>
      </c>
      <c r="Q75" s="7"/>
      <c r="R75" s="1"/>
      <c r="S75" s="1" t="str">
        <f>"NOS-116-ZGH/16"</f>
        <v>NOS-116-ZGH/16</v>
      </c>
      <c r="T75" s="2" t="s">
        <v>167</v>
      </c>
    </row>
    <row r="76" spans="1:20" ht="38.25" x14ac:dyDescent="0.25">
      <c r="A76" s="1">
        <v>72</v>
      </c>
      <c r="B76" s="1" t="str">
        <f>"2016-2743"</f>
        <v>2016-2743</v>
      </c>
      <c r="C76" s="2" t="s">
        <v>163</v>
      </c>
      <c r="D76" s="1" t="s">
        <v>164</v>
      </c>
      <c r="E76" s="3" t="str">
        <f>""</f>
        <v/>
      </c>
      <c r="F76" s="2" t="s">
        <v>27</v>
      </c>
      <c r="G76" s="2" t="str">
        <f>CONCATENATE("OMEGA SOFTWARE D.O.O.,"," KAMENARKA 37,"," 10010 ZAGREB-SLOBOŠTINA,"," OIB: 40102169932")</f>
        <v>OMEGA SOFTWARE D.O.O., KAMENARKA 37, 10010 ZAGREB-SLOBOŠTINA, OIB: 40102169932</v>
      </c>
      <c r="H76" s="4"/>
      <c r="I76" s="1" t="s">
        <v>168</v>
      </c>
      <c r="J76" s="1" t="s">
        <v>71</v>
      </c>
      <c r="K76" s="6" t="str">
        <f>"269.160,00"</f>
        <v>269.160,00</v>
      </c>
      <c r="L76" s="6" t="str">
        <f>"67.290,00"</f>
        <v>67.290,00</v>
      </c>
      <c r="M76" s="6" t="str">
        <f>"336.450,00"</f>
        <v>336.450,00</v>
      </c>
      <c r="N76" s="5">
        <v>43524</v>
      </c>
      <c r="O76" s="7"/>
      <c r="P76" s="6" t="str">
        <f>"110.550,00"</f>
        <v>110.550,00</v>
      </c>
      <c r="Q76" s="7"/>
      <c r="R76" s="1"/>
      <c r="S76" s="1" t="str">
        <f>"1-18/NOS-116-ZGH/16"</f>
        <v>1-18/NOS-116-ZGH/16</v>
      </c>
      <c r="T76" s="2" t="s">
        <v>33</v>
      </c>
    </row>
    <row r="77" spans="1:20" ht="38.25" x14ac:dyDescent="0.25">
      <c r="A77" s="1">
        <v>73</v>
      </c>
      <c r="B77" s="1" t="str">
        <f>"2016-147"</f>
        <v>2016-147</v>
      </c>
      <c r="C77" s="2" t="s">
        <v>169</v>
      </c>
      <c r="D77" s="1" t="s">
        <v>170</v>
      </c>
      <c r="E77" s="3" t="str">
        <f>"2016/S 002-0026164"</f>
        <v>2016/S 002-0026164</v>
      </c>
      <c r="F77" s="2" t="s">
        <v>23</v>
      </c>
      <c r="G77" s="2" t="str">
        <f>CONCATENATE("METALNO PLASTIČNA GALANTERIJA,"," VL. KREŠIMIR CVETKOVIĆ,"," CVETKOVIĆEV PUT 13,"," 10000 ZAGREB,"," OIB: 47166610982")</f>
        <v>METALNO PLASTIČNA GALANTERIJA, VL. KREŠIMIR CVETKOVIĆ, CVETKOVIĆEV PUT 13, 10000 ZAGREB, OIB: 47166610982</v>
      </c>
      <c r="H77" s="4"/>
      <c r="I77" s="1" t="s">
        <v>171</v>
      </c>
      <c r="J77" s="1" t="s">
        <v>172</v>
      </c>
      <c r="K77" s="6" t="str">
        <f>"1.000.000,00"</f>
        <v>1.000.000,00</v>
      </c>
      <c r="L77" s="6" t="str">
        <f>"250.000,00"</f>
        <v>250.000,00</v>
      </c>
      <c r="M77" s="6" t="str">
        <f>"1.250.000,00"</f>
        <v>1.250.000,00</v>
      </c>
      <c r="N77" s="7"/>
      <c r="O77" s="7"/>
      <c r="P77" s="6" t="str">
        <f>""</f>
        <v/>
      </c>
      <c r="Q77" s="7"/>
      <c r="R77" s="1"/>
      <c r="S77" s="1" t="str">
        <f>"NOS-117/16"</f>
        <v>NOS-117/16</v>
      </c>
      <c r="T77" s="2" t="s">
        <v>33</v>
      </c>
    </row>
    <row r="78" spans="1:20" ht="38.25" x14ac:dyDescent="0.25">
      <c r="A78" s="1">
        <v>74</v>
      </c>
      <c r="B78" s="1" t="str">
        <f>"2016-3076"</f>
        <v>2016-3076</v>
      </c>
      <c r="C78" s="2" t="s">
        <v>173</v>
      </c>
      <c r="D78" s="1" t="s">
        <v>131</v>
      </c>
      <c r="E78" s="3" t="str">
        <f>"2016/S 002-0024140"</f>
        <v>2016/S 002-0024140</v>
      </c>
      <c r="F78" s="2" t="s">
        <v>23</v>
      </c>
      <c r="G78" s="2" t="str">
        <f>CONCATENATE("I.B. JAZBINA D.O.O.,"," JAZBINA 151,"," 10000 ZAGREB,"," OIB: 77265033209")</f>
        <v>I.B. JAZBINA D.O.O., JAZBINA 151, 10000 ZAGREB, OIB: 77265033209</v>
      </c>
      <c r="H78" s="4"/>
      <c r="I78" s="1" t="s">
        <v>174</v>
      </c>
      <c r="J78" s="1" t="s">
        <v>175</v>
      </c>
      <c r="K78" s="6" t="str">
        <f>"1.100.000,00"</f>
        <v>1.100.000,00</v>
      </c>
      <c r="L78" s="6" t="str">
        <f>"275.000,00"</f>
        <v>275.000,00</v>
      </c>
      <c r="M78" s="6" t="str">
        <f>"1.375.000,00"</f>
        <v>1.375.000,00</v>
      </c>
      <c r="N78" s="7"/>
      <c r="O78" s="7"/>
      <c r="P78" s="6" t="str">
        <f>""</f>
        <v/>
      </c>
      <c r="Q78" s="7"/>
      <c r="R78" s="1"/>
      <c r="S78" s="1" t="str">
        <f>"NOS-118/16"</f>
        <v>NOS-118/16</v>
      </c>
      <c r="T78" s="2" t="s">
        <v>33</v>
      </c>
    </row>
    <row r="79" spans="1:20" ht="25.5" x14ac:dyDescent="0.25">
      <c r="A79" s="1">
        <v>75</v>
      </c>
      <c r="B79" s="1" t="str">
        <f>"2016-3076"</f>
        <v>2016-3076</v>
      </c>
      <c r="C79" s="2" t="s">
        <v>173</v>
      </c>
      <c r="D79" s="1" t="s">
        <v>131</v>
      </c>
      <c r="E79" s="3" t="str">
        <f>""</f>
        <v/>
      </c>
      <c r="F79" s="2" t="s">
        <v>27</v>
      </c>
      <c r="G79" s="2" t="str">
        <f>CONCATENATE("I.B. JAZBINA D.O.O.,"," JAZBINA 151,"," 10000 ZAGREB,"," OIB: 77265033209")</f>
        <v>I.B. JAZBINA D.O.O., JAZBINA 151, 10000 ZAGREB, OIB: 77265033209</v>
      </c>
      <c r="H79" s="4"/>
      <c r="I79" s="1" t="s">
        <v>92</v>
      </c>
      <c r="J79" s="1" t="s">
        <v>42</v>
      </c>
      <c r="K79" s="6" t="str">
        <f>"362.000,00"</f>
        <v>362.000,00</v>
      </c>
      <c r="L79" s="6" t="str">
        <f>"90.500,00"</f>
        <v>90.500,00</v>
      </c>
      <c r="M79" s="6" t="str">
        <f>"452.500,00"</f>
        <v>452.500,00</v>
      </c>
      <c r="N79" s="5">
        <v>43496</v>
      </c>
      <c r="O79" s="7"/>
      <c r="P79" s="6" t="str">
        <f>"459.925,00"</f>
        <v>459.925,00</v>
      </c>
      <c r="Q79" s="7"/>
      <c r="R79" s="1"/>
      <c r="S79" s="1" t="str">
        <f>"2-18/NOS-118/16"</f>
        <v>2-18/NOS-118/16</v>
      </c>
      <c r="T79" s="2" t="s">
        <v>33</v>
      </c>
    </row>
    <row r="80" spans="1:20" ht="38.25" x14ac:dyDescent="0.25">
      <c r="A80" s="1">
        <v>76</v>
      </c>
      <c r="B80" s="1" t="str">
        <f>"2016-3033"</f>
        <v>2016-3033</v>
      </c>
      <c r="C80" s="2" t="s">
        <v>176</v>
      </c>
      <c r="D80" s="1" t="s">
        <v>131</v>
      </c>
      <c r="E80" s="3" t="str">
        <f>"2016/S 002-0023983"</f>
        <v>2016/S 002-0023983</v>
      </c>
      <c r="F80" s="2" t="s">
        <v>23</v>
      </c>
      <c r="G80" s="2" t="str">
        <f>CONCATENATE("I.B. JAZBINA D.O.O.,"," JAZBINA 151,"," 10000 ZAGREB,"," OIB: 77265033209")</f>
        <v>I.B. JAZBINA D.O.O., JAZBINA 151, 10000 ZAGREB, OIB: 77265033209</v>
      </c>
      <c r="H80" s="4"/>
      <c r="I80" s="1" t="s">
        <v>174</v>
      </c>
      <c r="J80" s="1" t="s">
        <v>175</v>
      </c>
      <c r="K80" s="6" t="str">
        <f>"1.300.000,00"</f>
        <v>1.300.000,00</v>
      </c>
      <c r="L80" s="6" t="str">
        <f>"325.000,00"</f>
        <v>325.000,00</v>
      </c>
      <c r="M80" s="6" t="str">
        <f>"1.625.000,00"</f>
        <v>1.625.000,00</v>
      </c>
      <c r="N80" s="7"/>
      <c r="O80" s="7"/>
      <c r="P80" s="6" t="str">
        <f>""</f>
        <v/>
      </c>
      <c r="Q80" s="7"/>
      <c r="R80" s="1"/>
      <c r="S80" s="1" t="str">
        <f>"NOS-119/16"</f>
        <v>NOS-119/16</v>
      </c>
      <c r="T80" s="2" t="s">
        <v>33</v>
      </c>
    </row>
    <row r="81" spans="1:20" ht="38.25" x14ac:dyDescent="0.25">
      <c r="A81" s="1">
        <v>77</v>
      </c>
      <c r="B81" s="1" t="str">
        <f>"2016-3033"</f>
        <v>2016-3033</v>
      </c>
      <c r="C81" s="2" t="s">
        <v>176</v>
      </c>
      <c r="D81" s="1" t="s">
        <v>131</v>
      </c>
      <c r="E81" s="3" t="str">
        <f>""</f>
        <v/>
      </c>
      <c r="F81" s="2" t="s">
        <v>27</v>
      </c>
      <c r="G81" s="2" t="str">
        <f>CONCATENATE("I.B. JAZBINA D.O.O.,"," JAZBINA 151,"," 10000 ZAGREB,"," OIB: 77265033209")</f>
        <v>I.B. JAZBINA D.O.O., JAZBINA 151, 10000 ZAGREB, OIB: 77265033209</v>
      </c>
      <c r="H81" s="4"/>
      <c r="I81" s="1" t="s">
        <v>177</v>
      </c>
      <c r="J81" s="1" t="s">
        <v>64</v>
      </c>
      <c r="K81" s="6" t="str">
        <f>"290.800,00"</f>
        <v>290.800,00</v>
      </c>
      <c r="L81" s="6" t="str">
        <f>"72.700,00"</f>
        <v>72.700,00</v>
      </c>
      <c r="M81" s="6" t="str">
        <f>"363.500,00"</f>
        <v>363.500,00</v>
      </c>
      <c r="N81" s="5">
        <v>43572</v>
      </c>
      <c r="O81" s="7"/>
      <c r="P81" s="6" t="str">
        <f>"259.925,00"</f>
        <v>259.925,00</v>
      </c>
      <c r="Q81" s="7"/>
      <c r="R81" s="1"/>
      <c r="S81" s="1" t="str">
        <f>"2-18/NOS-119/16"</f>
        <v>2-18/NOS-119/16</v>
      </c>
      <c r="T81" s="2" t="s">
        <v>33</v>
      </c>
    </row>
    <row r="82" spans="1:20" ht="76.5" x14ac:dyDescent="0.25">
      <c r="A82" s="1">
        <v>78</v>
      </c>
      <c r="B82" s="1" t="str">
        <f>"2016-153"</f>
        <v>2016-153</v>
      </c>
      <c r="C82" s="2" t="s">
        <v>178</v>
      </c>
      <c r="D82" s="1" t="s">
        <v>179</v>
      </c>
      <c r="E82" s="3" t="str">
        <f>"2016/S 002-0018565"</f>
        <v>2016/S 002-0018565</v>
      </c>
      <c r="F82" s="2" t="s">
        <v>23</v>
      </c>
      <c r="G82" s="2" t="str">
        <f>CONCATENATE("GUMIIMPEX - GRP D.O.O.,"," PAVLEKA MIŠKINE 64C,"," 42000 VARAŽDIN,"," OIB: 82298562620",CHAR(10),"VULKAL D.O.O.,"," SAMOBORSKA CESTA 310,"," 10000 ZAGREB,"," OIB: 90439696130",CHAR(10),"PNEUMATIK D.O.O.,"," KARAŽNIK 2/A,"," 10000 ZAGREB,"," OIB: 68256909072")</f>
        <v>GUMIIMPEX - GRP D.O.O., PAVLEKA MIŠKINE 64C, 42000 VARAŽDIN, OIB: 82298562620
VULKAL D.O.O., SAMOBORSKA CESTA 310, 10000 ZAGREB, OIB: 90439696130
PNEUMATIK D.O.O., KARAŽNIK 2/A, 10000 ZAGREB, OIB: 68256909072</v>
      </c>
      <c r="H82" s="4"/>
      <c r="I82" s="1" t="s">
        <v>180</v>
      </c>
      <c r="J82" s="1" t="s">
        <v>181</v>
      </c>
      <c r="K82" s="6" t="str">
        <f>"7.504.000,00"</f>
        <v>7.504.000,00</v>
      </c>
      <c r="L82" s="6" t="str">
        <f>"1.876.000,00"</f>
        <v>1.876.000,00</v>
      </c>
      <c r="M82" s="6" t="str">
        <f>"9.380.000,00"</f>
        <v>9.380.000,00</v>
      </c>
      <c r="N82" s="7"/>
      <c r="O82" s="7"/>
      <c r="P82" s="6" t="str">
        <f>""</f>
        <v/>
      </c>
      <c r="Q82" s="7"/>
      <c r="R82" s="1"/>
      <c r="S82" s="1" t="str">
        <f>"NOS-120/16"</f>
        <v>NOS-120/16</v>
      </c>
      <c r="T82" s="2" t="s">
        <v>79</v>
      </c>
    </row>
    <row r="83" spans="1:20" ht="25.5" x14ac:dyDescent="0.25">
      <c r="A83" s="1">
        <v>79</v>
      </c>
      <c r="B83" s="1" t="str">
        <f>"2016-153"</f>
        <v>2016-153</v>
      </c>
      <c r="C83" s="2" t="s">
        <v>178</v>
      </c>
      <c r="D83" s="1" t="s">
        <v>179</v>
      </c>
      <c r="E83" s="3" t="str">
        <f>""</f>
        <v/>
      </c>
      <c r="F83" s="2" t="s">
        <v>27</v>
      </c>
      <c r="G83" s="2" t="str">
        <f>CONCATENATE("PNEUMATIK D.O.O.,"," KARAŽNIK 2/A,"," 10000 ZAGREB,"," OIB: 68256909072")</f>
        <v>PNEUMATIK D.O.O., KARAŽNIK 2/A, 10000 ZAGREB, OIB: 68256909072</v>
      </c>
      <c r="H83" s="4"/>
      <c r="I83" s="1" t="s">
        <v>182</v>
      </c>
      <c r="J83" s="1" t="s">
        <v>42</v>
      </c>
      <c r="K83" s="6" t="str">
        <f>"396.325,00"</f>
        <v>396.325,00</v>
      </c>
      <c r="L83" s="6" t="str">
        <f>"99.081,25"</f>
        <v>99.081,25</v>
      </c>
      <c r="M83" s="6" t="str">
        <f>"495.406,25"</f>
        <v>495.406,25</v>
      </c>
      <c r="N83" s="5">
        <v>43593</v>
      </c>
      <c r="O83" s="7"/>
      <c r="P83" s="6" t="str">
        <f>"412.291,25"</f>
        <v>412.291,25</v>
      </c>
      <c r="Q83" s="7"/>
      <c r="R83" s="1"/>
      <c r="S83" s="1" t="str">
        <f>"14-18/NOS-120/16"</f>
        <v>14-18/NOS-120/16</v>
      </c>
      <c r="T83" s="2" t="s">
        <v>33</v>
      </c>
    </row>
    <row r="84" spans="1:20" ht="38.25" x14ac:dyDescent="0.25">
      <c r="A84" s="1">
        <v>80</v>
      </c>
      <c r="B84" s="1" t="str">
        <f>"2016-68"</f>
        <v>2016-68</v>
      </c>
      <c r="C84" s="2" t="s">
        <v>183</v>
      </c>
      <c r="D84" s="1" t="s">
        <v>184</v>
      </c>
      <c r="E84" s="3" t="str">
        <f>"2016/S 002-0018737"</f>
        <v>2016/S 002-0018737</v>
      </c>
      <c r="F84" s="2" t="s">
        <v>23</v>
      </c>
      <c r="G84" s="2" t="str">
        <f>CONCATENATE("GUMIIMPEX - GRP D.O.O.,"," PAVLEKA MIŠKINE 64C,"," 42000 VARAŽDIN,"," OIB: 8229856262")</f>
        <v>GUMIIMPEX - GRP D.O.O., PAVLEKA MIŠKINE 64C, 42000 VARAŽDIN, OIB: 8229856262</v>
      </c>
      <c r="H84" s="4"/>
      <c r="I84" s="1" t="s">
        <v>185</v>
      </c>
      <c r="J84" s="1" t="s">
        <v>186</v>
      </c>
      <c r="K84" s="6" t="str">
        <f>"1.500.000,00"</f>
        <v>1.500.000,00</v>
      </c>
      <c r="L84" s="6" t="str">
        <f>"375.000,00"</f>
        <v>375.000,00</v>
      </c>
      <c r="M84" s="6" t="str">
        <f>"1.875.000,00"</f>
        <v>1.875.000,00</v>
      </c>
      <c r="N84" s="7"/>
      <c r="O84" s="7"/>
      <c r="P84" s="6" t="str">
        <f>""</f>
        <v/>
      </c>
      <c r="Q84" s="7"/>
      <c r="R84" s="1"/>
      <c r="S84" s="1" t="str">
        <f>"NOS-121/16"</f>
        <v>NOS-121/16</v>
      </c>
      <c r="T84" s="2" t="s">
        <v>33</v>
      </c>
    </row>
    <row r="85" spans="1:20" ht="38.25" x14ac:dyDescent="0.25">
      <c r="A85" s="1">
        <v>81</v>
      </c>
      <c r="B85" s="1" t="str">
        <f>"2016-3078"</f>
        <v>2016-3078</v>
      </c>
      <c r="C85" s="2" t="s">
        <v>187</v>
      </c>
      <c r="D85" s="1" t="s">
        <v>188</v>
      </c>
      <c r="E85" s="3" t="str">
        <f>"2016/S 002-0024167"</f>
        <v>2016/S 002-0024167</v>
      </c>
      <c r="F85" s="2" t="s">
        <v>23</v>
      </c>
      <c r="G85" s="2" t="str">
        <f>CONCATENATE("BEŠIĆ-PROM D.O.O.,"," BEŠIĆI 22,"," 10000 ZAGREB,"," OIB: 18596208564")</f>
        <v>BEŠIĆ-PROM D.O.O., BEŠIĆI 22, 10000 ZAGREB, OIB: 18596208564</v>
      </c>
      <c r="H85" s="4"/>
      <c r="I85" s="1" t="s">
        <v>189</v>
      </c>
      <c r="J85" s="1" t="s">
        <v>190</v>
      </c>
      <c r="K85" s="6" t="str">
        <f>"700.000,00"</f>
        <v>700.000,00</v>
      </c>
      <c r="L85" s="6" t="str">
        <f>"175.000,00"</f>
        <v>175.000,00</v>
      </c>
      <c r="M85" s="6" t="str">
        <f>"875.000,00"</f>
        <v>875.000,00</v>
      </c>
      <c r="N85" s="7"/>
      <c r="O85" s="7"/>
      <c r="P85" s="6" t="str">
        <f>""</f>
        <v/>
      </c>
      <c r="Q85" s="7"/>
      <c r="R85" s="1"/>
      <c r="S85" s="1" t="str">
        <f>"NOS-122/16"</f>
        <v>NOS-122/16</v>
      </c>
      <c r="T85" s="2" t="s">
        <v>33</v>
      </c>
    </row>
    <row r="86" spans="1:20" ht="38.25" x14ac:dyDescent="0.25">
      <c r="A86" s="1">
        <v>82</v>
      </c>
      <c r="B86" s="1" t="str">
        <f>"2016-142"</f>
        <v>2016-142</v>
      </c>
      <c r="C86" s="2" t="s">
        <v>191</v>
      </c>
      <c r="D86" s="1" t="s">
        <v>192</v>
      </c>
      <c r="E86" s="3" t="str">
        <f>"2016/S 014-0022494"</f>
        <v>2016/S 014-0022494</v>
      </c>
      <c r="F86" s="2" t="s">
        <v>23</v>
      </c>
      <c r="G86" s="2" t="str">
        <f>CONCATENATE("TERRA JASKA D.O.O.,"," ULICA KRALJA TOMISLAVA 20,"," 10434 STRMEC SAMOBORSKI,"," OIB: 8118447057")</f>
        <v>TERRA JASKA D.O.O., ULICA KRALJA TOMISLAVA 20, 10434 STRMEC SAMOBORSKI, OIB: 8118447057</v>
      </c>
      <c r="H86" s="4"/>
      <c r="I86" s="1" t="s">
        <v>193</v>
      </c>
      <c r="J86" s="1" t="s">
        <v>194</v>
      </c>
      <c r="K86" s="6" t="str">
        <f>"1.500.000,00"</f>
        <v>1.500.000,00</v>
      </c>
      <c r="L86" s="6" t="str">
        <f>"375.000,00"</f>
        <v>375.000,00</v>
      </c>
      <c r="M86" s="6" t="str">
        <f>"1.875.000,00"</f>
        <v>1.875.000,00</v>
      </c>
      <c r="N86" s="7"/>
      <c r="O86" s="7"/>
      <c r="P86" s="6" t="str">
        <f>""</f>
        <v/>
      </c>
      <c r="Q86" s="7"/>
      <c r="R86" s="1"/>
      <c r="S86" s="1" t="str">
        <f>"NOS-123/16"</f>
        <v>NOS-123/16</v>
      </c>
      <c r="T86" s="2" t="s">
        <v>26</v>
      </c>
    </row>
    <row r="87" spans="1:20" ht="38.25" x14ac:dyDescent="0.25">
      <c r="A87" s="1">
        <v>83</v>
      </c>
      <c r="B87" s="1" t="str">
        <f>"2016-142"</f>
        <v>2016-142</v>
      </c>
      <c r="C87" s="2" t="s">
        <v>191</v>
      </c>
      <c r="D87" s="1" t="s">
        <v>192</v>
      </c>
      <c r="E87" s="3" t="str">
        <f>""</f>
        <v/>
      </c>
      <c r="F87" s="2" t="s">
        <v>27</v>
      </c>
      <c r="G87" s="2" t="str">
        <f>CONCATENATE("TERRA JASKA D.O.O.,"," ULICA KRALJA TOMISLAVA 20,"," 10434 STRMEC SAMOBORSKI,"," OIB: 8118447057")</f>
        <v>TERRA JASKA D.O.O., ULICA KRALJA TOMISLAVA 20, 10434 STRMEC SAMOBORSKI, OIB: 8118447057</v>
      </c>
      <c r="H87" s="4"/>
      <c r="I87" s="1" t="s">
        <v>195</v>
      </c>
      <c r="J87" s="1" t="s">
        <v>45</v>
      </c>
      <c r="K87" s="6" t="str">
        <f>"76.144,23"</f>
        <v>76.144,23</v>
      </c>
      <c r="L87" s="6" t="str">
        <f>"19.036,06"</f>
        <v>19.036,06</v>
      </c>
      <c r="M87" s="6" t="str">
        <f>"95.180,29"</f>
        <v>95.180,29</v>
      </c>
      <c r="N87" s="5">
        <v>43605</v>
      </c>
      <c r="O87" s="7"/>
      <c r="P87" s="6" t="str">
        <f>"89.760,45"</f>
        <v>89.760,45</v>
      </c>
      <c r="Q87" s="7"/>
      <c r="R87" s="1"/>
      <c r="S87" s="1" t="str">
        <f>"3-19/NOS-123/16"</f>
        <v>3-19/NOS-123/16</v>
      </c>
      <c r="T87" s="2" t="s">
        <v>33</v>
      </c>
    </row>
    <row r="88" spans="1:20" ht="38.25" x14ac:dyDescent="0.25">
      <c r="A88" s="1">
        <v>84</v>
      </c>
      <c r="B88" s="1" t="str">
        <f>"2016-144"</f>
        <v>2016-144</v>
      </c>
      <c r="C88" s="2" t="s">
        <v>196</v>
      </c>
      <c r="D88" s="1" t="s">
        <v>197</v>
      </c>
      <c r="E88" s="3" t="str">
        <f>"2016/S 002-0022790"</f>
        <v>2016/S 002-0022790</v>
      </c>
      <c r="F88" s="2" t="s">
        <v>23</v>
      </c>
      <c r="G88" s="2" t="str">
        <f>CONCATENATE("POLJOOPSKRBA-TEHNO D.D.,"," SAMOBORSKA 96,"," 10000 ZAGREB,"," OIB: 5372167324")</f>
        <v>POLJOOPSKRBA-TEHNO D.D., SAMOBORSKA 96, 10000 ZAGREB, OIB: 5372167324</v>
      </c>
      <c r="H88" s="4"/>
      <c r="I88" s="1" t="s">
        <v>198</v>
      </c>
      <c r="J88" s="1" t="s">
        <v>199</v>
      </c>
      <c r="K88" s="6" t="str">
        <f>"2.070.000,00"</f>
        <v>2.070.000,00</v>
      </c>
      <c r="L88" s="6" t="str">
        <f>"517.500,00"</f>
        <v>517.500,00</v>
      </c>
      <c r="M88" s="6" t="str">
        <f>"2.587.500,00"</f>
        <v>2.587.500,00</v>
      </c>
      <c r="N88" s="7"/>
      <c r="O88" s="7"/>
      <c r="P88" s="6" t="str">
        <f>""</f>
        <v/>
      </c>
      <c r="Q88" s="7"/>
      <c r="R88" s="1"/>
      <c r="S88" s="1" t="str">
        <f>"NOS-124/16"</f>
        <v>NOS-124/16</v>
      </c>
      <c r="T88" s="2" t="s">
        <v>26</v>
      </c>
    </row>
    <row r="89" spans="1:20" ht="25.5" x14ac:dyDescent="0.25">
      <c r="A89" s="1">
        <v>85</v>
      </c>
      <c r="B89" s="1" t="str">
        <f>"2016-144"</f>
        <v>2016-144</v>
      </c>
      <c r="C89" s="2" t="s">
        <v>196</v>
      </c>
      <c r="D89" s="1" t="s">
        <v>197</v>
      </c>
      <c r="E89" s="3" t="str">
        <f>""</f>
        <v/>
      </c>
      <c r="F89" s="2" t="s">
        <v>27</v>
      </c>
      <c r="G89" s="2" t="str">
        <f>CONCATENATE("POLJOOPSKRBA-TEHNO D.D.,"," SAMOBORSKA 96,"," 10000 ZAGREB,"," OIB: 5372167324")</f>
        <v>POLJOOPSKRBA-TEHNO D.D., SAMOBORSKA 96, 10000 ZAGREB, OIB: 5372167324</v>
      </c>
      <c r="H89" s="4"/>
      <c r="I89" s="1" t="s">
        <v>200</v>
      </c>
      <c r="J89" s="1" t="s">
        <v>201</v>
      </c>
      <c r="K89" s="6" t="str">
        <f>"10.040,40"</f>
        <v>10.040,40</v>
      </c>
      <c r="L89" s="6" t="str">
        <f>"2.510,10"</f>
        <v>2.510,10</v>
      </c>
      <c r="M89" s="6" t="str">
        <f>"12.550,50"</f>
        <v>12.550,50</v>
      </c>
      <c r="N89" s="5">
        <v>43531</v>
      </c>
      <c r="O89" s="7"/>
      <c r="P89" s="6" t="str">
        <f>"11.746,75"</f>
        <v>11.746,75</v>
      </c>
      <c r="Q89" s="7"/>
      <c r="R89" s="1"/>
      <c r="S89" s="1" t="str">
        <f>"11-18/NOS-124/16"</f>
        <v>11-18/NOS-124/16</v>
      </c>
      <c r="T89" s="2" t="s">
        <v>33</v>
      </c>
    </row>
    <row r="90" spans="1:20" ht="38.25" x14ac:dyDescent="0.25">
      <c r="A90" s="1">
        <v>86</v>
      </c>
      <c r="B90" s="1" t="str">
        <f>"2016-3077"</f>
        <v>2016-3077</v>
      </c>
      <c r="C90" s="2" t="s">
        <v>202</v>
      </c>
      <c r="D90" s="1" t="s">
        <v>131</v>
      </c>
      <c r="E90" s="3" t="str">
        <f>"2016/S 002-0024307"</f>
        <v>2016/S 002-0024307</v>
      </c>
      <c r="F90" s="2" t="s">
        <v>23</v>
      </c>
      <c r="G90" s="2" t="str">
        <f>CONCATENATE("GRADITELJ SVRATIŠTA D.O.O.,"," IVANA ČESMIČKOG 16,"," 10000 ZAGREB,"," OIB: 5204465757")</f>
        <v>GRADITELJ SVRATIŠTA D.O.O., IVANA ČESMIČKOG 16, 10000 ZAGREB, OIB: 5204465757</v>
      </c>
      <c r="H90" s="4"/>
      <c r="I90" s="1" t="s">
        <v>80</v>
      </c>
      <c r="J90" s="1" t="s">
        <v>203</v>
      </c>
      <c r="K90" s="6" t="str">
        <f>"700.000,00"</f>
        <v>700.000,00</v>
      </c>
      <c r="L90" s="6" t="str">
        <f>"175.000,00"</f>
        <v>175.000,00</v>
      </c>
      <c r="M90" s="6" t="str">
        <f>"875.000,00"</f>
        <v>875.000,00</v>
      </c>
      <c r="N90" s="7"/>
      <c r="O90" s="7"/>
      <c r="P90" s="6" t="str">
        <f>""</f>
        <v/>
      </c>
      <c r="Q90" s="7"/>
      <c r="R90" s="1"/>
      <c r="S90" s="1" t="str">
        <f>"NOS-125/16"</f>
        <v>NOS-125/16</v>
      </c>
      <c r="T90" s="2" t="s">
        <v>33</v>
      </c>
    </row>
    <row r="91" spans="1:20" ht="38.25" x14ac:dyDescent="0.25">
      <c r="A91" s="1">
        <v>87</v>
      </c>
      <c r="B91" s="1" t="str">
        <f>"2016-3077"</f>
        <v>2016-3077</v>
      </c>
      <c r="C91" s="2" t="s">
        <v>202</v>
      </c>
      <c r="D91" s="1" t="s">
        <v>131</v>
      </c>
      <c r="E91" s="3" t="str">
        <f>""</f>
        <v/>
      </c>
      <c r="F91" s="2" t="s">
        <v>27</v>
      </c>
      <c r="G91" s="2" t="str">
        <f>CONCATENATE("GRADITELJ SVRATIŠTA D.O.O.,"," IVANA ČESMIČKOG 16,"," 10000 ZAGREB,"," OIB: 5204465757")</f>
        <v>GRADITELJ SVRATIŠTA D.O.O., IVANA ČESMIČKOG 16, 10000 ZAGREB, OIB: 5204465757</v>
      </c>
      <c r="H91" s="4"/>
      <c r="I91" s="1" t="s">
        <v>204</v>
      </c>
      <c r="J91" s="1" t="s">
        <v>45</v>
      </c>
      <c r="K91" s="6" t="str">
        <f>"449.960,00"</f>
        <v>449.960,00</v>
      </c>
      <c r="L91" s="6" t="str">
        <f>"112.490,00"</f>
        <v>112.490,00</v>
      </c>
      <c r="M91" s="6" t="str">
        <f>"562.450,00"</f>
        <v>562.450,00</v>
      </c>
      <c r="N91" s="5">
        <v>43640</v>
      </c>
      <c r="O91" s="7"/>
      <c r="P91" s="6" t="str">
        <f>"30.330,00"</f>
        <v>30.330,00</v>
      </c>
      <c r="Q91" s="7"/>
      <c r="R91" s="1"/>
      <c r="S91" s="1" t="str">
        <f>"1-19/NOS-125/16"</f>
        <v>1-19/NOS-125/16</v>
      </c>
      <c r="T91" s="2" t="s">
        <v>33</v>
      </c>
    </row>
    <row r="92" spans="1:20" ht="38.25" x14ac:dyDescent="0.25">
      <c r="A92" s="1">
        <v>88</v>
      </c>
      <c r="B92" s="1" t="str">
        <f>"2016-41"</f>
        <v>2016-41</v>
      </c>
      <c r="C92" s="2" t="s">
        <v>205</v>
      </c>
      <c r="D92" s="1" t="s">
        <v>206</v>
      </c>
      <c r="E92" s="3" t="str">
        <f>"2016/S 002-0025437"</f>
        <v>2016/S 002-0025437</v>
      </c>
      <c r="F92" s="2" t="s">
        <v>23</v>
      </c>
      <c r="G92" s="2" t="str">
        <f>CONCATENATE("AKD D.O.O.,"," SAVSKA CESTA 31,"," 10000 ZAGREB,"," OIB: 5884308789")</f>
        <v>AKD D.O.O., SAVSKA CESTA 31, 10000 ZAGREB, OIB: 5884308789</v>
      </c>
      <c r="H92" s="4"/>
      <c r="I92" s="1" t="s">
        <v>189</v>
      </c>
      <c r="J92" s="1" t="s">
        <v>190</v>
      </c>
      <c r="K92" s="6" t="str">
        <f>"6.000.000,00"</f>
        <v>6.000.000,00</v>
      </c>
      <c r="L92" s="6" t="str">
        <f>"1.500.000,00"</f>
        <v>1.500.000,00</v>
      </c>
      <c r="M92" s="6" t="str">
        <f>"7.500.000,00"</f>
        <v>7.500.000,00</v>
      </c>
      <c r="N92" s="7"/>
      <c r="O92" s="7"/>
      <c r="P92" s="6" t="str">
        <f>""</f>
        <v/>
      </c>
      <c r="Q92" s="7"/>
      <c r="R92" s="1"/>
      <c r="S92" s="1" t="str">
        <f>"NOS-126/16"</f>
        <v>NOS-126/16</v>
      </c>
      <c r="T92" s="2" t="s">
        <v>33</v>
      </c>
    </row>
    <row r="93" spans="1:20" ht="38.25" x14ac:dyDescent="0.25">
      <c r="A93" s="1">
        <v>89</v>
      </c>
      <c r="B93" s="1" t="str">
        <f>"2016-3097"</f>
        <v>2016-3097</v>
      </c>
      <c r="C93" s="2" t="s">
        <v>207</v>
      </c>
      <c r="D93" s="1" t="s">
        <v>208</v>
      </c>
      <c r="E93" s="3" t="str">
        <f>"2016/S 002-0026166"</f>
        <v>2016/S 002-0026166</v>
      </c>
      <c r="F93" s="2" t="s">
        <v>23</v>
      </c>
      <c r="G93" s="2" t="str">
        <f>CONCATENATE("AGS HRVATSKA D.O.O.,"," ZAGREBAČKA AVENIJA 100A,"," 10090 ZAGREB,"," OIB: 47227514767")</f>
        <v>AGS HRVATSKA D.O.O., ZAGREBAČKA AVENIJA 100A, 10090 ZAGREB, OIB: 47227514767</v>
      </c>
      <c r="H93" s="4"/>
      <c r="I93" s="1" t="s">
        <v>209</v>
      </c>
      <c r="J93" s="1" t="s">
        <v>195</v>
      </c>
      <c r="K93" s="6" t="str">
        <f>"3.000.000,00"</f>
        <v>3.000.000,00</v>
      </c>
      <c r="L93" s="6" t="str">
        <f>"750.000,00"</f>
        <v>750.000,00</v>
      </c>
      <c r="M93" s="6" t="str">
        <f>"3.750.000,00"</f>
        <v>3.750.000,00</v>
      </c>
      <c r="N93" s="7"/>
      <c r="O93" s="7"/>
      <c r="P93" s="6" t="str">
        <f>""</f>
        <v/>
      </c>
      <c r="Q93" s="7"/>
      <c r="R93" s="1"/>
      <c r="S93" s="1" t="str">
        <f>"NOS-127/16"</f>
        <v>NOS-127/16</v>
      </c>
      <c r="T93" s="2" t="s">
        <v>33</v>
      </c>
    </row>
    <row r="94" spans="1:20" ht="25.5" x14ac:dyDescent="0.25">
      <c r="A94" s="1">
        <v>90</v>
      </c>
      <c r="B94" s="1" t="str">
        <f>"2016-3097"</f>
        <v>2016-3097</v>
      </c>
      <c r="C94" s="2" t="s">
        <v>207</v>
      </c>
      <c r="D94" s="1" t="s">
        <v>208</v>
      </c>
      <c r="E94" s="3" t="str">
        <f>""</f>
        <v/>
      </c>
      <c r="F94" s="2" t="s">
        <v>27</v>
      </c>
      <c r="G94" s="2" t="str">
        <f>CONCATENATE("AGS HRVATSKA D.O.O.,"," ZAGREBAČKA AVENIJA 100A,"," 10090 ZAGREB,"," OIB: 47227514767")</f>
        <v>AGS HRVATSKA D.O.O., ZAGREBAČKA AVENIJA 100A, 10090 ZAGREB, OIB: 47227514767</v>
      </c>
      <c r="H94" s="4"/>
      <c r="I94" s="1" t="s">
        <v>115</v>
      </c>
      <c r="J94" s="1" t="s">
        <v>114</v>
      </c>
      <c r="K94" s="6" t="str">
        <f>"295.000,00"</f>
        <v>295.000,00</v>
      </c>
      <c r="L94" s="6" t="str">
        <f>"73.750,00"</f>
        <v>73.750,00</v>
      </c>
      <c r="M94" s="6" t="str">
        <f>"368.750,00"</f>
        <v>368.750,00</v>
      </c>
      <c r="N94" s="5">
        <v>43675</v>
      </c>
      <c r="O94" s="7"/>
      <c r="P94" s="6" t="str">
        <f>""</f>
        <v/>
      </c>
      <c r="Q94" s="7"/>
      <c r="R94" s="1"/>
      <c r="S94" s="1" t="str">
        <f>"3-18/NOS-127/16"</f>
        <v>3-18/NOS-127/16</v>
      </c>
      <c r="T94" s="2" t="s">
        <v>33</v>
      </c>
    </row>
    <row r="95" spans="1:20" ht="25.5" x14ac:dyDescent="0.25">
      <c r="A95" s="1">
        <v>91</v>
      </c>
      <c r="B95" s="1" t="str">
        <f>"2016-3097"</f>
        <v>2016-3097</v>
      </c>
      <c r="C95" s="2" t="s">
        <v>207</v>
      </c>
      <c r="D95" s="1" t="s">
        <v>208</v>
      </c>
      <c r="E95" s="3" t="str">
        <f>""</f>
        <v/>
      </c>
      <c r="F95" s="2" t="s">
        <v>27</v>
      </c>
      <c r="G95" s="2" t="str">
        <f>CONCATENATE("AGS HRVATSKA D.O.O.,"," ZAGREBAČKA AVENIJA 100A,"," 10090 ZAGREB,"," OIB: 47227514767")</f>
        <v>AGS HRVATSKA D.O.O., ZAGREBAČKA AVENIJA 100A, 10090 ZAGREB, OIB: 47227514767</v>
      </c>
      <c r="H95" s="4"/>
      <c r="I95" s="1" t="s">
        <v>210</v>
      </c>
      <c r="J95" s="1" t="s">
        <v>45</v>
      </c>
      <c r="K95" s="6" t="str">
        <f>"590.000,00"</f>
        <v>590.000,00</v>
      </c>
      <c r="L95" s="6" t="str">
        <f>"147.500,00"</f>
        <v>147.500,00</v>
      </c>
      <c r="M95" s="6" t="str">
        <f>"737.500,00"</f>
        <v>737.500,00</v>
      </c>
      <c r="N95" s="1" t="s">
        <v>117</v>
      </c>
      <c r="O95" s="7"/>
      <c r="P95" s="6" t="str">
        <f>""</f>
        <v/>
      </c>
      <c r="Q95" s="7"/>
      <c r="R95" s="1"/>
      <c r="S95" s="1" t="str">
        <f>"1-19/NOS-127/16"</f>
        <v>1-19/NOS-127/16</v>
      </c>
      <c r="T95" s="2" t="s">
        <v>33</v>
      </c>
    </row>
    <row r="96" spans="1:20" ht="102" x14ac:dyDescent="0.25">
      <c r="A96" s="1">
        <v>92</v>
      </c>
      <c r="B96" s="1" t="str">
        <f t="shared" ref="B96:B103" si="7">"2016-2574"</f>
        <v>2016-2574</v>
      </c>
      <c r="C96" s="2" t="s">
        <v>211</v>
      </c>
      <c r="D96" s="1" t="s">
        <v>212</v>
      </c>
      <c r="E96" s="3" t="str">
        <f>"2016/S 002-0014468"</f>
        <v>2016/S 002-0014468</v>
      </c>
      <c r="F96" s="2" t="s">
        <v>23</v>
      </c>
      <c r="G96" s="2" t="str">
        <f>CONCATENATE("HARMONIJA USLUGE D.O.O.,"," SAMOBORSKA CESTA 266,"," 10090 ZAGREB,"," OIB: 36057514459",CHAR(10),"AG SJAJ D.O.O.,"," FALLEROVO ŠETALIŠTE 22,"," 10000 ZAGREB,"," OIB: 04807307105",CHAR(10),"SAMSIC D.O.O.,"," RADNIČKA CESTA 37B,"," 10000 ZAGREB,"," OIB: 3973839732")</f>
        <v>HARMONIJA USLUGE D.O.O., SAMOBORSKA CESTA 266, 10090 ZAGREB, OIB: 36057514459
AG SJAJ D.O.O., FALLEROVO ŠETALIŠTE 22, 10000 ZAGREB, OIB: 04807307105
SAMSIC D.O.O., RADNIČKA CESTA 37B, 10000 ZAGREB, OIB: 3973839732</v>
      </c>
      <c r="H96" s="4"/>
      <c r="I96" s="1" t="s">
        <v>213</v>
      </c>
      <c r="J96" s="1" t="s">
        <v>214</v>
      </c>
      <c r="K96" s="6" t="str">
        <f>"22.000.000,00"</f>
        <v>22.000.000,00</v>
      </c>
      <c r="L96" s="6" t="str">
        <f>"5.500.000,00"</f>
        <v>5.500.000,00</v>
      </c>
      <c r="M96" s="6" t="str">
        <f>"27.500.000,00"</f>
        <v>27.500.000,00</v>
      </c>
      <c r="N96" s="7"/>
      <c r="O96" s="7"/>
      <c r="P96" s="6" t="str">
        <f>""</f>
        <v/>
      </c>
      <c r="Q96" s="7"/>
      <c r="R96" s="1"/>
      <c r="S96" s="1" t="str">
        <f>"NOS-128/16"</f>
        <v>NOS-128/16</v>
      </c>
      <c r="T96" s="2" t="s">
        <v>215</v>
      </c>
    </row>
    <row r="97" spans="1:20" ht="38.25" x14ac:dyDescent="0.25">
      <c r="A97" s="1">
        <v>93</v>
      </c>
      <c r="B97" s="1" t="str">
        <f t="shared" si="7"/>
        <v>2016-2574</v>
      </c>
      <c r="C97" s="2" t="s">
        <v>211</v>
      </c>
      <c r="D97" s="1" t="s">
        <v>212</v>
      </c>
      <c r="E97" s="3" t="str">
        <f>""</f>
        <v/>
      </c>
      <c r="F97" s="2" t="s">
        <v>27</v>
      </c>
      <c r="G97" s="2" t="str">
        <f t="shared" ref="G97:G103" si="8">CONCATENATE("AG SJAJ D.O.O.,"," FALLEROVO ŠETALIŠTE 22,"," 10000 ZAGREB,"," OIB: 04807307105")</f>
        <v>AG SJAJ D.O.O., FALLEROVO ŠETALIŠTE 22, 10000 ZAGREB, OIB: 04807307105</v>
      </c>
      <c r="H97" s="4"/>
      <c r="I97" s="1" t="s">
        <v>216</v>
      </c>
      <c r="J97" s="1" t="s">
        <v>71</v>
      </c>
      <c r="K97" s="6" t="str">
        <f>"1.588.263,00"</f>
        <v>1.588.263,00</v>
      </c>
      <c r="L97" s="6" t="str">
        <f>"397.065,75"</f>
        <v>397.065,75</v>
      </c>
      <c r="M97" s="6" t="str">
        <f>"1.985.328,75"</f>
        <v>1.985.328,75</v>
      </c>
      <c r="N97" s="5">
        <v>43524</v>
      </c>
      <c r="O97" s="7"/>
      <c r="P97" s="6" t="str">
        <f>"1.982.028,75"</f>
        <v>1.982.028,75</v>
      </c>
      <c r="Q97" s="7"/>
      <c r="R97" s="1"/>
      <c r="S97" s="1" t="str">
        <f>"1-18/NOS-128/16"</f>
        <v>1-18/NOS-128/16</v>
      </c>
      <c r="T97" s="2" t="s">
        <v>29</v>
      </c>
    </row>
    <row r="98" spans="1:20" ht="38.25" x14ac:dyDescent="0.25">
      <c r="A98" s="1">
        <v>94</v>
      </c>
      <c r="B98" s="1" t="str">
        <f t="shared" si="7"/>
        <v>2016-2574</v>
      </c>
      <c r="C98" s="2" t="s">
        <v>211</v>
      </c>
      <c r="D98" s="1" t="s">
        <v>212</v>
      </c>
      <c r="E98" s="3" t="str">
        <f>""</f>
        <v/>
      </c>
      <c r="F98" s="2" t="s">
        <v>27</v>
      </c>
      <c r="G98" s="2" t="str">
        <f t="shared" si="8"/>
        <v>AG SJAJ D.O.O., FALLEROVO ŠETALIŠTE 22, 10000 ZAGREB, OIB: 04807307105</v>
      </c>
      <c r="H98" s="4"/>
      <c r="I98" s="1" t="s">
        <v>113</v>
      </c>
      <c r="J98" s="1" t="s">
        <v>42</v>
      </c>
      <c r="K98" s="6" t="str">
        <f>"3.220.321,00"</f>
        <v>3.220.321,00</v>
      </c>
      <c r="L98" s="6" t="str">
        <f>"805.080,25"</f>
        <v>805.080,25</v>
      </c>
      <c r="M98" s="6" t="str">
        <f>"4.025.401,25"</f>
        <v>4.025.401,25</v>
      </c>
      <c r="N98" s="5">
        <v>43646</v>
      </c>
      <c r="O98" s="7"/>
      <c r="P98" s="6" t="str">
        <f>"2.974.638,42"</f>
        <v>2.974.638,42</v>
      </c>
      <c r="Q98" s="7"/>
      <c r="R98" s="1"/>
      <c r="S98" s="1" t="str">
        <f>"29-18/NOS-128/16"</f>
        <v>29-18/NOS-128/16</v>
      </c>
      <c r="T98" s="2" t="s">
        <v>33</v>
      </c>
    </row>
    <row r="99" spans="1:20" ht="51" x14ac:dyDescent="0.25">
      <c r="A99" s="1">
        <v>95</v>
      </c>
      <c r="B99" s="1" t="str">
        <f t="shared" si="7"/>
        <v>2016-2574</v>
      </c>
      <c r="C99" s="2" t="s">
        <v>217</v>
      </c>
      <c r="D99" s="1" t="s">
        <v>212</v>
      </c>
      <c r="E99" s="3" t="str">
        <f>""</f>
        <v/>
      </c>
      <c r="F99" s="2" t="s">
        <v>52</v>
      </c>
      <c r="G99" s="2" t="str">
        <f t="shared" si="8"/>
        <v>AG SJAJ D.O.O., FALLEROVO ŠETALIŠTE 22, 10000 ZAGREB, OIB: 04807307105</v>
      </c>
      <c r="H99" s="4"/>
      <c r="I99" s="1" t="s">
        <v>53</v>
      </c>
      <c r="J99" s="1" t="s">
        <v>42</v>
      </c>
      <c r="K99" s="6" t="str">
        <f>"78.625,65"</f>
        <v>78.625,65</v>
      </c>
      <c r="L99" s="6" t="str">
        <f>"19.656,41"</f>
        <v>19.656,41</v>
      </c>
      <c r="M99" s="6" t="str">
        <f>"98.282,06"</f>
        <v>98.282,06</v>
      </c>
      <c r="N99" s="1" t="s">
        <v>117</v>
      </c>
      <c r="O99" s="7"/>
      <c r="P99" s="6" t="str">
        <f>""</f>
        <v/>
      </c>
      <c r="Q99" s="7"/>
      <c r="R99" s="1"/>
      <c r="S99" s="1" t="str">
        <f>"29-18/NOS-128/16#1"</f>
        <v>29-18/NOS-128/16#1</v>
      </c>
      <c r="T99" s="2" t="s">
        <v>33</v>
      </c>
    </row>
    <row r="100" spans="1:20" ht="38.25" x14ac:dyDescent="0.25">
      <c r="A100" s="1">
        <v>96</v>
      </c>
      <c r="B100" s="1" t="str">
        <f t="shared" si="7"/>
        <v>2016-2574</v>
      </c>
      <c r="C100" s="2" t="s">
        <v>211</v>
      </c>
      <c r="D100" s="1" t="s">
        <v>212</v>
      </c>
      <c r="E100" s="3" t="str">
        <f>""</f>
        <v/>
      </c>
      <c r="F100" s="2" t="s">
        <v>27</v>
      </c>
      <c r="G100" s="2" t="str">
        <f t="shared" si="8"/>
        <v>AG SJAJ D.O.O., FALLEROVO ŠETALIŠTE 22, 10000 ZAGREB, OIB: 04807307105</v>
      </c>
      <c r="H100" s="4"/>
      <c r="I100" s="1" t="s">
        <v>218</v>
      </c>
      <c r="J100" s="1" t="s">
        <v>45</v>
      </c>
      <c r="K100" s="6" t="str">
        <f>"28.692,60"</f>
        <v>28.692,60</v>
      </c>
      <c r="L100" s="6" t="str">
        <f>"7.173,15"</f>
        <v>7.173,15</v>
      </c>
      <c r="M100" s="6" t="str">
        <f>"35.865,75"</f>
        <v>35.865,75</v>
      </c>
      <c r="N100" s="5">
        <v>43646</v>
      </c>
      <c r="O100" s="7"/>
      <c r="P100" s="6" t="str">
        <f>"8.058,98"</f>
        <v>8.058,98</v>
      </c>
      <c r="Q100" s="7"/>
      <c r="R100" s="1"/>
      <c r="S100" s="1" t="str">
        <f>"34-18/NOS-128/16"</f>
        <v>34-18/NOS-128/16</v>
      </c>
      <c r="T100" s="2" t="s">
        <v>112</v>
      </c>
    </row>
    <row r="101" spans="1:20" ht="38.25" x14ac:dyDescent="0.25">
      <c r="A101" s="1">
        <v>97</v>
      </c>
      <c r="B101" s="1" t="str">
        <f t="shared" si="7"/>
        <v>2016-2574</v>
      </c>
      <c r="C101" s="2" t="s">
        <v>211</v>
      </c>
      <c r="D101" s="4"/>
      <c r="E101" s="3" t="str">
        <f>""</f>
        <v/>
      </c>
      <c r="F101" s="2" t="s">
        <v>27</v>
      </c>
      <c r="G101" s="2" t="str">
        <f t="shared" si="8"/>
        <v>AG SJAJ D.O.O., FALLEROVO ŠETALIŠTE 22, 10000 ZAGREB, OIB: 04807307105</v>
      </c>
      <c r="H101" s="4"/>
      <c r="I101" s="1" t="s">
        <v>219</v>
      </c>
      <c r="J101" s="1" t="s">
        <v>64</v>
      </c>
      <c r="K101" s="6" t="str">
        <f>"124.860,00"</f>
        <v>124.860,00</v>
      </c>
      <c r="L101" s="6" t="str">
        <f>"31.215,00"</f>
        <v>31.215,00</v>
      </c>
      <c r="M101" s="6" t="str">
        <f>"156.075,00"</f>
        <v>156.075,00</v>
      </c>
      <c r="N101" s="5">
        <v>43616</v>
      </c>
      <c r="O101" s="7"/>
      <c r="P101" s="6" t="str">
        <f>"171.203,12"</f>
        <v>171.203,12</v>
      </c>
      <c r="Q101" s="7"/>
      <c r="R101" s="1"/>
      <c r="S101" s="1" t="str">
        <f>"36-18/NOS-128/16"</f>
        <v>36-18/NOS-128/16</v>
      </c>
      <c r="T101" s="2" t="s">
        <v>33</v>
      </c>
    </row>
    <row r="102" spans="1:20" ht="38.25" x14ac:dyDescent="0.25">
      <c r="A102" s="1">
        <v>98</v>
      </c>
      <c r="B102" s="1" t="str">
        <f t="shared" si="7"/>
        <v>2016-2574</v>
      </c>
      <c r="C102" s="2" t="s">
        <v>211</v>
      </c>
      <c r="D102" s="4"/>
      <c r="E102" s="3" t="str">
        <f>""</f>
        <v/>
      </c>
      <c r="F102" s="2" t="s">
        <v>27</v>
      </c>
      <c r="G102" s="2" t="str">
        <f t="shared" si="8"/>
        <v>AG SJAJ D.O.O., FALLEROVO ŠETALIŠTE 22, 10000 ZAGREB, OIB: 04807307105</v>
      </c>
      <c r="H102" s="4"/>
      <c r="I102" s="1" t="s">
        <v>220</v>
      </c>
      <c r="J102" s="1" t="s">
        <v>28</v>
      </c>
      <c r="K102" s="6" t="str">
        <f>"793.051,50"</f>
        <v>793.051,50</v>
      </c>
      <c r="L102" s="6" t="str">
        <f>"198.262,88"</f>
        <v>198.262,88</v>
      </c>
      <c r="M102" s="6" t="str">
        <f>"991.314,38"</f>
        <v>991.314,38</v>
      </c>
      <c r="N102" s="5">
        <v>43708</v>
      </c>
      <c r="O102" s="7"/>
      <c r="P102" s="6" t="str">
        <f>"860.325,12"</f>
        <v>860.325,12</v>
      </c>
      <c r="Q102" s="7"/>
      <c r="R102" s="1"/>
      <c r="S102" s="1" t="str">
        <f>"1-19/NOS-128/16"</f>
        <v>1-19/NOS-128/16</v>
      </c>
      <c r="T102" s="2" t="s">
        <v>29</v>
      </c>
    </row>
    <row r="103" spans="1:20" ht="38.25" x14ac:dyDescent="0.25">
      <c r="A103" s="1">
        <v>99</v>
      </c>
      <c r="B103" s="1" t="str">
        <f t="shared" si="7"/>
        <v>2016-2574</v>
      </c>
      <c r="C103" s="2" t="s">
        <v>211</v>
      </c>
      <c r="D103" s="1" t="s">
        <v>212</v>
      </c>
      <c r="E103" s="3" t="str">
        <f>""</f>
        <v/>
      </c>
      <c r="F103" s="2" t="s">
        <v>27</v>
      </c>
      <c r="G103" s="2" t="str">
        <f t="shared" si="8"/>
        <v>AG SJAJ D.O.O., FALLEROVO ŠETALIŠTE 22, 10000 ZAGREB, OIB: 04807307105</v>
      </c>
      <c r="H103" s="4"/>
      <c r="I103" s="1" t="s">
        <v>64</v>
      </c>
      <c r="J103" s="1" t="s">
        <v>221</v>
      </c>
      <c r="K103" s="6" t="str">
        <f>"4.501.085,50"</f>
        <v>4.501.085,50</v>
      </c>
      <c r="L103" s="6" t="str">
        <f>"1.125.271,38"</f>
        <v>1.125.271,38</v>
      </c>
      <c r="M103" s="6" t="str">
        <f>"5.626.356,88"</f>
        <v>5.626.356,88</v>
      </c>
      <c r="N103" s="5">
        <v>43708</v>
      </c>
      <c r="O103" s="7"/>
      <c r="P103" s="6" t="str">
        <f>"1.292.375,83"</f>
        <v>1.292.375,83</v>
      </c>
      <c r="Q103" s="7"/>
      <c r="R103" s="1"/>
      <c r="S103" s="1" t="str">
        <f>"2-19/NOS-128/16"</f>
        <v>2-19/NOS-128/16</v>
      </c>
      <c r="T103" s="2" t="s">
        <v>33</v>
      </c>
    </row>
    <row r="104" spans="1:20" ht="51" x14ac:dyDescent="0.25">
      <c r="A104" s="1">
        <v>100</v>
      </c>
      <c r="B104" s="1" t="str">
        <f>"2016-65"</f>
        <v>2016-65</v>
      </c>
      <c r="C104" s="2" t="s">
        <v>222</v>
      </c>
      <c r="D104" s="1" t="s">
        <v>223</v>
      </c>
      <c r="E104" s="3" t="str">
        <f>"2016/S 002-0025697"</f>
        <v>2016/S 002-0025697</v>
      </c>
      <c r="F104" s="2" t="s">
        <v>23</v>
      </c>
      <c r="G104" s="2" t="str">
        <f>CONCATENATE("KING ICT D.O.O.,"," BUZINSKI PRILAZ 10,"," 10010 ZAGREB,"," OIB: 67001695549")</f>
        <v>KING ICT D.O.O., BUZINSKI PRILAZ 10, 10010 ZAGREB, OIB: 67001695549</v>
      </c>
      <c r="H104" s="4"/>
      <c r="I104" s="1" t="s">
        <v>224</v>
      </c>
      <c r="J104" s="1" t="s">
        <v>225</v>
      </c>
      <c r="K104" s="6" t="str">
        <f>"9.300.000,00"</f>
        <v>9.300.000,00</v>
      </c>
      <c r="L104" s="6" t="str">
        <f>"2.325.000,00"</f>
        <v>2.325.000,00</v>
      </c>
      <c r="M104" s="6" t="str">
        <f>"11.625.000,00"</f>
        <v>11.625.000,00</v>
      </c>
      <c r="N104" s="7"/>
      <c r="O104" s="7"/>
      <c r="P104" s="6" t="str">
        <f>""</f>
        <v/>
      </c>
      <c r="Q104" s="7"/>
      <c r="R104" s="1"/>
      <c r="S104" s="1" t="str">
        <f>"NOS-129/16"</f>
        <v>NOS-129/16</v>
      </c>
      <c r="T104" s="2" t="s">
        <v>33</v>
      </c>
    </row>
    <row r="105" spans="1:20" ht="38.25" x14ac:dyDescent="0.25">
      <c r="A105" s="1">
        <v>101</v>
      </c>
      <c r="B105" s="1" t="str">
        <f>"2016-3062"</f>
        <v>2016-3062</v>
      </c>
      <c r="C105" s="2" t="s">
        <v>226</v>
      </c>
      <c r="D105" s="1" t="s">
        <v>227</v>
      </c>
      <c r="E105" s="3" t="str">
        <f>"2016/S 002-0026155"</f>
        <v>2016/S 002-0026155</v>
      </c>
      <c r="F105" s="2" t="s">
        <v>23</v>
      </c>
      <c r="G105" s="2" t="str">
        <f>CONCATENATE("TAHOGRAF D.O.O.,"," DR. FRANJE TUĐMANA 24,"," 10431 SVETA NEDELJA,"," OIB: 73777060562")</f>
        <v>TAHOGRAF D.O.O., DR. FRANJE TUĐMANA 24, 10431 SVETA NEDELJA, OIB: 73777060562</v>
      </c>
      <c r="H105" s="4"/>
      <c r="I105" s="1" t="s">
        <v>228</v>
      </c>
      <c r="J105" s="1" t="s">
        <v>229</v>
      </c>
      <c r="K105" s="6" t="str">
        <f>"1.700.000,00"</f>
        <v>1.700.000,00</v>
      </c>
      <c r="L105" s="6" t="str">
        <f>"425.000,00"</f>
        <v>425.000,00</v>
      </c>
      <c r="M105" s="6" t="str">
        <f>"2.125.000,00"</f>
        <v>2.125.000,00</v>
      </c>
      <c r="N105" s="7"/>
      <c r="O105" s="7"/>
      <c r="P105" s="6" t="str">
        <f>""</f>
        <v/>
      </c>
      <c r="Q105" s="7"/>
      <c r="R105" s="1"/>
      <c r="S105" s="1" t="str">
        <f>"NOS-130/16"</f>
        <v>NOS-130/16</v>
      </c>
      <c r="T105" s="2" t="s">
        <v>33</v>
      </c>
    </row>
    <row r="106" spans="1:20" ht="38.25" x14ac:dyDescent="0.25">
      <c r="A106" s="1">
        <v>102</v>
      </c>
      <c r="B106" s="1" t="str">
        <f>"2016-678"</f>
        <v>2016-678</v>
      </c>
      <c r="C106" s="2" t="s">
        <v>230</v>
      </c>
      <c r="D106" s="1" t="s">
        <v>231</v>
      </c>
      <c r="E106" s="3" t="str">
        <f>"2016/S 002-0028017"</f>
        <v>2016/S 002-0028017</v>
      </c>
      <c r="F106" s="2" t="s">
        <v>23</v>
      </c>
      <c r="G106" s="2" t="str">
        <f>CONCATENATE("KONČAR - INEM D.D.,"," FALLEROVO ŠETALIŠTE 22,"," 10000 ZAGREB,"," OIB: 18545665005")</f>
        <v>KONČAR - INEM D.D., FALLEROVO ŠETALIŠTE 22, 10000 ZAGREB, OIB: 18545665005</v>
      </c>
      <c r="H106" s="4"/>
      <c r="I106" s="1" t="s">
        <v>232</v>
      </c>
      <c r="J106" s="1" t="s">
        <v>233</v>
      </c>
      <c r="K106" s="6" t="str">
        <f>"700.000,00"</f>
        <v>700.000,00</v>
      </c>
      <c r="L106" s="6" t="str">
        <f>"175.000,00"</f>
        <v>175.000,00</v>
      </c>
      <c r="M106" s="6" t="str">
        <f>"875.000,00"</f>
        <v>875.000,00</v>
      </c>
      <c r="N106" s="7"/>
      <c r="O106" s="7"/>
      <c r="P106" s="6" t="str">
        <f>""</f>
        <v/>
      </c>
      <c r="Q106" s="7"/>
      <c r="R106" s="1"/>
      <c r="S106" s="1" t="str">
        <f>"NOS-131/16"</f>
        <v>NOS-131/16</v>
      </c>
      <c r="T106" s="2" t="s">
        <v>29</v>
      </c>
    </row>
    <row r="107" spans="1:20" ht="38.25" x14ac:dyDescent="0.25">
      <c r="A107" s="1">
        <v>103</v>
      </c>
      <c r="B107" s="1" t="str">
        <f>"2016-54"</f>
        <v>2016-54</v>
      </c>
      <c r="C107" s="2" t="s">
        <v>234</v>
      </c>
      <c r="D107" s="1" t="s">
        <v>235</v>
      </c>
      <c r="E107" s="3" t="str">
        <f>" 2016/S 002-0021816"</f>
        <v xml:space="preserve"> 2016/S 002-0021816</v>
      </c>
      <c r="F107" s="2" t="s">
        <v>23</v>
      </c>
      <c r="G107" s="2" t="str">
        <f>CONCATENATE("MAXMAR GRUPA  D.O.O.,"," REPULČEVA 6,"," 10450 KLINČA SELA,"," OIB: 91071817708")</f>
        <v>MAXMAR GRUPA  D.O.O., REPULČEVA 6, 10450 KLINČA SELA, OIB: 91071817708</v>
      </c>
      <c r="H107" s="4"/>
      <c r="I107" s="1" t="s">
        <v>236</v>
      </c>
      <c r="J107" s="1" t="s">
        <v>237</v>
      </c>
      <c r="K107" s="6" t="str">
        <f>"7.000.000,00"</f>
        <v>7.000.000,00</v>
      </c>
      <c r="L107" s="6" t="str">
        <f>"1.750.000,00"</f>
        <v>1.750.000,00</v>
      </c>
      <c r="M107" s="6" t="str">
        <f>"8.750.000,00"</f>
        <v>8.750.000,00</v>
      </c>
      <c r="N107" s="7"/>
      <c r="O107" s="7"/>
      <c r="P107" s="6" t="str">
        <f>""</f>
        <v/>
      </c>
      <c r="Q107" s="7"/>
      <c r="R107" s="1"/>
      <c r="S107" s="1" t="str">
        <f>"NOS-132/16"</f>
        <v>NOS-132/16</v>
      </c>
      <c r="T107" s="2" t="s">
        <v>33</v>
      </c>
    </row>
    <row r="108" spans="1:20" ht="51" x14ac:dyDescent="0.25">
      <c r="A108" s="1">
        <v>104</v>
      </c>
      <c r="B108" s="1" t="str">
        <f>"2016-3035"</f>
        <v>2016-3035</v>
      </c>
      <c r="C108" s="2" t="s">
        <v>238</v>
      </c>
      <c r="D108" s="1" t="s">
        <v>239</v>
      </c>
      <c r="E108" s="3" t="str">
        <f>"2016/S 002-0022749"</f>
        <v>2016/S 002-0022749</v>
      </c>
      <c r="F108" s="2" t="s">
        <v>23</v>
      </c>
      <c r="G108" s="2" t="str">
        <f>CONCATENATE("ECCOS-INŽENJERING D.O.O.,"," I. PILE 21,"," 10000 ZAGREB,"," OIB: 71629027685",CHAR(10),"ELMA D.O.O.,"," DUŽICA 159,"," 44272 LEKENIK,"," OIB: 16245685487")</f>
        <v>ECCOS-INŽENJERING D.O.O., I. PILE 21, 10000 ZAGREB, OIB: 71629027685
ELMA D.O.O., DUŽICA 159, 44272 LEKENIK, OIB: 16245685487</v>
      </c>
      <c r="H108" s="4"/>
      <c r="I108" s="1" t="s">
        <v>236</v>
      </c>
      <c r="J108" s="1" t="s">
        <v>237</v>
      </c>
      <c r="K108" s="6" t="str">
        <f>"4.800.000,00"</f>
        <v>4.800.000,00</v>
      </c>
      <c r="L108" s="6" t="str">
        <f>"1.200.000,00"</f>
        <v>1.200.000,00</v>
      </c>
      <c r="M108" s="6" t="str">
        <f>"6.000.000,00"</f>
        <v>6.000.000,00</v>
      </c>
      <c r="N108" s="7"/>
      <c r="O108" s="7"/>
      <c r="P108" s="6" t="str">
        <f>""</f>
        <v/>
      </c>
      <c r="Q108" s="7"/>
      <c r="R108" s="1"/>
      <c r="S108" s="1" t="str">
        <f>"NOS-133/16"</f>
        <v>NOS-133/16</v>
      </c>
      <c r="T108" s="2" t="s">
        <v>33</v>
      </c>
    </row>
    <row r="109" spans="1:20" ht="25.5" x14ac:dyDescent="0.25">
      <c r="A109" s="1">
        <v>105</v>
      </c>
      <c r="B109" s="1" t="str">
        <f>"2016-3035"</f>
        <v>2016-3035</v>
      </c>
      <c r="C109" s="2" t="s">
        <v>238</v>
      </c>
      <c r="D109" s="1" t="s">
        <v>239</v>
      </c>
      <c r="E109" s="3" t="str">
        <f>""</f>
        <v/>
      </c>
      <c r="F109" s="2" t="s">
        <v>27</v>
      </c>
      <c r="G109" s="2" t="str">
        <f>CONCATENATE("ECCOS-INŽENJERING D.O.O.,"," BANI 110,"," 10000 ZAGREB,"," OIB: 71629027685")</f>
        <v>ECCOS-INŽENJERING D.O.O., BANI 110, 10000 ZAGREB, OIB: 71629027685</v>
      </c>
      <c r="H109" s="4"/>
      <c r="I109" s="1" t="s">
        <v>240</v>
      </c>
      <c r="J109" s="1" t="s">
        <v>45</v>
      </c>
      <c r="K109" s="6" t="str">
        <f>"70.211,00"</f>
        <v>70.211,00</v>
      </c>
      <c r="L109" s="6" t="str">
        <f>"17.552,75"</f>
        <v>17.552,75</v>
      </c>
      <c r="M109" s="6" t="str">
        <f>"87.763,75"</f>
        <v>87.763,75</v>
      </c>
      <c r="N109" s="5">
        <v>43707</v>
      </c>
      <c r="O109" s="7"/>
      <c r="P109" s="6" t="str">
        <f>"8.085,00"</f>
        <v>8.085,00</v>
      </c>
      <c r="Q109" s="7"/>
      <c r="R109" s="1"/>
      <c r="S109" s="1" t="str">
        <f>"2-19/NOS-133/16"</f>
        <v>2-19/NOS-133/16</v>
      </c>
      <c r="T109" s="2" t="s">
        <v>33</v>
      </c>
    </row>
    <row r="110" spans="1:20" ht="25.5" x14ac:dyDescent="0.25">
      <c r="A110" s="1">
        <v>106</v>
      </c>
      <c r="B110" s="1" t="str">
        <f>"2016-3035"</f>
        <v>2016-3035</v>
      </c>
      <c r="C110" s="2" t="s">
        <v>238</v>
      </c>
      <c r="D110" s="1" t="s">
        <v>239</v>
      </c>
      <c r="E110" s="3" t="str">
        <f>""</f>
        <v/>
      </c>
      <c r="F110" s="2" t="s">
        <v>27</v>
      </c>
      <c r="G110" s="2" t="str">
        <f>CONCATENATE("ECCOS-INŽENJERING D.O.O.,"," BANI 110,"," 10000 ZAGREB,"," OIB: 71629027685")</f>
        <v>ECCOS-INŽENJERING D.O.O., BANI 110, 10000 ZAGREB, OIB: 71629027685</v>
      </c>
      <c r="H110" s="4"/>
      <c r="I110" s="1" t="s">
        <v>241</v>
      </c>
      <c r="J110" s="1" t="s">
        <v>242</v>
      </c>
      <c r="K110" s="6" t="str">
        <f>"2.012,00"</f>
        <v>2.012,00</v>
      </c>
      <c r="L110" s="6" t="str">
        <f>"503,00"</f>
        <v>503,00</v>
      </c>
      <c r="M110" s="6" t="str">
        <f>"2.515,00"</f>
        <v>2.515,00</v>
      </c>
      <c r="N110" s="5">
        <v>43489</v>
      </c>
      <c r="O110" s="7"/>
      <c r="P110" s="6" t="str">
        <f>"2.515,00"</f>
        <v>2.515,00</v>
      </c>
      <c r="Q110" s="7"/>
      <c r="R110" s="1"/>
      <c r="S110" s="1" t="str">
        <f>"1-19/NOS-133/16"</f>
        <v>1-19/NOS-133/16</v>
      </c>
      <c r="T110" s="2" t="s">
        <v>33</v>
      </c>
    </row>
    <row r="111" spans="1:20" ht="89.25" x14ac:dyDescent="0.25">
      <c r="A111" s="1">
        <v>107</v>
      </c>
      <c r="B111" s="1" t="str">
        <f>"2016-56"</f>
        <v>2016-56</v>
      </c>
      <c r="C111" s="2" t="s">
        <v>243</v>
      </c>
      <c r="D111" s="1" t="s">
        <v>197</v>
      </c>
      <c r="E111" s="3" t="str">
        <f>" 2016/S 002-0022016"</f>
        <v xml:space="preserve"> 2016/S 002-0022016</v>
      </c>
      <c r="F111" s="2" t="s">
        <v>23</v>
      </c>
      <c r="G111" s="2" t="str">
        <f>CONCATENATE("AGRO - DOM,"," VL. ZORAN CRNOMARKOVIĆ I DUBRAVKO KUŠ,"," BUNIĆEVA 20,"," 10000 ZAGREB,"," OIB: 47865426584",CHAR(10),"AGRO-HONOR D.O.O.,"," KRALJA TOMISLAVA 82,"," 31300 BELI MANASTIR,"," OIB: 82775399135",CHAR(10),"SCHEDA D.O.O.,"," LJUDEVITA POSAVSKOG 29,"," 10360 SESVETE,"," OIB: 76219817247")</f>
        <v>AGRO - DOM, VL. ZORAN CRNOMARKOVIĆ I DUBRAVKO KUŠ, BUNIĆEVA 20, 10000 ZAGREB, OIB: 47865426584
AGRO-HONOR D.O.O., KRALJA TOMISLAVA 82, 31300 BELI MANASTIR, OIB: 82775399135
SCHEDA D.O.O., LJUDEVITA POSAVSKOG 29, 10360 SESVETE, OIB: 76219817247</v>
      </c>
      <c r="H111" s="4"/>
      <c r="I111" s="1" t="s">
        <v>236</v>
      </c>
      <c r="J111" s="1" t="s">
        <v>237</v>
      </c>
      <c r="K111" s="6" t="str">
        <f>"3.000.000,00"</f>
        <v>3.000.000,00</v>
      </c>
      <c r="L111" s="6" t="str">
        <f>"750.000,00"</f>
        <v>750.000,00</v>
      </c>
      <c r="M111" s="6" t="str">
        <f>"3.750.000,00"</f>
        <v>3.750.000,00</v>
      </c>
      <c r="N111" s="7"/>
      <c r="O111" s="7"/>
      <c r="P111" s="6" t="str">
        <f>""</f>
        <v/>
      </c>
      <c r="Q111" s="7"/>
      <c r="R111" s="1"/>
      <c r="S111" s="1" t="str">
        <f>"NOS-134/16"</f>
        <v>NOS-134/16</v>
      </c>
      <c r="T111" s="2" t="s">
        <v>33</v>
      </c>
    </row>
    <row r="112" spans="1:20" ht="25.5" x14ac:dyDescent="0.25">
      <c r="A112" s="1">
        <v>108</v>
      </c>
      <c r="B112" s="1" t="str">
        <f>"2016-56"</f>
        <v>2016-56</v>
      </c>
      <c r="C112" s="2" t="s">
        <v>243</v>
      </c>
      <c r="D112" s="1" t="s">
        <v>197</v>
      </c>
      <c r="E112" s="3" t="str">
        <f>""</f>
        <v/>
      </c>
      <c r="F112" s="2" t="s">
        <v>27</v>
      </c>
      <c r="G112" s="2" t="str">
        <f>CONCATENATE("AGRO-HONOR D.O.O.,"," KRALJA TOMISLAVA 82,"," 31300 BELI MANASTIR,"," OIB: 82775399135")</f>
        <v>AGRO-HONOR D.O.O., KRALJA TOMISLAVA 82, 31300 BELI MANASTIR, OIB: 82775399135</v>
      </c>
      <c r="H112" s="4"/>
      <c r="I112" s="1" t="s">
        <v>244</v>
      </c>
      <c r="J112" s="1" t="s">
        <v>45</v>
      </c>
      <c r="K112" s="6" t="str">
        <f>"299.990,00"</f>
        <v>299.990,00</v>
      </c>
      <c r="L112" s="6" t="str">
        <f>"74.997,50"</f>
        <v>74.997,50</v>
      </c>
      <c r="M112" s="6" t="str">
        <f>"374.987,50"</f>
        <v>374.987,50</v>
      </c>
      <c r="N112" s="5">
        <v>43678</v>
      </c>
      <c r="O112" s="7"/>
      <c r="P112" s="6" t="str">
        <f>"323.811,88"</f>
        <v>323.811,88</v>
      </c>
      <c r="Q112" s="7"/>
      <c r="R112" s="1"/>
      <c r="S112" s="1" t="str">
        <f>"1-19/NOS-134/16"</f>
        <v>1-19/NOS-134/16</v>
      </c>
      <c r="T112" s="2" t="s">
        <v>33</v>
      </c>
    </row>
    <row r="113" spans="1:20" ht="38.25" x14ac:dyDescent="0.25">
      <c r="A113" s="1">
        <v>109</v>
      </c>
      <c r="B113" s="1" t="str">
        <f>"2016-3061"</f>
        <v>2016-3061</v>
      </c>
      <c r="C113" s="2" t="s">
        <v>245</v>
      </c>
      <c r="D113" s="1" t="s">
        <v>246</v>
      </c>
      <c r="E113" s="3" t="str">
        <f>"2016/S 002-0026733"</f>
        <v>2016/S 002-0026733</v>
      </c>
      <c r="F113" s="2" t="s">
        <v>23</v>
      </c>
      <c r="G113" s="2" t="str">
        <f>CONCATENATE("KOVA D.O.O.,"," BRAĆE RADIĆA 122B,"," 10410 VELIKA GORICA,"," OIB: 31948370674")</f>
        <v>KOVA D.O.O., BRAĆE RADIĆA 122B, 10410 VELIKA GORICA, OIB: 31948370674</v>
      </c>
      <c r="H113" s="4"/>
      <c r="I113" s="1" t="s">
        <v>247</v>
      </c>
      <c r="J113" s="1" t="s">
        <v>248</v>
      </c>
      <c r="K113" s="6" t="str">
        <f>"2.000.000,00"</f>
        <v>2.000.000,00</v>
      </c>
      <c r="L113" s="6" t="str">
        <f>"500.000,00"</f>
        <v>500.000,00</v>
      </c>
      <c r="M113" s="6" t="str">
        <f>"2.500.000,00"</f>
        <v>2.500.000,00</v>
      </c>
      <c r="N113" s="7"/>
      <c r="O113" s="7"/>
      <c r="P113" s="6" t="str">
        <f>""</f>
        <v/>
      </c>
      <c r="Q113" s="7"/>
      <c r="R113" s="1"/>
      <c r="S113" s="1" t="str">
        <f>"NOS-135/16"</f>
        <v>NOS-135/16</v>
      </c>
      <c r="T113" s="2" t="s">
        <v>33</v>
      </c>
    </row>
    <row r="114" spans="1:20" ht="38.25" x14ac:dyDescent="0.25">
      <c r="A114" s="1">
        <v>110</v>
      </c>
      <c r="B114" s="1" t="str">
        <f>"2016-3072"</f>
        <v>2016-3072</v>
      </c>
      <c r="C114" s="2" t="s">
        <v>249</v>
      </c>
      <c r="D114" s="1" t="s">
        <v>246</v>
      </c>
      <c r="E114" s="3" t="str">
        <f>"2016/S 002-0026747"</f>
        <v>2016/S 002-0026747</v>
      </c>
      <c r="F114" s="2" t="s">
        <v>23</v>
      </c>
      <c r="G114" s="2" t="str">
        <f>CONCATENATE("DILJEXPORT D.O.O.,"," ZLATKA ŠULENTIĆA 9,"," 10000 ZAGREB,"," OIB: 00089952586")</f>
        <v>DILJEXPORT D.O.O., ZLATKA ŠULENTIĆA 9, 10000 ZAGREB, OIB: 00089952586</v>
      </c>
      <c r="H114" s="4"/>
      <c r="I114" s="1" t="s">
        <v>236</v>
      </c>
      <c r="J114" s="1" t="s">
        <v>237</v>
      </c>
      <c r="K114" s="6" t="str">
        <f>"7.000.000,00"</f>
        <v>7.000.000,00</v>
      </c>
      <c r="L114" s="6" t="str">
        <f>"1.750.000,00"</f>
        <v>1.750.000,00</v>
      </c>
      <c r="M114" s="6" t="str">
        <f>"8.750.000,00"</f>
        <v>8.750.000,00</v>
      </c>
      <c r="N114" s="7"/>
      <c r="O114" s="7"/>
      <c r="P114" s="6" t="str">
        <f>""</f>
        <v/>
      </c>
      <c r="Q114" s="7"/>
      <c r="R114" s="1"/>
      <c r="S114" s="1" t="str">
        <f>"NOS-136/16"</f>
        <v>NOS-136/16</v>
      </c>
      <c r="T114" s="2" t="s">
        <v>33</v>
      </c>
    </row>
    <row r="115" spans="1:20" ht="38.25" x14ac:dyDescent="0.25">
      <c r="A115" s="1">
        <v>111</v>
      </c>
      <c r="B115" s="1" t="str">
        <f>"2016-3116"</f>
        <v>2016-3116</v>
      </c>
      <c r="C115" s="2" t="s">
        <v>250</v>
      </c>
      <c r="D115" s="1" t="s">
        <v>192</v>
      </c>
      <c r="E115" s="3" t="str">
        <f>" 2016/S 002-0026665"</f>
        <v xml:space="preserve"> 2016/S 002-0026665</v>
      </c>
      <c r="F115" s="2" t="s">
        <v>23</v>
      </c>
      <c r="G115" s="2" t="str">
        <f>CONCATENATE("O-K-TEH d.o.o.,"," VUČAK 16A,"," 10000 ZAGREB,"," OIB: 37322381288")</f>
        <v>O-K-TEH d.o.o., VUČAK 16A, 10000 ZAGREB, OIB: 37322381288</v>
      </c>
      <c r="H115" s="4"/>
      <c r="I115" s="1" t="s">
        <v>236</v>
      </c>
      <c r="J115" s="1" t="s">
        <v>237</v>
      </c>
      <c r="K115" s="6" t="str">
        <f>"700.000,00"</f>
        <v>700.000,00</v>
      </c>
      <c r="L115" s="6" t="str">
        <f>"175.000,00"</f>
        <v>175.000,00</v>
      </c>
      <c r="M115" s="6" t="str">
        <f>"875.000,00"</f>
        <v>875.000,00</v>
      </c>
      <c r="N115" s="7"/>
      <c r="O115" s="7"/>
      <c r="P115" s="6" t="str">
        <f>""</f>
        <v/>
      </c>
      <c r="Q115" s="7"/>
      <c r="R115" s="1"/>
      <c r="S115" s="1" t="str">
        <f>"NOS-137/16"</f>
        <v>NOS-137/16</v>
      </c>
      <c r="T115" s="2" t="s">
        <v>33</v>
      </c>
    </row>
    <row r="116" spans="1:20" ht="25.5" x14ac:dyDescent="0.25">
      <c r="A116" s="1">
        <v>112</v>
      </c>
      <c r="B116" s="1" t="str">
        <f>"2016-3116"</f>
        <v>2016-3116</v>
      </c>
      <c r="C116" s="2" t="s">
        <v>250</v>
      </c>
      <c r="D116" s="1" t="s">
        <v>192</v>
      </c>
      <c r="E116" s="3" t="str">
        <f>""</f>
        <v/>
      </c>
      <c r="F116" s="2" t="s">
        <v>27</v>
      </c>
      <c r="G116" s="2" t="str">
        <f>CONCATENATE("O-K-TEH d.o.o.,"," VUČAK 16A,"," 10000 ZAGREB,"," OIB: 37322381288")</f>
        <v>O-K-TEH d.o.o., VUČAK 16A, 10000 ZAGREB, OIB: 37322381288</v>
      </c>
      <c r="H116" s="4"/>
      <c r="I116" s="1" t="s">
        <v>248</v>
      </c>
      <c r="J116" s="1" t="s">
        <v>251</v>
      </c>
      <c r="K116" s="6" t="str">
        <f>"2.833,00"</f>
        <v>2.833,00</v>
      </c>
      <c r="L116" s="6" t="str">
        <f>"708,25"</f>
        <v>708,25</v>
      </c>
      <c r="M116" s="6" t="str">
        <f>"3.541,25"</f>
        <v>3.541,25</v>
      </c>
      <c r="N116" s="5">
        <v>43518</v>
      </c>
      <c r="O116" s="7"/>
      <c r="P116" s="6" t="str">
        <f>"3.541,25"</f>
        <v>3.541,25</v>
      </c>
      <c r="Q116" s="7"/>
      <c r="R116" s="1"/>
      <c r="S116" s="1" t="str">
        <f>"1-19/NOS-137/16"</f>
        <v>1-19/NOS-137/16</v>
      </c>
      <c r="T116" s="2" t="s">
        <v>33</v>
      </c>
    </row>
    <row r="117" spans="1:20" ht="38.25" x14ac:dyDescent="0.25">
      <c r="A117" s="1">
        <v>113</v>
      </c>
      <c r="B117" s="1" t="str">
        <f>"2016-2791"</f>
        <v>2016-2791</v>
      </c>
      <c r="C117" s="2" t="s">
        <v>252</v>
      </c>
      <c r="D117" s="1" t="s">
        <v>253</v>
      </c>
      <c r="E117" s="3" t="str">
        <f>" 2016/S 002-0024481"</f>
        <v xml:space="preserve"> 2016/S 002-0024481</v>
      </c>
      <c r="F117" s="2" t="s">
        <v>23</v>
      </c>
      <c r="G117" s="2" t="str">
        <f>CONCATENATE("PISMORAD D.D.,"," III MALEŠNICA 12,"," 10000 ZAGREB,"," OIB: 33260306505")</f>
        <v>PISMORAD D.D., III MALEŠNICA 12, 10000 ZAGREB, OIB: 33260306505</v>
      </c>
      <c r="H117" s="4"/>
      <c r="I117" s="1" t="s">
        <v>236</v>
      </c>
      <c r="J117" s="1" t="s">
        <v>237</v>
      </c>
      <c r="K117" s="6" t="str">
        <f>"3.200.000,00"</f>
        <v>3.200.000,00</v>
      </c>
      <c r="L117" s="6" t="str">
        <f>"800.000,00"</f>
        <v>800.000,00</v>
      </c>
      <c r="M117" s="6" t="str">
        <f>"4.000.000,00"</f>
        <v>4.000.000,00</v>
      </c>
      <c r="N117" s="7"/>
      <c r="O117" s="7"/>
      <c r="P117" s="6" t="str">
        <f>""</f>
        <v/>
      </c>
      <c r="Q117" s="7"/>
      <c r="R117" s="1"/>
      <c r="S117" s="1" t="str">
        <f>"NOS-138/16"</f>
        <v>NOS-138/16</v>
      </c>
      <c r="T117" s="2" t="s">
        <v>33</v>
      </c>
    </row>
    <row r="118" spans="1:20" ht="25.5" x14ac:dyDescent="0.25">
      <c r="A118" s="1">
        <v>114</v>
      </c>
      <c r="B118" s="1" t="str">
        <f>"2016-2791"</f>
        <v>2016-2791</v>
      </c>
      <c r="C118" s="2" t="s">
        <v>252</v>
      </c>
      <c r="D118" s="1" t="s">
        <v>253</v>
      </c>
      <c r="E118" s="3" t="str">
        <f>""</f>
        <v/>
      </c>
      <c r="F118" s="2" t="s">
        <v>27</v>
      </c>
      <c r="G118" s="2" t="str">
        <f>CONCATENATE("PISMORAD D.D.,"," III MALEŠNICA 12,"," 10000 ZAGREB,"," OIB: 33260306505")</f>
        <v>PISMORAD D.D., III MALEŠNICA 12, 10000 ZAGREB, OIB: 33260306505</v>
      </c>
      <c r="H118" s="4"/>
      <c r="I118" s="1" t="s">
        <v>254</v>
      </c>
      <c r="J118" s="1" t="s">
        <v>45</v>
      </c>
      <c r="K118" s="6" t="str">
        <f>"332.392,00"</f>
        <v>332.392,00</v>
      </c>
      <c r="L118" s="6" t="str">
        <f>"83.098,00"</f>
        <v>83.098,00</v>
      </c>
      <c r="M118" s="6" t="str">
        <f>"415.490,00"</f>
        <v>415.490,00</v>
      </c>
      <c r="N118" s="5">
        <v>43671</v>
      </c>
      <c r="O118" s="7"/>
      <c r="P118" s="6" t="str">
        <f>"390.725,00"</f>
        <v>390.725,00</v>
      </c>
      <c r="Q118" s="7"/>
      <c r="R118" s="1"/>
      <c r="S118" s="1" t="str">
        <f>"1-19/NOS-138/16"</f>
        <v>1-19/NOS-138/16</v>
      </c>
      <c r="T118" s="2" t="s">
        <v>33</v>
      </c>
    </row>
    <row r="119" spans="1:20" ht="89.25" x14ac:dyDescent="0.25">
      <c r="A119" s="1">
        <v>115</v>
      </c>
      <c r="B119" s="1" t="str">
        <f>"2016-3034"</f>
        <v>2016-3034</v>
      </c>
      <c r="C119" s="2" t="s">
        <v>255</v>
      </c>
      <c r="D119" s="1" t="s">
        <v>256</v>
      </c>
      <c r="E119" s="3" t="str">
        <f>"2016/S 002-0024689"</f>
        <v>2016/S 002-0024689</v>
      </c>
      <c r="F119" s="2" t="s">
        <v>23</v>
      </c>
      <c r="G119" s="2" t="str">
        <f>CONCATENATE("NERING D.O.O.,"," LIVADARSKI PUT 24,"," 10360 SESVETE,"," OIB: 85965934616",CHAR(10),"GRANITI LUČKO D.O.O.,"," VENTILATORSKA 1,"," 10250 LUČKO,"," OIB: 41989152992",CHAR(10),"METALMINERAL-KAMEN D.O.O.,"," SVETONEDELJSKA 16,"," 10431 SVETA NEDELJA,"," OIB: 38656219197")</f>
        <v>NERING D.O.O., LIVADARSKI PUT 24, 10360 SESVETE, OIB: 85965934616
GRANITI LUČKO D.O.O., VENTILATORSKA 1, 10250 LUČKO, OIB: 41989152992
METALMINERAL-KAMEN D.O.O., SVETONEDELJSKA 16, 10431 SVETA NEDELJA, OIB: 38656219197</v>
      </c>
      <c r="H119" s="4"/>
      <c r="I119" s="1" t="s">
        <v>209</v>
      </c>
      <c r="J119" s="1" t="s">
        <v>195</v>
      </c>
      <c r="K119" s="6" t="str">
        <f>"6.500.000,00"</f>
        <v>6.500.000,00</v>
      </c>
      <c r="L119" s="6" t="str">
        <f>"1.625.000,00"</f>
        <v>1.625.000,00</v>
      </c>
      <c r="M119" s="6" t="str">
        <f>"8.125.000,00"</f>
        <v>8.125.000,00</v>
      </c>
      <c r="N119" s="7"/>
      <c r="O119" s="7"/>
      <c r="P119" s="6" t="str">
        <f>""</f>
        <v/>
      </c>
      <c r="Q119" s="7"/>
      <c r="R119" s="1"/>
      <c r="S119" s="1" t="str">
        <f>"NOS-139/16"</f>
        <v>NOS-139/16</v>
      </c>
      <c r="T119" s="2" t="s">
        <v>33</v>
      </c>
    </row>
    <row r="120" spans="1:20" ht="25.5" x14ac:dyDescent="0.25">
      <c r="A120" s="1">
        <v>116</v>
      </c>
      <c r="B120" s="1" t="str">
        <f>"2016-3034"</f>
        <v>2016-3034</v>
      </c>
      <c r="C120" s="2" t="s">
        <v>255</v>
      </c>
      <c r="D120" s="1" t="s">
        <v>256</v>
      </c>
      <c r="E120" s="3" t="str">
        <f>""</f>
        <v/>
      </c>
      <c r="F120" s="2" t="s">
        <v>27</v>
      </c>
      <c r="G120" s="2" t="str">
        <f>CONCATENATE("GRANITI LUČKO D.O.O.,"," VENTILATORSKA 1,"," 10250 LUČKO,"," OIB: 41989152992")</f>
        <v>GRANITI LUČKO D.O.O., VENTILATORSKA 1, 10250 LUČKO, OIB: 41989152992</v>
      </c>
      <c r="H120" s="4"/>
      <c r="I120" s="1" t="s">
        <v>257</v>
      </c>
      <c r="J120" s="1" t="s">
        <v>45</v>
      </c>
      <c r="K120" s="6" t="str">
        <f>"842.028,50"</f>
        <v>842.028,50</v>
      </c>
      <c r="L120" s="6" t="str">
        <f>"210.507,13"</f>
        <v>210.507,13</v>
      </c>
      <c r="M120" s="6" t="str">
        <f>"1.052.535,63"</f>
        <v>1.052.535,63</v>
      </c>
      <c r="N120" s="5">
        <v>43675</v>
      </c>
      <c r="O120" s="7"/>
      <c r="P120" s="6" t="str">
        <f>"1.004.413,00"</f>
        <v>1.004.413,00</v>
      </c>
      <c r="Q120" s="7"/>
      <c r="R120" s="1"/>
      <c r="S120" s="1" t="str">
        <f>"1-19/NOS-139/16"</f>
        <v>1-19/NOS-139/16</v>
      </c>
      <c r="T120" s="2" t="s">
        <v>33</v>
      </c>
    </row>
    <row r="121" spans="1:20" ht="38.25" x14ac:dyDescent="0.25">
      <c r="A121" s="1">
        <v>117</v>
      </c>
      <c r="B121" s="1" t="str">
        <f>"2016-1457"</f>
        <v>2016-1457</v>
      </c>
      <c r="C121" s="2" t="s">
        <v>258</v>
      </c>
      <c r="D121" s="1" t="s">
        <v>259</v>
      </c>
      <c r="E121" s="3" t="str">
        <f>"2016/S 002-0025858"</f>
        <v>2016/S 002-0025858</v>
      </c>
      <c r="F121" s="2" t="s">
        <v>23</v>
      </c>
      <c r="G121" s="2" t="str">
        <f>CONCATENATE("AQUACHEM D.O.O.,"," JALŠEVEČKI ODVOJAK 17,"," 10310 IVANIĆ GRAD,"," OIB: 17436320396")</f>
        <v>AQUACHEM D.O.O., JALŠEVEČKI ODVOJAK 17, 10310 IVANIĆ GRAD, OIB: 17436320396</v>
      </c>
      <c r="H121" s="4"/>
      <c r="I121" s="1" t="s">
        <v>260</v>
      </c>
      <c r="J121" s="1" t="s">
        <v>71</v>
      </c>
      <c r="K121" s="6" t="str">
        <f>"2.900.000,00"</f>
        <v>2.900.000,00</v>
      </c>
      <c r="L121" s="6" t="str">
        <f>"725.000,00"</f>
        <v>725.000,00</v>
      </c>
      <c r="M121" s="6" t="str">
        <f>"3.625.000,00"</f>
        <v>3.625.000,00</v>
      </c>
      <c r="N121" s="7"/>
      <c r="O121" s="7"/>
      <c r="P121" s="6" t="str">
        <f>""</f>
        <v/>
      </c>
      <c r="Q121" s="7"/>
      <c r="R121" s="1"/>
      <c r="S121" s="1" t="str">
        <f>"NOS-140-A/16"</f>
        <v>NOS-140-A/16</v>
      </c>
      <c r="T121" s="2" t="s">
        <v>33</v>
      </c>
    </row>
    <row r="122" spans="1:20" ht="25.5" x14ac:dyDescent="0.25">
      <c r="A122" s="1">
        <v>118</v>
      </c>
      <c r="B122" s="1" t="str">
        <f>"2016-1457"</f>
        <v>2016-1457</v>
      </c>
      <c r="C122" s="2" t="s">
        <v>258</v>
      </c>
      <c r="D122" s="4"/>
      <c r="E122" s="3" t="str">
        <f>""</f>
        <v/>
      </c>
      <c r="F122" s="2" t="s">
        <v>27</v>
      </c>
      <c r="G122" s="2" t="str">
        <f>CONCATENATE("AQUACHEM D.O.O.,"," JALŠEVEČKI ODVOJAK 17,"," 10310 IVANIĆ GRAD,"," OIB: 17436320396")</f>
        <v>AQUACHEM D.O.O., JALŠEVEČKI ODVOJAK 17, 10310 IVANIĆ GRAD, OIB: 17436320396</v>
      </c>
      <c r="H122" s="4"/>
      <c r="I122" s="1" t="s">
        <v>182</v>
      </c>
      <c r="J122" s="1" t="s">
        <v>114</v>
      </c>
      <c r="K122" s="6" t="str">
        <f>"488.018,13"</f>
        <v>488.018,13</v>
      </c>
      <c r="L122" s="6" t="str">
        <f>"122.004,53"</f>
        <v>122.004,53</v>
      </c>
      <c r="M122" s="6" t="str">
        <f>"610.022,66"</f>
        <v>610.022,66</v>
      </c>
      <c r="N122" s="5">
        <v>43679</v>
      </c>
      <c r="O122" s="7"/>
      <c r="P122" s="6" t="str">
        <f>"477.202,36"</f>
        <v>477.202,36</v>
      </c>
      <c r="Q122" s="7"/>
      <c r="R122" s="1"/>
      <c r="S122" s="1" t="str">
        <f>"4-18/NOS-140-A/16"</f>
        <v>4-18/NOS-140-A/16</v>
      </c>
      <c r="T122" s="2" t="s">
        <v>33</v>
      </c>
    </row>
    <row r="123" spans="1:20" ht="38.25" x14ac:dyDescent="0.25">
      <c r="A123" s="1">
        <v>119</v>
      </c>
      <c r="B123" s="1" t="str">
        <f>"2016-1457"</f>
        <v>2016-1457</v>
      </c>
      <c r="C123" s="2" t="s">
        <v>258</v>
      </c>
      <c r="D123" s="1" t="s">
        <v>259</v>
      </c>
      <c r="E123" s="3" t="str">
        <f>"2016/S 002-0025858"</f>
        <v>2016/S 002-0025858</v>
      </c>
      <c r="F123" s="2" t="s">
        <v>23</v>
      </c>
      <c r="G123" s="2" t="str">
        <f>CONCATENATE("NOVI DROP D.O.O.,"," SVETOG ANTONA 22,"," 52466 NOVIGRAD (CITTANOVA),"," OIB: 01551071528")</f>
        <v>NOVI DROP D.O.O., SVETOG ANTONA 22, 52466 NOVIGRAD (CITTANOVA), OIB: 01551071528</v>
      </c>
      <c r="H123" s="4"/>
      <c r="I123" s="1" t="s">
        <v>260</v>
      </c>
      <c r="J123" s="1" t="s">
        <v>71</v>
      </c>
      <c r="K123" s="6" t="str">
        <f>"1.050.000,00"</f>
        <v>1.050.000,00</v>
      </c>
      <c r="L123" s="6" t="str">
        <f>"262.500,00"</f>
        <v>262.500,00</v>
      </c>
      <c r="M123" s="6" t="str">
        <f>"1.312.500,00"</f>
        <v>1.312.500,00</v>
      </c>
      <c r="N123" s="7"/>
      <c r="O123" s="7"/>
      <c r="P123" s="6" t="str">
        <f>""</f>
        <v/>
      </c>
      <c r="Q123" s="7"/>
      <c r="R123" s="1"/>
      <c r="S123" s="1" t="str">
        <f>"NOS-140-B/16"</f>
        <v>NOS-140-B/16</v>
      </c>
      <c r="T123" s="2" t="s">
        <v>33</v>
      </c>
    </row>
    <row r="124" spans="1:20" ht="38.25" x14ac:dyDescent="0.25">
      <c r="A124" s="1">
        <v>120</v>
      </c>
      <c r="B124" s="1" t="str">
        <f>"2016-1457"</f>
        <v>2016-1457</v>
      </c>
      <c r="C124" s="2" t="s">
        <v>258</v>
      </c>
      <c r="D124" s="4"/>
      <c r="E124" s="3" t="str">
        <f>""</f>
        <v/>
      </c>
      <c r="F124" s="2" t="s">
        <v>27</v>
      </c>
      <c r="G124" s="2" t="str">
        <f>CONCATENATE("NOVI DROP D.O.O.,"," SVETOG ANTONA 22,"," 52466 NOVIGRAD (CITTANOVA),"," OIB: 01551071528")</f>
        <v>NOVI DROP D.O.O., SVETOG ANTONA 22, 52466 NOVIGRAD (CITTANOVA), OIB: 01551071528</v>
      </c>
      <c r="H124" s="4"/>
      <c r="I124" s="1" t="s">
        <v>261</v>
      </c>
      <c r="J124" s="1" t="s">
        <v>114</v>
      </c>
      <c r="K124" s="6" t="str">
        <f>"185.604,87"</f>
        <v>185.604,87</v>
      </c>
      <c r="L124" s="6" t="str">
        <f>"46.401,22"</f>
        <v>46.401,22</v>
      </c>
      <c r="M124" s="6" t="str">
        <f>"232.006,09"</f>
        <v>232.006,09</v>
      </c>
      <c r="N124" s="5">
        <v>43684</v>
      </c>
      <c r="O124" s="7"/>
      <c r="P124" s="6" t="str">
        <f>"195.932,00"</f>
        <v>195.932,00</v>
      </c>
      <c r="Q124" s="7"/>
      <c r="R124" s="1"/>
      <c r="S124" s="1" t="str">
        <f>"4-18/NOS-140-B/16"</f>
        <v>4-18/NOS-140-B/16</v>
      </c>
      <c r="T124" s="2" t="s">
        <v>33</v>
      </c>
    </row>
    <row r="125" spans="1:20" ht="38.25" x14ac:dyDescent="0.25">
      <c r="A125" s="1">
        <v>121</v>
      </c>
      <c r="B125" s="1" t="str">
        <f>"2016-1457"</f>
        <v>2016-1457</v>
      </c>
      <c r="C125" s="2" t="s">
        <v>258</v>
      </c>
      <c r="D125" s="1" t="s">
        <v>259</v>
      </c>
      <c r="E125" s="3" t="str">
        <f>"2016/S 002-0025858"</f>
        <v>2016/S 002-0025858</v>
      </c>
      <c r="F125" s="2" t="s">
        <v>23</v>
      </c>
      <c r="G125" s="2" t="str">
        <f>CONCATENATE("HIDROEX D.O.O.,"," NOVA ULICA 7,"," 10290 ZAPREŠIĆ,"," OIB: 26999675898")</f>
        <v>HIDROEX D.O.O., NOVA ULICA 7, 10290 ZAPREŠIĆ, OIB: 26999675898</v>
      </c>
      <c r="H125" s="4"/>
      <c r="I125" s="1" t="s">
        <v>236</v>
      </c>
      <c r="J125" s="1" t="s">
        <v>237</v>
      </c>
      <c r="K125" s="6" t="str">
        <f>"350.000,00"</f>
        <v>350.000,00</v>
      </c>
      <c r="L125" s="6" t="str">
        <f>"87.500,00"</f>
        <v>87.500,00</v>
      </c>
      <c r="M125" s="6" t="str">
        <f>"437.500,00"</f>
        <v>437.500,00</v>
      </c>
      <c r="N125" s="7"/>
      <c r="O125" s="7"/>
      <c r="P125" s="6" t="str">
        <f>""</f>
        <v/>
      </c>
      <c r="Q125" s="7"/>
      <c r="R125" s="1"/>
      <c r="S125" s="1" t="str">
        <f>"NOS-140-C/16"</f>
        <v>NOS-140-C/16</v>
      </c>
      <c r="T125" s="2" t="s">
        <v>33</v>
      </c>
    </row>
    <row r="126" spans="1:20" ht="63.75" x14ac:dyDescent="0.25">
      <c r="A126" s="1">
        <v>122</v>
      </c>
      <c r="B126" s="1" t="str">
        <f>"2016-2857"</f>
        <v>2016-2857</v>
      </c>
      <c r="C126" s="2" t="s">
        <v>21</v>
      </c>
      <c r="D126" s="1" t="s">
        <v>22</v>
      </c>
      <c r="E126" s="3" t="str">
        <f>"2016/S 002-0018281"</f>
        <v>2016/S 002-0018281</v>
      </c>
      <c r="F126" s="2" t="s">
        <v>23</v>
      </c>
      <c r="G126" s="2" t="str">
        <f>CONCATENATE("AQUA-INVEST D.O.O.,"," ZAGREBAČKA 15G,"," 47000 KARLOVAC,"," OIB: 35253134835",CHAR(10),"HIDROCOM D.O.O.,"," ANTUNA MIHANOVIĆA 55,"," 33405 PITOMAČA,"," OIB: 70713219811",CHAR(10),"RAMNES D.O.O.,"," OIB: 7602306637")</f>
        <v>AQUA-INVEST D.O.O., ZAGREBAČKA 15G, 47000 KARLOVAC, OIB: 35253134835
HIDROCOM D.O.O., ANTUNA MIHANOVIĆA 55, 33405 PITOMAČA, OIB: 70713219811
RAMNES D.O.O., OIB: 7602306637</v>
      </c>
      <c r="H126" s="4"/>
      <c r="I126" s="1" t="s">
        <v>262</v>
      </c>
      <c r="J126" s="1" t="s">
        <v>204</v>
      </c>
      <c r="K126" s="6" t="str">
        <f>"14.000.000,00"</f>
        <v>14.000.000,00</v>
      </c>
      <c r="L126" s="6" t="str">
        <f>"3.500.000,00"</f>
        <v>3.500.000,00</v>
      </c>
      <c r="M126" s="6" t="str">
        <f>"17.500.000,00"</f>
        <v>17.500.000,00</v>
      </c>
      <c r="N126" s="7"/>
      <c r="O126" s="7"/>
      <c r="P126" s="6" t="str">
        <f>""</f>
        <v/>
      </c>
      <c r="Q126" s="7"/>
      <c r="R126" s="1"/>
      <c r="S126" s="1" t="str">
        <f>"NOS-141/16"</f>
        <v>NOS-141/16</v>
      </c>
      <c r="T126" s="2" t="s">
        <v>33</v>
      </c>
    </row>
    <row r="127" spans="1:20" ht="25.5" x14ac:dyDescent="0.25">
      <c r="A127" s="1">
        <v>123</v>
      </c>
      <c r="B127" s="1" t="str">
        <f>"2016-2857"</f>
        <v>2016-2857</v>
      </c>
      <c r="C127" s="2" t="s">
        <v>21</v>
      </c>
      <c r="D127" s="1" t="s">
        <v>22</v>
      </c>
      <c r="E127" s="3" t="str">
        <f>""</f>
        <v/>
      </c>
      <c r="F127" s="2" t="s">
        <v>27</v>
      </c>
      <c r="G127" s="2" t="str">
        <f>CONCATENATE("RAMNES D.O.O.,"," OIB: 7602306637")</f>
        <v>RAMNES D.O.O., OIB: 7602306637</v>
      </c>
      <c r="H127" s="4"/>
      <c r="I127" s="1" t="s">
        <v>263</v>
      </c>
      <c r="J127" s="1" t="s">
        <v>114</v>
      </c>
      <c r="K127" s="6" t="str">
        <f>"309.965,00"</f>
        <v>309.965,00</v>
      </c>
      <c r="L127" s="6" t="str">
        <f>"77.491,25"</f>
        <v>77.491,25</v>
      </c>
      <c r="M127" s="6" t="str">
        <f>"387.456,25"</f>
        <v>387.456,25</v>
      </c>
      <c r="N127" s="5">
        <v>43669</v>
      </c>
      <c r="O127" s="7"/>
      <c r="P127" s="6" t="str">
        <f>"272.343,75"</f>
        <v>272.343,75</v>
      </c>
      <c r="Q127" s="7"/>
      <c r="R127" s="1"/>
      <c r="S127" s="1" t="str">
        <f>"17-18/NOS-141/16"</f>
        <v>17-18/NOS-141/16</v>
      </c>
      <c r="T127" s="2" t="s">
        <v>33</v>
      </c>
    </row>
    <row r="128" spans="1:20" ht="25.5" x14ac:dyDescent="0.25">
      <c r="A128" s="1">
        <v>124</v>
      </c>
      <c r="B128" s="1" t="str">
        <f>"2016-2857"</f>
        <v>2016-2857</v>
      </c>
      <c r="C128" s="2" t="s">
        <v>21</v>
      </c>
      <c r="D128" s="1" t="s">
        <v>22</v>
      </c>
      <c r="E128" s="3" t="str">
        <f>""</f>
        <v/>
      </c>
      <c r="F128" s="2" t="s">
        <v>27</v>
      </c>
      <c r="G128" s="2" t="str">
        <f>CONCATENATE("RAMNES D.O.O.,"," OIB: 7602306637")</f>
        <v>RAMNES D.O.O., OIB: 7602306637</v>
      </c>
      <c r="H128" s="4"/>
      <c r="I128" s="1" t="s">
        <v>264</v>
      </c>
      <c r="J128" s="1" t="s">
        <v>45</v>
      </c>
      <c r="K128" s="6" t="str">
        <f>"2.478.680,00"</f>
        <v>2.478.680,00</v>
      </c>
      <c r="L128" s="6" t="str">
        <f>"619.670,00"</f>
        <v>619.670,00</v>
      </c>
      <c r="M128" s="6" t="str">
        <f>"3.098.350,00"</f>
        <v>3.098.350,00</v>
      </c>
      <c r="N128" s="5">
        <v>43706</v>
      </c>
      <c r="O128" s="7"/>
      <c r="P128" s="6" t="str">
        <f>"601.600,00"</f>
        <v>601.600,00</v>
      </c>
      <c r="Q128" s="7"/>
      <c r="R128" s="1"/>
      <c r="S128" s="1" t="str">
        <f>"1-19/NOS-141/16"</f>
        <v>1-19/NOS-141/16</v>
      </c>
      <c r="T128" s="2" t="s">
        <v>33</v>
      </c>
    </row>
    <row r="129" spans="1:20" ht="38.25" x14ac:dyDescent="0.25">
      <c r="A129" s="1">
        <v>125</v>
      </c>
      <c r="B129" s="1" t="str">
        <f>"2016-1888"</f>
        <v>2016-1888</v>
      </c>
      <c r="C129" s="2" t="s">
        <v>265</v>
      </c>
      <c r="D129" s="1" t="s">
        <v>152</v>
      </c>
      <c r="E129" s="3" t="str">
        <f>"2016/S 002-0017592"</f>
        <v>2016/S 002-0017592</v>
      </c>
      <c r="F129" s="2" t="s">
        <v>23</v>
      </c>
      <c r="G129" s="2" t="str">
        <f>CONCATENATE("IKOM D.O.O.,"," KOVINSKA 7,"," 10090 ZAGREB-SUSEDGRAD,"," OIB: 86247075815")</f>
        <v>IKOM D.O.O., KOVINSKA 7, 10090 ZAGREB-SUSEDGRAD, OIB: 86247075815</v>
      </c>
      <c r="H129" s="4"/>
      <c r="I129" s="1" t="s">
        <v>262</v>
      </c>
      <c r="J129" s="1" t="s">
        <v>266</v>
      </c>
      <c r="K129" s="6" t="str">
        <f>"40.000.000,00"</f>
        <v>40.000.000,00</v>
      </c>
      <c r="L129" s="6" t="str">
        <f>"10.000.000,00"</f>
        <v>10.000.000,00</v>
      </c>
      <c r="M129" s="6" t="str">
        <f>"50.000.000,00"</f>
        <v>50.000.000,00</v>
      </c>
      <c r="N129" s="7"/>
      <c r="O129" s="7"/>
      <c r="P129" s="6" t="str">
        <f>""</f>
        <v/>
      </c>
      <c r="Q129" s="7"/>
      <c r="R129" s="1"/>
      <c r="S129" s="1" t="str">
        <f>"NOS-142/16"</f>
        <v>NOS-142/16</v>
      </c>
      <c r="T129" s="2" t="s">
        <v>29</v>
      </c>
    </row>
    <row r="130" spans="1:20" ht="25.5" x14ac:dyDescent="0.25">
      <c r="A130" s="1">
        <v>126</v>
      </c>
      <c r="B130" s="1" t="str">
        <f>"2016-1888"</f>
        <v>2016-1888</v>
      </c>
      <c r="C130" s="2" t="s">
        <v>265</v>
      </c>
      <c r="D130" s="4"/>
      <c r="E130" s="3" t="str">
        <f>""</f>
        <v/>
      </c>
      <c r="F130" s="2" t="s">
        <v>27</v>
      </c>
      <c r="G130" s="2" t="str">
        <f>CONCATENATE("IKOM D.O.O.,"," KOVINSKA 7,"," 10090 ZAGREB-SUSEDGRAD,"," OIB: 86247075815")</f>
        <v>IKOM D.O.O., KOVINSKA 7, 10090 ZAGREB-SUSEDGRAD, OIB: 86247075815</v>
      </c>
      <c r="H130" s="4"/>
      <c r="I130" s="1" t="s">
        <v>267</v>
      </c>
      <c r="J130" s="1" t="s">
        <v>42</v>
      </c>
      <c r="K130" s="6" t="str">
        <f>"5.913.207,00"</f>
        <v>5.913.207,00</v>
      </c>
      <c r="L130" s="6" t="str">
        <f>"1.478.301,75"</f>
        <v>1.478.301,75</v>
      </c>
      <c r="M130" s="6" t="str">
        <f>"7.391.508,75"</f>
        <v>7.391.508,75</v>
      </c>
      <c r="N130" s="5">
        <v>43717</v>
      </c>
      <c r="O130" s="7"/>
      <c r="P130" s="6" t="str">
        <f>"7.140.537,50"</f>
        <v>7.140.537,50</v>
      </c>
      <c r="Q130" s="7"/>
      <c r="R130" s="1"/>
      <c r="S130" s="1" t="str">
        <f>"3-18/NOS-142/16"</f>
        <v>3-18/NOS-142/16</v>
      </c>
      <c r="T130" s="2" t="s">
        <v>29</v>
      </c>
    </row>
    <row r="131" spans="1:20" ht="25.5" x14ac:dyDescent="0.25">
      <c r="A131" s="1">
        <v>127</v>
      </c>
      <c r="B131" s="1" t="str">
        <f>"2016-1888"</f>
        <v>2016-1888</v>
      </c>
      <c r="C131" s="2" t="s">
        <v>265</v>
      </c>
      <c r="D131" s="4"/>
      <c r="E131" s="3" t="str">
        <f>""</f>
        <v/>
      </c>
      <c r="F131" s="2" t="s">
        <v>27</v>
      </c>
      <c r="G131" s="2" t="str">
        <f>CONCATENATE("IKOM D.O.O.,"," KOVINSKA 7,"," 10090 ZAGREB-SUSEDGRAD,"," OIB: 86247075815")</f>
        <v>IKOM D.O.O., KOVINSKA 7, 10090 ZAGREB-SUSEDGRAD, OIB: 86247075815</v>
      </c>
      <c r="H131" s="4"/>
      <c r="I131" s="1" t="s">
        <v>44</v>
      </c>
      <c r="J131" s="1" t="s">
        <v>28</v>
      </c>
      <c r="K131" s="6" t="str">
        <f>"10.293.257,00"</f>
        <v>10.293.257,00</v>
      </c>
      <c r="L131" s="6" t="str">
        <f>"2.573.314,25"</f>
        <v>2.573.314,25</v>
      </c>
      <c r="M131" s="6" t="str">
        <f>"12.866.571,25"</f>
        <v>12.866.571,25</v>
      </c>
      <c r="N131" s="5">
        <v>43717</v>
      </c>
      <c r="O131" s="7"/>
      <c r="P131" s="6" t="str">
        <f>"6.198.237,50"</f>
        <v>6.198.237,50</v>
      </c>
      <c r="Q131" s="7"/>
      <c r="R131" s="1"/>
      <c r="S131" s="1" t="str">
        <f>"1-19/NOS-142/16"</f>
        <v>1-19/NOS-142/16</v>
      </c>
      <c r="T131" s="2" t="s">
        <v>29</v>
      </c>
    </row>
    <row r="132" spans="1:20" ht="51" x14ac:dyDescent="0.25">
      <c r="A132" s="1">
        <v>128</v>
      </c>
      <c r="B132" s="1" t="str">
        <f>"2016-1888"</f>
        <v>2016-1888</v>
      </c>
      <c r="C132" s="2" t="s">
        <v>268</v>
      </c>
      <c r="D132" s="4"/>
      <c r="E132" s="3" t="str">
        <f>""</f>
        <v/>
      </c>
      <c r="F132" s="2" t="s">
        <v>52</v>
      </c>
      <c r="G132" s="2" t="str">
        <f>CONCATENATE("IKOM D.O.O.,"," KOVINSKA 7,"," 10090 ZAGREB-SUSEDGRAD,"," OIB: 86247075815")</f>
        <v>IKOM D.O.O., KOVINSKA 7, 10090 ZAGREB-SUSEDGRAD, OIB: 86247075815</v>
      </c>
      <c r="H132" s="4"/>
      <c r="I132" s="1" t="s">
        <v>269</v>
      </c>
      <c r="J132" s="1" t="s">
        <v>28</v>
      </c>
      <c r="K132" s="6" t="str">
        <f>""</f>
        <v/>
      </c>
      <c r="L132" s="6" t="str">
        <f>"0,00"</f>
        <v>0,00</v>
      </c>
      <c r="M132" s="6" t="str">
        <f>"0,00"</f>
        <v>0,00</v>
      </c>
      <c r="N132" s="5">
        <v>43644</v>
      </c>
      <c r="O132" s="7"/>
      <c r="P132" s="6" t="str">
        <f>"352.340,00"</f>
        <v>352.340,00</v>
      </c>
      <c r="Q132" s="7"/>
      <c r="R132" s="1"/>
      <c r="S132" s="1" t="str">
        <f>"1-19/NOS-142/16#1"</f>
        <v>1-19/NOS-142/16#1</v>
      </c>
      <c r="T132" s="2" t="s">
        <v>29</v>
      </c>
    </row>
    <row r="133" spans="1:20" ht="51" x14ac:dyDescent="0.25">
      <c r="A133" s="1">
        <v>129</v>
      </c>
      <c r="B133" s="1" t="str">
        <f>"2016-3093"</f>
        <v>2016-3093</v>
      </c>
      <c r="C133" s="2" t="s">
        <v>270</v>
      </c>
      <c r="D133" s="1" t="s">
        <v>271</v>
      </c>
      <c r="E133" s="3" t="str">
        <f>" 2016/S 002-0028860"</f>
        <v xml:space="preserve"> 2016/S 002-0028860</v>
      </c>
      <c r="F133" s="2" t="s">
        <v>23</v>
      </c>
      <c r="G133" s="2" t="str">
        <f>CONCATENATE("GEORAD D.O.O.,"," KORNATSKA 1,"," 10000 ZAGREB,"," OIB: 49756748234",CHAR(10),"GTM D.O.O.,"," JURAJA HABDELIĆA 14,"," 10410 VELIKA GORICA,"," OIB: 42349541784")</f>
        <v>GEORAD D.O.O., KORNATSKA 1, 10000 ZAGREB, OIB: 49756748234
GTM D.O.O., JURAJA HABDELIĆA 14, 10410 VELIKA GORICA, OIB: 42349541784</v>
      </c>
      <c r="H133" s="4"/>
      <c r="I133" s="1" t="s">
        <v>272</v>
      </c>
      <c r="J133" s="1" t="s">
        <v>273</v>
      </c>
      <c r="K133" s="6" t="str">
        <f>"7.000.000,00"</f>
        <v>7.000.000,00</v>
      </c>
      <c r="L133" s="6" t="str">
        <f>"1.750.000,00"</f>
        <v>1.750.000,00</v>
      </c>
      <c r="M133" s="6" t="str">
        <f>"8.750.000,00"</f>
        <v>8.750.000,00</v>
      </c>
      <c r="N133" s="7"/>
      <c r="O133" s="7"/>
      <c r="P133" s="6" t="str">
        <f>""</f>
        <v/>
      </c>
      <c r="Q133" s="7"/>
      <c r="R133" s="1"/>
      <c r="S133" s="1" t="str">
        <f>"NOS-143/16"</f>
        <v>NOS-143/16</v>
      </c>
      <c r="T133" s="2" t="s">
        <v>33</v>
      </c>
    </row>
    <row r="134" spans="1:20" ht="38.25" x14ac:dyDescent="0.25">
      <c r="A134" s="1">
        <v>130</v>
      </c>
      <c r="B134" s="1" t="str">
        <f>"2016-3085"</f>
        <v>2016-3085</v>
      </c>
      <c r="C134" s="2" t="s">
        <v>274</v>
      </c>
      <c r="D134" s="1" t="s">
        <v>275</v>
      </c>
      <c r="E134" s="3" t="str">
        <f>" 2016/S 002-0027499"</f>
        <v xml:space="preserve"> 2016/S 002-0027499</v>
      </c>
      <c r="F134" s="2" t="s">
        <v>23</v>
      </c>
      <c r="G134" s="2" t="str">
        <f>CONCATENATE("COMET D.O.O.,"," VARAŽDINSKA 40/C,"," 42220 NOVI MAROF,"," OIB: 48249084626")</f>
        <v>COMET D.O.O., VARAŽDINSKA 40/C, 42220 NOVI MAROF, OIB: 48249084626</v>
      </c>
      <c r="H134" s="4"/>
      <c r="I134" s="1" t="s">
        <v>272</v>
      </c>
      <c r="J134" s="1" t="s">
        <v>273</v>
      </c>
      <c r="K134" s="6" t="str">
        <f>"800.000,00"</f>
        <v>800.000,00</v>
      </c>
      <c r="L134" s="6" t="str">
        <f>"200.000,00"</f>
        <v>200.000,00</v>
      </c>
      <c r="M134" s="6" t="str">
        <f>"1.000.000,00"</f>
        <v>1.000.000,00</v>
      </c>
      <c r="N134" s="7"/>
      <c r="O134" s="7"/>
      <c r="P134" s="6" t="str">
        <f>""</f>
        <v/>
      </c>
      <c r="Q134" s="7"/>
      <c r="R134" s="1"/>
      <c r="S134" s="1" t="str">
        <f>"NOS-144/16"</f>
        <v>NOS-144/16</v>
      </c>
      <c r="T134" s="2" t="s">
        <v>33</v>
      </c>
    </row>
    <row r="135" spans="1:20" ht="25.5" x14ac:dyDescent="0.25">
      <c r="A135" s="1">
        <v>131</v>
      </c>
      <c r="B135" s="1" t="str">
        <f>"2016-3085"</f>
        <v>2016-3085</v>
      </c>
      <c r="C135" s="2" t="s">
        <v>274</v>
      </c>
      <c r="D135" s="1" t="s">
        <v>275</v>
      </c>
      <c r="E135" s="3" t="str">
        <f>""</f>
        <v/>
      </c>
      <c r="F135" s="2" t="s">
        <v>27</v>
      </c>
      <c r="G135" s="2" t="str">
        <f>CONCATENATE("COMET D.O.O.,"," VARAŽDINSKA 40/C,"," 42220 NOVI MAROF,"," OIB: 48249084626")</f>
        <v>COMET D.O.O., VARAŽDINSKA 40/C, 42220 NOVI MAROF, OIB: 48249084626</v>
      </c>
      <c r="H135" s="4"/>
      <c r="I135" s="1" t="s">
        <v>276</v>
      </c>
      <c r="J135" s="1" t="s">
        <v>64</v>
      </c>
      <c r="K135" s="6" t="str">
        <f>"11.603,00"</f>
        <v>11.603,00</v>
      </c>
      <c r="L135" s="6" t="str">
        <f>"2.900,75"</f>
        <v>2.900,75</v>
      </c>
      <c r="M135" s="6" t="str">
        <f>"14.503,75"</f>
        <v>14.503,75</v>
      </c>
      <c r="N135" s="5">
        <v>43662</v>
      </c>
      <c r="O135" s="7"/>
      <c r="P135" s="6" t="str">
        <f>"14.503,75"</f>
        <v>14.503,75</v>
      </c>
      <c r="Q135" s="7"/>
      <c r="R135" s="1"/>
      <c r="S135" s="1" t="str">
        <f>"9-18/NOS-144/16"</f>
        <v>9-18/NOS-144/16</v>
      </c>
      <c r="T135" s="2" t="s">
        <v>33</v>
      </c>
    </row>
    <row r="136" spans="1:20" ht="25.5" x14ac:dyDescent="0.25">
      <c r="A136" s="1">
        <v>132</v>
      </c>
      <c r="B136" s="1" t="str">
        <f>"2016-3085"</f>
        <v>2016-3085</v>
      </c>
      <c r="C136" s="2" t="s">
        <v>274</v>
      </c>
      <c r="D136" s="1" t="s">
        <v>275</v>
      </c>
      <c r="E136" s="3" t="str">
        <f>""</f>
        <v/>
      </c>
      <c r="F136" s="2" t="s">
        <v>27</v>
      </c>
      <c r="G136" s="2" t="str">
        <f>CONCATENATE("COMET D.O.O.,"," VARAŽDINSKA 40/C,"," 42220 NOVI MAROF,"," OIB: 48249084626")</f>
        <v>COMET D.O.O., VARAŽDINSKA 40/C, 42220 NOVI MAROF, OIB: 48249084626</v>
      </c>
      <c r="H136" s="4"/>
      <c r="I136" s="1" t="s">
        <v>277</v>
      </c>
      <c r="J136" s="1" t="s">
        <v>45</v>
      </c>
      <c r="K136" s="6" t="str">
        <f>"37.327,00"</f>
        <v>37.327,00</v>
      </c>
      <c r="L136" s="6" t="str">
        <f>"9.331,75"</f>
        <v>9.331,75</v>
      </c>
      <c r="M136" s="6" t="str">
        <f>"46.658,75"</f>
        <v>46.658,75</v>
      </c>
      <c r="N136" s="5">
        <v>43607</v>
      </c>
      <c r="O136" s="7"/>
      <c r="P136" s="6" t="str">
        <f>"42.390,00"</f>
        <v>42.390,00</v>
      </c>
      <c r="Q136" s="7"/>
      <c r="R136" s="1"/>
      <c r="S136" s="1" t="str">
        <f>"5-19/NOS-144/16"</f>
        <v>5-19/NOS-144/16</v>
      </c>
      <c r="T136" s="2" t="s">
        <v>33</v>
      </c>
    </row>
    <row r="137" spans="1:20" ht="114.75" x14ac:dyDescent="0.25">
      <c r="A137" s="1">
        <v>133</v>
      </c>
      <c r="B137" s="1" t="str">
        <f>"2016-3083"</f>
        <v>2016-3083</v>
      </c>
      <c r="C137" s="2" t="s">
        <v>278</v>
      </c>
      <c r="D137" s="1" t="s">
        <v>223</v>
      </c>
      <c r="E137" s="3" t="str">
        <f>"2016/S 002-0028423"</f>
        <v>2016/S 002-0028423</v>
      </c>
      <c r="F137" s="2" t="s">
        <v>23</v>
      </c>
      <c r="G137" s="2" t="str">
        <f>CONCATENATE("GLOBALDIZAJN D.O.O.,"," BUZIN,"," BANI 75,"," 10000 ZAGREB,"," OIB: 2562731408")</f>
        <v>GLOBALDIZAJN D.O.O., BUZIN, BANI 75, 10000 ZAGREB, OIB: 2562731408</v>
      </c>
      <c r="H137" s="4"/>
      <c r="I137" s="1" t="s">
        <v>279</v>
      </c>
      <c r="J137" s="1" t="s">
        <v>280</v>
      </c>
      <c r="K137" s="6" t="str">
        <f>"2.808.190,00"</f>
        <v>2.808.190,00</v>
      </c>
      <c r="L137" s="6" t="str">
        <f>"702.047,50"</f>
        <v>702.047,50</v>
      </c>
      <c r="M137" s="6" t="str">
        <f>"3.510.237,50"</f>
        <v>3.510.237,50</v>
      </c>
      <c r="N137" s="7"/>
      <c r="O137" s="7"/>
      <c r="P137" s="6" t="str">
        <f>""</f>
        <v/>
      </c>
      <c r="Q137" s="7"/>
      <c r="R137" s="1"/>
      <c r="S137" s="1" t="str">
        <f>"NOS-145-ZGH/16"</f>
        <v>NOS-145-ZGH/16</v>
      </c>
      <c r="T137" s="2" t="s">
        <v>281</v>
      </c>
    </row>
    <row r="138" spans="1:20" ht="25.5" x14ac:dyDescent="0.25">
      <c r="A138" s="1">
        <v>134</v>
      </c>
      <c r="B138" s="1" t="str">
        <f>"2016-3083"</f>
        <v>2016-3083</v>
      </c>
      <c r="C138" s="2" t="s">
        <v>278</v>
      </c>
      <c r="D138" s="1" t="s">
        <v>223</v>
      </c>
      <c r="E138" s="3" t="str">
        <f>""</f>
        <v/>
      </c>
      <c r="F138" s="2" t="s">
        <v>27</v>
      </c>
      <c r="G138" s="2" t="str">
        <f>CONCATENATE("GLOBALDIZAJN D.O.O.,"," BUZIN,"," BANI 75,"," 10000 ZAGREB,"," OIB: 2562731408")</f>
        <v>GLOBALDIZAJN D.O.O., BUZIN, BANI 75, 10000 ZAGREB, OIB: 2562731408</v>
      </c>
      <c r="H138" s="4"/>
      <c r="I138" s="1" t="s">
        <v>282</v>
      </c>
      <c r="J138" s="1" t="s">
        <v>45</v>
      </c>
      <c r="K138" s="6" t="str">
        <f>"656.470,00"</f>
        <v>656.470,00</v>
      </c>
      <c r="L138" s="6" t="str">
        <f>"164.117,50"</f>
        <v>164.117,50</v>
      </c>
      <c r="M138" s="6" t="str">
        <f>"820.587,50"</f>
        <v>820.587,50</v>
      </c>
      <c r="N138" s="5">
        <v>43535</v>
      </c>
      <c r="O138" s="7"/>
      <c r="P138" s="6" t="str">
        <f>"136.537,50"</f>
        <v>136.537,50</v>
      </c>
      <c r="Q138" s="7"/>
      <c r="R138" s="1"/>
      <c r="S138" s="1" t="str">
        <f>"1-17/NOS-145-ZGH/16"</f>
        <v>1-17/NOS-145-ZGH/16</v>
      </c>
      <c r="T138" s="2" t="s">
        <v>33</v>
      </c>
    </row>
    <row r="139" spans="1:20" ht="25.5" x14ac:dyDescent="0.25">
      <c r="A139" s="1">
        <v>135</v>
      </c>
      <c r="B139" s="1" t="str">
        <f>"2016-3083"</f>
        <v>2016-3083</v>
      </c>
      <c r="C139" s="2" t="s">
        <v>278</v>
      </c>
      <c r="D139" s="1" t="s">
        <v>223</v>
      </c>
      <c r="E139" s="3" t="str">
        <f>""</f>
        <v/>
      </c>
      <c r="F139" s="2" t="s">
        <v>27</v>
      </c>
      <c r="G139" s="2" t="str">
        <f>CONCATENATE("GLOBALDIZAJN D.O.O.,"," BUZIN,"," BANI 75,"," 10000 ZAGREB,"," OIB: 2562731408")</f>
        <v>GLOBALDIZAJN D.O.O., BUZIN, BANI 75, 10000 ZAGREB, OIB: 2562731408</v>
      </c>
      <c r="H139" s="4"/>
      <c r="I139" s="1" t="s">
        <v>283</v>
      </c>
      <c r="J139" s="1" t="s">
        <v>284</v>
      </c>
      <c r="K139" s="6" t="str">
        <f>"48.200,00"</f>
        <v>48.200,00</v>
      </c>
      <c r="L139" s="6" t="str">
        <f>"12.050,00"</f>
        <v>12.050,00</v>
      </c>
      <c r="M139" s="6" t="str">
        <f>"60.250,00"</f>
        <v>60.250,00</v>
      </c>
      <c r="N139" s="5">
        <v>43708</v>
      </c>
      <c r="O139" s="7"/>
      <c r="P139" s="6" t="str">
        <f>"17.700,00"</f>
        <v>17.700,00</v>
      </c>
      <c r="Q139" s="7"/>
      <c r="R139" s="1"/>
      <c r="S139" s="1" t="str">
        <f>"3-18/NOS-145-ZGH/16"</f>
        <v>3-18/NOS-145-ZGH/16</v>
      </c>
      <c r="T139" s="2" t="s">
        <v>60</v>
      </c>
    </row>
    <row r="140" spans="1:20" ht="38.25" x14ac:dyDescent="0.25">
      <c r="A140" s="1">
        <v>136</v>
      </c>
      <c r="B140" s="1" t="str">
        <f>"2016-3083"</f>
        <v>2016-3083</v>
      </c>
      <c r="C140" s="2" t="s">
        <v>278</v>
      </c>
      <c r="D140" s="4"/>
      <c r="E140" s="3" t="str">
        <f>""</f>
        <v/>
      </c>
      <c r="F140" s="2" t="s">
        <v>27</v>
      </c>
      <c r="G140" s="2" t="str">
        <f>CONCATENATE("GLOBALDIZAJN D.O.O.,"," BUZIN,"," BANI 75,"," 10000 ZAGREB,"," OIB: 2562731408")</f>
        <v>GLOBALDIZAJN D.O.O., BUZIN, BANI 75, 10000 ZAGREB, OIB: 2562731408</v>
      </c>
      <c r="H140" s="4"/>
      <c r="I140" s="1" t="s">
        <v>277</v>
      </c>
      <c r="J140" s="1" t="s">
        <v>285</v>
      </c>
      <c r="K140" s="6" t="str">
        <f>"36.840,00"</f>
        <v>36.840,00</v>
      </c>
      <c r="L140" s="6" t="str">
        <f>"9.210,00"</f>
        <v>9.210,00</v>
      </c>
      <c r="M140" s="6" t="str">
        <f>"46.050,00"</f>
        <v>46.050,00</v>
      </c>
      <c r="N140" s="1" t="s">
        <v>117</v>
      </c>
      <c r="O140" s="7"/>
      <c r="P140" s="6" t="str">
        <f>""</f>
        <v/>
      </c>
      <c r="Q140" s="7"/>
      <c r="R140" s="1"/>
      <c r="S140" s="1" t="str">
        <f>"2-19/NOS-145-ZGH/16"</f>
        <v>2-19/NOS-145-ZGH/16</v>
      </c>
      <c r="T140" s="2" t="s">
        <v>65</v>
      </c>
    </row>
    <row r="141" spans="1:20" ht="25.5" x14ac:dyDescent="0.25">
      <c r="A141" s="1">
        <v>137</v>
      </c>
      <c r="B141" s="1" t="str">
        <f>"2016-3083"</f>
        <v>2016-3083</v>
      </c>
      <c r="C141" s="2" t="s">
        <v>278</v>
      </c>
      <c r="D141" s="1" t="s">
        <v>223</v>
      </c>
      <c r="E141" s="3" t="str">
        <f>""</f>
        <v/>
      </c>
      <c r="F141" s="2" t="s">
        <v>27</v>
      </c>
      <c r="G141" s="2" t="str">
        <f>CONCATENATE("GLOBALDIZAJN D.O.O.,"," BUZIN,"," BANI 75,"," 10000 ZAGREB,"," OIB: 2562731408")</f>
        <v>GLOBALDIZAJN D.O.O., BUZIN, BANI 75, 10000 ZAGREB, OIB: 2562731408</v>
      </c>
      <c r="H141" s="4"/>
      <c r="I141" s="1" t="s">
        <v>286</v>
      </c>
      <c r="J141" s="1" t="s">
        <v>285</v>
      </c>
      <c r="K141" s="6" t="str">
        <f>"899.800,00"</f>
        <v>899.800,00</v>
      </c>
      <c r="L141" s="6" t="str">
        <f>"224.950,00"</f>
        <v>224.950,00</v>
      </c>
      <c r="M141" s="6" t="str">
        <f>"1.124.750,00"</f>
        <v>1.124.750,00</v>
      </c>
      <c r="N141" s="5">
        <v>43662</v>
      </c>
      <c r="O141" s="7"/>
      <c r="P141" s="6" t="str">
        <f>"512.150,00"</f>
        <v>512.150,00</v>
      </c>
      <c r="Q141" s="7"/>
      <c r="R141" s="1"/>
      <c r="S141" s="1" t="str">
        <f>"3-19/NOS-145-ZGH/16"</f>
        <v>3-19/NOS-145-ZGH/16</v>
      </c>
      <c r="T141" s="2" t="s">
        <v>33</v>
      </c>
    </row>
    <row r="142" spans="1:20" ht="76.5" x14ac:dyDescent="0.25">
      <c r="A142" s="1">
        <v>138</v>
      </c>
      <c r="B142" s="1" t="str">
        <f>"2016-3071"</f>
        <v>2016-3071</v>
      </c>
      <c r="C142" s="2" t="s">
        <v>287</v>
      </c>
      <c r="D142" s="1" t="s">
        <v>288</v>
      </c>
      <c r="E142" s="3" t="str">
        <f>"2016/S 002-0026237"</f>
        <v>2016/S 002-0026237</v>
      </c>
      <c r="F142" s="2" t="s">
        <v>23</v>
      </c>
      <c r="G142" s="2" t="str">
        <f>CONCATENATE("VODOSKOK D.D.,"," ČULINEČKA CESTA 221/C,"," 10040 ZAGREB,"," OIB: 34134218058",CHAR(10),"DILJEXPORT D.O.O.,"," ZLATKA ŠULENTIĆA 9,"," 10000 ZAGREB,"," OIB: 00089952586",CHAR(10),"CONFESTIM D.O.O.,"," FRANJE WOLFA 4,"," 10000 ZAGREB,"," OIB: 08953264659")</f>
        <v>VODOSKOK D.D., ČULINEČKA CESTA 221/C, 10040 ZAGREB, OIB: 34134218058
DILJEXPORT D.O.O., ZLATKA ŠULENTIĆA 9, 10000 ZAGREB, OIB: 00089952586
CONFESTIM D.O.O., FRANJE WOLFA 4, 10000 ZAGREB, OIB: 08953264659</v>
      </c>
      <c r="H142" s="4"/>
      <c r="I142" s="1" t="s">
        <v>289</v>
      </c>
      <c r="J142" s="1" t="s">
        <v>290</v>
      </c>
      <c r="K142" s="6" t="str">
        <f>"3.000.000,00"</f>
        <v>3.000.000,00</v>
      </c>
      <c r="L142" s="6" t="str">
        <f>"750.000,00"</f>
        <v>750.000,00</v>
      </c>
      <c r="M142" s="6" t="str">
        <f>"3.750.000,00"</f>
        <v>3.750.000,00</v>
      </c>
      <c r="N142" s="7"/>
      <c r="O142" s="7"/>
      <c r="P142" s="6" t="str">
        <f>""</f>
        <v/>
      </c>
      <c r="Q142" s="7"/>
      <c r="R142" s="1"/>
      <c r="S142" s="1" t="str">
        <f>"NOS-146/16"</f>
        <v>NOS-146/16</v>
      </c>
      <c r="T142" s="2" t="s">
        <v>33</v>
      </c>
    </row>
    <row r="143" spans="1:20" ht="89.25" x14ac:dyDescent="0.25">
      <c r="A143" s="1">
        <v>139</v>
      </c>
      <c r="B143" s="1" t="str">
        <f>"2016-3082"</f>
        <v>2016-3082</v>
      </c>
      <c r="C143" s="2" t="s">
        <v>291</v>
      </c>
      <c r="D143" s="1" t="s">
        <v>292</v>
      </c>
      <c r="E143" s="3" t="str">
        <f>"2016/S 002-0025691"</f>
        <v>2016/S 002-0025691</v>
      </c>
      <c r="F143" s="2" t="s">
        <v>23</v>
      </c>
      <c r="G143" s="2" t="str">
        <f>CONCATENATE("SMIT-COMMERCE D.O.O.,"," GORNJOSTUPNIČKA 9B,"," 10255 GORNJI STUPNIK,"," OIB: 95243482140",CHAR(10),"JAKA D.O.O.,"," OGRIZOVIĆEVA 28/B,","  10 000 ZAGREB,"," OIB: 37705921960",CHAR(10),"UNIVERZAL ŽICA D.O.O.,"," IV TROKUT 1B,"," 10000 ZAGREB,"," OIB: 62988526948")</f>
        <v>SMIT-COMMERCE D.O.O., GORNJOSTUPNIČKA 9B, 10255 GORNJI STUPNIK, OIB: 95243482140
JAKA D.O.O., OGRIZOVIĆEVA 28/B,  10 000 ZAGREB, OIB: 37705921960
UNIVERZAL ŽICA D.O.O., IV TROKUT 1B, 10000 ZAGREB, OIB: 62988526948</v>
      </c>
      <c r="H143" s="4"/>
      <c r="I143" s="1" t="s">
        <v>289</v>
      </c>
      <c r="J143" s="1" t="s">
        <v>290</v>
      </c>
      <c r="K143" s="6" t="str">
        <f>"4.000.000,00"</f>
        <v>4.000.000,00</v>
      </c>
      <c r="L143" s="6" t="str">
        <f>"1.000.000,00"</f>
        <v>1.000.000,00</v>
      </c>
      <c r="M143" s="6" t="str">
        <f>"5.000.000,00"</f>
        <v>5.000.000,00</v>
      </c>
      <c r="N143" s="7"/>
      <c r="O143" s="7"/>
      <c r="P143" s="6" t="str">
        <f>""</f>
        <v/>
      </c>
      <c r="Q143" s="7"/>
      <c r="R143" s="1"/>
      <c r="S143" s="1" t="str">
        <f>"NOS-147/16"</f>
        <v>NOS-147/16</v>
      </c>
      <c r="T143" s="2" t="s">
        <v>33</v>
      </c>
    </row>
    <row r="144" spans="1:20" ht="25.5" x14ac:dyDescent="0.25">
      <c r="A144" s="1">
        <v>140</v>
      </c>
      <c r="B144" s="1" t="str">
        <f>"2016-3082"</f>
        <v>2016-3082</v>
      </c>
      <c r="C144" s="2" t="s">
        <v>291</v>
      </c>
      <c r="D144" s="1" t="s">
        <v>292</v>
      </c>
      <c r="E144" s="3" t="str">
        <f>""</f>
        <v/>
      </c>
      <c r="F144" s="2" t="s">
        <v>27</v>
      </c>
      <c r="G144" s="2" t="str">
        <f>CONCATENATE("JAKA D.O.O.,"," OGRIZOVIĆEVA 28/B,","  10 000 ZAGREB,"," OIB: 3770592196")</f>
        <v>JAKA D.O.O., OGRIZOVIĆEVA 28/B,  10 000 ZAGREB, OIB: 3770592196</v>
      </c>
      <c r="H144" s="4"/>
      <c r="I144" s="1" t="s">
        <v>43</v>
      </c>
      <c r="J144" s="1" t="s">
        <v>74</v>
      </c>
      <c r="K144" s="6" t="str">
        <f>"25.764,80"</f>
        <v>25.764,80</v>
      </c>
      <c r="L144" s="6" t="str">
        <f>"6.441,20"</f>
        <v>6.441,20</v>
      </c>
      <c r="M144" s="6" t="str">
        <f>"32.206,00"</f>
        <v>32.206,00</v>
      </c>
      <c r="N144" s="5">
        <v>43510</v>
      </c>
      <c r="O144" s="7"/>
      <c r="P144" s="6" t="str">
        <f>"925,00"</f>
        <v>925,00</v>
      </c>
      <c r="Q144" s="7"/>
      <c r="R144" s="1"/>
      <c r="S144" s="1" t="str">
        <f>"15-18/NOS-147/16"</f>
        <v>15-18/NOS-147/16</v>
      </c>
      <c r="T144" s="2" t="s">
        <v>33</v>
      </c>
    </row>
    <row r="145" spans="1:20" ht="25.5" x14ac:dyDescent="0.25">
      <c r="A145" s="1">
        <v>141</v>
      </c>
      <c r="B145" s="1" t="str">
        <f>"2016-3082"</f>
        <v>2016-3082</v>
      </c>
      <c r="C145" s="2" t="s">
        <v>291</v>
      </c>
      <c r="D145" s="1" t="s">
        <v>292</v>
      </c>
      <c r="E145" s="3" t="str">
        <f>""</f>
        <v/>
      </c>
      <c r="F145" s="2" t="s">
        <v>27</v>
      </c>
      <c r="G145" s="2" t="str">
        <f>CONCATENATE("UNIVERZAL ŽICA D.O.O.,"," IV TROKUT 1B,"," 10000 ZAGREB,"," OIB: 62988526948")</f>
        <v>UNIVERZAL ŽICA D.O.O., IV TROKUT 1B, 10000 ZAGREB, OIB: 62988526948</v>
      </c>
      <c r="H145" s="4"/>
      <c r="I145" s="1" t="s">
        <v>293</v>
      </c>
      <c r="J145" s="1" t="s">
        <v>45</v>
      </c>
      <c r="K145" s="6" t="str">
        <f>"72.789,60"</f>
        <v>72.789,60</v>
      </c>
      <c r="L145" s="6" t="str">
        <f>"18.197,40"</f>
        <v>18.197,40</v>
      </c>
      <c r="M145" s="6" t="str">
        <f>"90.987,00"</f>
        <v>90.987,00</v>
      </c>
      <c r="N145" s="5">
        <v>43706</v>
      </c>
      <c r="O145" s="7"/>
      <c r="P145" s="6" t="str">
        <f>"81.225,81"</f>
        <v>81.225,81</v>
      </c>
      <c r="Q145" s="7"/>
      <c r="R145" s="1"/>
      <c r="S145" s="1" t="str">
        <f>"1-19/NOS-147/16"</f>
        <v>1-19/NOS-147/16</v>
      </c>
      <c r="T145" s="2" t="s">
        <v>33</v>
      </c>
    </row>
    <row r="146" spans="1:20" ht="38.25" x14ac:dyDescent="0.25">
      <c r="A146" s="1">
        <v>142</v>
      </c>
      <c r="B146" s="1" t="str">
        <f>"2016-3092"</f>
        <v>2016-3092</v>
      </c>
      <c r="C146" s="2" t="s">
        <v>294</v>
      </c>
      <c r="D146" s="1" t="s">
        <v>295</v>
      </c>
      <c r="E146" s="3" t="str">
        <f>"2016/S 002-0029431"</f>
        <v>2016/S 002-0029431</v>
      </c>
      <c r="F146" s="2" t="s">
        <v>23</v>
      </c>
      <c r="G146" s="2" t="str">
        <f>CONCATENATE("ZAGREB PLAKAT D.O.O.,"," KOTURAŠKA 51,"," 10000 ZAGREB,"," OIB: 321117423")</f>
        <v>ZAGREB PLAKAT D.O.O., KOTURAŠKA 51, 10000 ZAGREB, OIB: 321117423</v>
      </c>
      <c r="H146" s="4"/>
      <c r="I146" s="1" t="s">
        <v>296</v>
      </c>
      <c r="J146" s="1" t="s">
        <v>297</v>
      </c>
      <c r="K146" s="6" t="str">
        <f>"2.190.000,00"</f>
        <v>2.190.000,00</v>
      </c>
      <c r="L146" s="6" t="str">
        <f>"547.500,00"</f>
        <v>547.500,00</v>
      </c>
      <c r="M146" s="6" t="str">
        <f>"2.737.500,00"</f>
        <v>2.737.500,00</v>
      </c>
      <c r="N146" s="7"/>
      <c r="O146" s="7"/>
      <c r="P146" s="6" t="str">
        <f>""</f>
        <v/>
      </c>
      <c r="Q146" s="7"/>
      <c r="R146" s="1"/>
      <c r="S146" s="1" t="str">
        <f>"NOS-148/16"</f>
        <v>NOS-148/16</v>
      </c>
      <c r="T146" s="2" t="s">
        <v>167</v>
      </c>
    </row>
    <row r="147" spans="1:20" ht="25.5" x14ac:dyDescent="0.25">
      <c r="A147" s="1">
        <v>143</v>
      </c>
      <c r="B147" s="1" t="str">
        <f>"2016-3092"</f>
        <v>2016-3092</v>
      </c>
      <c r="C147" s="2" t="s">
        <v>294</v>
      </c>
      <c r="D147" s="1" t="s">
        <v>295</v>
      </c>
      <c r="E147" s="3" t="str">
        <f>""</f>
        <v/>
      </c>
      <c r="F147" s="2" t="s">
        <v>27</v>
      </c>
      <c r="G147" s="2" t="str">
        <f>CONCATENATE("ZAGREB PLAKAT D.O.O.,"," KOTURAŠKA 51,"," 10000 ZAGREB,"," OIB: 321117423")</f>
        <v>ZAGREB PLAKAT D.O.O., KOTURAŠKA 51, 10000 ZAGREB, OIB: 321117423</v>
      </c>
      <c r="H147" s="4"/>
      <c r="I147" s="1" t="s">
        <v>257</v>
      </c>
      <c r="J147" s="1" t="s">
        <v>121</v>
      </c>
      <c r="K147" s="6" t="str">
        <f>"133.000,00"</f>
        <v>133.000,00</v>
      </c>
      <c r="L147" s="6" t="str">
        <f>"35.875,00"</f>
        <v>35.875,00</v>
      </c>
      <c r="M147" s="6" t="str">
        <f>"179.375,00"</f>
        <v>179.375,00</v>
      </c>
      <c r="N147" s="5">
        <v>43607</v>
      </c>
      <c r="O147" s="7"/>
      <c r="P147" s="6" t="str">
        <f>"179.375,00"</f>
        <v>179.375,00</v>
      </c>
      <c r="Q147" s="7"/>
      <c r="R147" s="1"/>
      <c r="S147" s="1" t="str">
        <f>"1-19/NOS-148/16"</f>
        <v>1-19/NOS-148/16</v>
      </c>
      <c r="T147" s="2" t="s">
        <v>33</v>
      </c>
    </row>
    <row r="148" spans="1:20" ht="38.25" x14ac:dyDescent="0.25">
      <c r="A148" s="1">
        <v>144</v>
      </c>
      <c r="B148" s="1" t="str">
        <f>"2016-1037"</f>
        <v>2016-1037</v>
      </c>
      <c r="C148" s="2" t="s">
        <v>298</v>
      </c>
      <c r="D148" s="1" t="s">
        <v>299</v>
      </c>
      <c r="E148" s="3" t="str">
        <f>"2016/S 002-0027536"</f>
        <v>2016/S 002-0027536</v>
      </c>
      <c r="F148" s="2" t="s">
        <v>23</v>
      </c>
      <c r="G148" s="2" t="str">
        <f>CONCATENATE("CIJAN D.O.O.,"," PUKLAVČEVA 9,"," 10000 ZAGREB,"," OIB: 17613720695")</f>
        <v>CIJAN D.O.O., PUKLAVČEVA 9, 10000 ZAGREB, OIB: 17613720695</v>
      </c>
      <c r="H148" s="4"/>
      <c r="I148" s="1" t="s">
        <v>300</v>
      </c>
      <c r="J148" s="1" t="s">
        <v>301</v>
      </c>
      <c r="K148" s="6" t="str">
        <f>"600.000,00"</f>
        <v>600.000,00</v>
      </c>
      <c r="L148" s="6" t="str">
        <f>"150.000,00"</f>
        <v>150.000,00</v>
      </c>
      <c r="M148" s="6" t="str">
        <f>"750.000,00"</f>
        <v>750.000,00</v>
      </c>
      <c r="N148" s="7"/>
      <c r="O148" s="7"/>
      <c r="P148" s="6" t="str">
        <f>""</f>
        <v/>
      </c>
      <c r="Q148" s="7"/>
      <c r="R148" s="1"/>
      <c r="S148" s="1" t="str">
        <f>"NOS-149/16"</f>
        <v>NOS-149/16</v>
      </c>
      <c r="T148" s="2" t="s">
        <v>29</v>
      </c>
    </row>
    <row r="149" spans="1:20" ht="25.5" x14ac:dyDescent="0.25">
      <c r="A149" s="1">
        <v>145</v>
      </c>
      <c r="B149" s="1" t="str">
        <f>"2016-1037"</f>
        <v>2016-1037</v>
      </c>
      <c r="C149" s="2" t="s">
        <v>298</v>
      </c>
      <c r="D149" s="1" t="s">
        <v>299</v>
      </c>
      <c r="E149" s="3" t="str">
        <f>""</f>
        <v/>
      </c>
      <c r="F149" s="2" t="s">
        <v>27</v>
      </c>
      <c r="G149" s="2" t="str">
        <f>CONCATENATE("CIJAN D.O.O.,"," PUKLAVČEVA 9,"," 10000 ZAGREB,"," OIB: 17613720695")</f>
        <v>CIJAN D.O.O., PUKLAVČEVA 9, 10000 ZAGREB, OIB: 17613720695</v>
      </c>
      <c r="H149" s="4"/>
      <c r="I149" s="1" t="s">
        <v>302</v>
      </c>
      <c r="J149" s="1" t="s">
        <v>303</v>
      </c>
      <c r="K149" s="6" t="str">
        <f>"90.760,00"</f>
        <v>90.760,00</v>
      </c>
      <c r="L149" s="6" t="str">
        <f>"17.240,00"</f>
        <v>17.240,00</v>
      </c>
      <c r="M149" s="6" t="str">
        <f>"86.200,00"</f>
        <v>86.200,00</v>
      </c>
      <c r="N149" s="5">
        <v>43578</v>
      </c>
      <c r="O149" s="7"/>
      <c r="P149" s="6" t="str">
        <f>"86.200,00"</f>
        <v>86.200,00</v>
      </c>
      <c r="Q149" s="7"/>
      <c r="R149" s="1"/>
      <c r="S149" s="1" t="str">
        <f>"1-19/NOS-149/16"</f>
        <v>1-19/NOS-149/16</v>
      </c>
      <c r="T149" s="2" t="s">
        <v>29</v>
      </c>
    </row>
    <row r="150" spans="1:20" ht="38.25" x14ac:dyDescent="0.25">
      <c r="A150" s="1">
        <v>146</v>
      </c>
      <c r="B150" s="1" t="str">
        <f>"2016-2568"</f>
        <v>2016-2568</v>
      </c>
      <c r="C150" s="2" t="s">
        <v>304</v>
      </c>
      <c r="D150" s="1" t="s">
        <v>305</v>
      </c>
      <c r="E150" s="3" t="str">
        <f>"2016/S 002-0029031"</f>
        <v>2016/S 002-0029031</v>
      </c>
      <c r="F150" s="2" t="s">
        <v>23</v>
      </c>
      <c r="G150" s="2" t="str">
        <f>CONCATENATE("GESTA D.O.O.,"," IVANA SEVERA bb,"," 42000 VARAŽDIN,"," OIB: 3349091397")</f>
        <v>GESTA D.O.O., IVANA SEVERA bb, 42000 VARAŽDIN, OIB: 3349091397</v>
      </c>
      <c r="H150" s="4"/>
      <c r="I150" s="1" t="s">
        <v>306</v>
      </c>
      <c r="J150" s="1" t="s">
        <v>44</v>
      </c>
      <c r="K150" s="6" t="str">
        <f>"600.000,00"</f>
        <v>600.000,00</v>
      </c>
      <c r="L150" s="6" t="str">
        <f>"150.000,00"</f>
        <v>150.000,00</v>
      </c>
      <c r="M150" s="6" t="str">
        <f>"750.000,00"</f>
        <v>750.000,00</v>
      </c>
      <c r="N150" s="7"/>
      <c r="O150" s="7"/>
      <c r="P150" s="6" t="str">
        <f>""</f>
        <v/>
      </c>
      <c r="Q150" s="7"/>
      <c r="R150" s="1"/>
      <c r="S150" s="1" t="str">
        <f>"NOS-150/16"</f>
        <v>NOS-150/16</v>
      </c>
      <c r="T150" s="2" t="s">
        <v>29</v>
      </c>
    </row>
    <row r="151" spans="1:20" ht="25.5" x14ac:dyDescent="0.25">
      <c r="A151" s="1">
        <v>147</v>
      </c>
      <c r="B151" s="1" t="str">
        <f>"2016-2568"</f>
        <v>2016-2568</v>
      </c>
      <c r="C151" s="2" t="s">
        <v>304</v>
      </c>
      <c r="D151" s="1" t="s">
        <v>305</v>
      </c>
      <c r="E151" s="3" t="str">
        <f>""</f>
        <v/>
      </c>
      <c r="F151" s="2" t="s">
        <v>27</v>
      </c>
      <c r="G151" s="2" t="str">
        <f>CONCATENATE("GESTA D.O.O.,"," IVANA SEVERA bb,"," 42000 VARAŽDIN,"," OIB: 3349091397")</f>
        <v>GESTA D.O.O., IVANA SEVERA bb, 42000 VARAŽDIN, OIB: 3349091397</v>
      </c>
      <c r="H151" s="4"/>
      <c r="I151" s="1" t="s">
        <v>307</v>
      </c>
      <c r="J151" s="1" t="s">
        <v>64</v>
      </c>
      <c r="K151" s="6" t="str">
        <f>"127.500,00"</f>
        <v>127.500,00</v>
      </c>
      <c r="L151" s="6" t="str">
        <f>"31.875,00"</f>
        <v>31.875,00</v>
      </c>
      <c r="M151" s="6" t="str">
        <f>"159.375,00"</f>
        <v>159.375,00</v>
      </c>
      <c r="N151" s="5">
        <v>43675</v>
      </c>
      <c r="O151" s="7"/>
      <c r="P151" s="6" t="str">
        <f>"153.531,25"</f>
        <v>153.531,25</v>
      </c>
      <c r="Q151" s="7"/>
      <c r="R151" s="1"/>
      <c r="S151" s="1" t="str">
        <f>"5-18/NOS-150/16"</f>
        <v>5-18/NOS-150/16</v>
      </c>
      <c r="T151" s="2" t="s">
        <v>29</v>
      </c>
    </row>
    <row r="152" spans="1:20" ht="25.5" x14ac:dyDescent="0.25">
      <c r="A152" s="1">
        <v>148</v>
      </c>
      <c r="B152" s="1" t="str">
        <f>"2016-2568"</f>
        <v>2016-2568</v>
      </c>
      <c r="C152" s="2" t="s">
        <v>304</v>
      </c>
      <c r="D152" s="1" t="s">
        <v>305</v>
      </c>
      <c r="E152" s="3" t="str">
        <f>""</f>
        <v/>
      </c>
      <c r="F152" s="2" t="s">
        <v>27</v>
      </c>
      <c r="G152" s="2" t="str">
        <f>CONCATENATE("GESTA D.O.O.,"," IVANA SEVERA bb,"," 42000 VARAŽDIN,"," OIB: 3349091397")</f>
        <v>GESTA D.O.O., IVANA SEVERA bb, 42000 VARAŽDIN, OIB: 3349091397</v>
      </c>
      <c r="H152" s="4"/>
      <c r="I152" s="1" t="s">
        <v>308</v>
      </c>
      <c r="J152" s="1" t="s">
        <v>242</v>
      </c>
      <c r="K152" s="6" t="str">
        <f>"40.800,00"</f>
        <v>40.800,00</v>
      </c>
      <c r="L152" s="6" t="str">
        <f>"5.100,00"</f>
        <v>5.100,00</v>
      </c>
      <c r="M152" s="6" t="str">
        <f>"25.500,00"</f>
        <v>25.500,00</v>
      </c>
      <c r="N152" s="5">
        <v>43707</v>
      </c>
      <c r="O152" s="7"/>
      <c r="P152" s="6" t="str">
        <f>"25.500,00"</f>
        <v>25.500,00</v>
      </c>
      <c r="Q152" s="7"/>
      <c r="R152" s="1"/>
      <c r="S152" s="1" t="str">
        <f>"1-19/NOS-150/16"</f>
        <v>1-19/NOS-150/16</v>
      </c>
      <c r="T152" s="2" t="s">
        <v>29</v>
      </c>
    </row>
    <row r="153" spans="1:20" ht="89.25" x14ac:dyDescent="0.25">
      <c r="A153" s="1">
        <v>149</v>
      </c>
      <c r="B153" s="1" t="str">
        <f>"2016-2118"</f>
        <v>2016-2118</v>
      </c>
      <c r="C153" s="2" t="s">
        <v>309</v>
      </c>
      <c r="D153" s="1" t="s">
        <v>310</v>
      </c>
      <c r="E153" s="3" t="str">
        <f>"2016/S 014-0022371"</f>
        <v>2016/S 014-0022371</v>
      </c>
      <c r="F153" s="2" t="s">
        <v>23</v>
      </c>
      <c r="G153" s="2" t="str">
        <f>CONCATENATE("KUNA CORPORATION D.O.O.,"," DRAŠE 68,"," 49294 KRALJEVEC NA SUTLI,"," OIB: 54600743656",CHAR(10),"KEFO D.O.O.,"," NIKOLE TESLE 10,"," 44000 SISAK,"," OIB: 09371680761",CHAR(10),"RU - VE D.O.O.,"," UL. VLADIMIRA NAZORA 10,"," 10431 SVETA NEDELJA,"," OIB: 8847092984")</f>
        <v>KUNA CORPORATION D.O.O., DRAŠE 68, 49294 KRALJEVEC NA SUTLI, OIB: 54600743656
KEFO D.O.O., NIKOLE TESLE 10, 44000 SISAK, OIB: 09371680761
RU - VE D.O.O., UL. VLADIMIRA NAZORA 10, 10431 SVETA NEDELJA, OIB: 8847092984</v>
      </c>
      <c r="H153" s="4"/>
      <c r="I153" s="1" t="s">
        <v>80</v>
      </c>
      <c r="J153" s="1" t="s">
        <v>203</v>
      </c>
      <c r="K153" s="6" t="str">
        <f>"1.500.000,00"</f>
        <v>1.500.000,00</v>
      </c>
      <c r="L153" s="6" t="str">
        <f>"375.000,00"</f>
        <v>375.000,00</v>
      </c>
      <c r="M153" s="6" t="str">
        <f>"1.875.000,00"</f>
        <v>1.875.000,00</v>
      </c>
      <c r="N153" s="7"/>
      <c r="O153" s="7"/>
      <c r="P153" s="6" t="str">
        <f>""</f>
        <v/>
      </c>
      <c r="Q153" s="7"/>
      <c r="R153" s="1"/>
      <c r="S153" s="1" t="str">
        <f>"NOS-151/16"</f>
        <v>NOS-151/16</v>
      </c>
      <c r="T153" s="2" t="s">
        <v>29</v>
      </c>
    </row>
    <row r="154" spans="1:20" ht="25.5" x14ac:dyDescent="0.25">
      <c r="A154" s="1">
        <v>150</v>
      </c>
      <c r="B154" s="1" t="str">
        <f>"2016-2118"</f>
        <v>2016-2118</v>
      </c>
      <c r="C154" s="2" t="s">
        <v>309</v>
      </c>
      <c r="D154" s="4"/>
      <c r="E154" s="3" t="str">
        <f>""</f>
        <v/>
      </c>
      <c r="F154" s="2" t="s">
        <v>27</v>
      </c>
      <c r="G154" s="2" t="str">
        <f>CONCATENATE("RU - VE D.O.O.,"," UL. VLADIMIRA NAZORA 10,"," 10431 SVETA NEDELJA,"," OIB: 8847092984")</f>
        <v>RU - VE D.O.O., UL. VLADIMIRA NAZORA 10, 10431 SVETA NEDELJA, OIB: 8847092984</v>
      </c>
      <c r="H154" s="4"/>
      <c r="I154" s="1" t="s">
        <v>311</v>
      </c>
      <c r="J154" s="1" t="s">
        <v>114</v>
      </c>
      <c r="K154" s="6" t="str">
        <f>"93.705,50"</f>
        <v>93.705,50</v>
      </c>
      <c r="L154" s="6" t="str">
        <f>"23.426,38"</f>
        <v>23.426,38</v>
      </c>
      <c r="M154" s="6" t="str">
        <f>"117.131,88"</f>
        <v>117.131,88</v>
      </c>
      <c r="N154" s="5">
        <v>43620</v>
      </c>
      <c r="O154" s="7"/>
      <c r="P154" s="6" t="str">
        <f>"104.744,38"</f>
        <v>104.744,38</v>
      </c>
      <c r="Q154" s="7"/>
      <c r="R154" s="1"/>
      <c r="S154" s="1" t="str">
        <f>"1-19/NOS-151/16"</f>
        <v>1-19/NOS-151/16</v>
      </c>
      <c r="T154" s="2" t="s">
        <v>29</v>
      </c>
    </row>
    <row r="155" spans="1:20" ht="114.75" x14ac:dyDescent="0.25">
      <c r="A155" s="1">
        <v>151</v>
      </c>
      <c r="B155" s="1" t="str">
        <f t="shared" ref="B155:B162" si="9">"2016-2575"</f>
        <v>2016-2575</v>
      </c>
      <c r="C155" s="2" t="s">
        <v>312</v>
      </c>
      <c r="D155" s="1" t="s">
        <v>313</v>
      </c>
      <c r="E155" s="3" t="str">
        <f>"2016/S 002-0025821"</f>
        <v>2016/S 002-0025821</v>
      </c>
      <c r="F155" s="2" t="s">
        <v>23</v>
      </c>
      <c r="G155" s="2" t="str">
        <f t="shared" ref="G155:G162" si="10">CONCATENATE("KING ICT D.O.O.,"," BUZINSKI PRILAZ 10,"," 10010 ZAGREB,"," OIB: 67001695549")</f>
        <v>KING ICT D.O.O., BUZINSKI PRILAZ 10, 10010 ZAGREB, OIB: 67001695549</v>
      </c>
      <c r="H155" s="4"/>
      <c r="I155" s="1" t="s">
        <v>314</v>
      </c>
      <c r="J155" s="1" t="s">
        <v>220</v>
      </c>
      <c r="K155" s="6" t="str">
        <f>"11.814.500,00"</f>
        <v>11.814.500,00</v>
      </c>
      <c r="L155" s="6" t="str">
        <f>"2.953.625,00"</f>
        <v>2.953.625,00</v>
      </c>
      <c r="M155" s="6" t="str">
        <f>"14.768.125,00"</f>
        <v>14.768.125,00</v>
      </c>
      <c r="N155" s="7"/>
      <c r="O155" s="7"/>
      <c r="P155" s="6" t="str">
        <f>""</f>
        <v/>
      </c>
      <c r="Q155" s="7"/>
      <c r="R155" s="1"/>
      <c r="S155" s="1" t="str">
        <f>"NOS-152/16"</f>
        <v>NOS-152/16</v>
      </c>
      <c r="T155" s="2" t="s">
        <v>281</v>
      </c>
    </row>
    <row r="156" spans="1:20" ht="25.5" x14ac:dyDescent="0.25">
      <c r="A156" s="1">
        <v>152</v>
      </c>
      <c r="B156" s="1" t="str">
        <f t="shared" si="9"/>
        <v>2016-2575</v>
      </c>
      <c r="C156" s="2" t="s">
        <v>312</v>
      </c>
      <c r="D156" s="1" t="s">
        <v>313</v>
      </c>
      <c r="E156" s="3" t="str">
        <f>""</f>
        <v/>
      </c>
      <c r="F156" s="2" t="s">
        <v>27</v>
      </c>
      <c r="G156" s="2" t="str">
        <f t="shared" si="10"/>
        <v>KING ICT D.O.O., BUZINSKI PRILAZ 10, 10010 ZAGREB, OIB: 67001695549</v>
      </c>
      <c r="H156" s="4"/>
      <c r="I156" s="1" t="s">
        <v>315</v>
      </c>
      <c r="J156" s="1" t="s">
        <v>74</v>
      </c>
      <c r="K156" s="6" t="str">
        <f>"1.355.928,70"</f>
        <v>1.355.928,70</v>
      </c>
      <c r="L156" s="6" t="str">
        <f>"338.982,18"</f>
        <v>338.982,18</v>
      </c>
      <c r="M156" s="6" t="str">
        <f>"1.694.910,88"</f>
        <v>1.694.910,88</v>
      </c>
      <c r="N156" s="5">
        <v>43473</v>
      </c>
      <c r="O156" s="7"/>
      <c r="P156" s="6" t="str">
        <f>"1.694.910,88"</f>
        <v>1.694.910,88</v>
      </c>
      <c r="Q156" s="7"/>
      <c r="R156" s="1"/>
      <c r="S156" s="1" t="str">
        <f>"6-18/NOS-152/16"</f>
        <v>6-18/NOS-152/16</v>
      </c>
      <c r="T156" s="2" t="s">
        <v>33</v>
      </c>
    </row>
    <row r="157" spans="1:20" ht="51" x14ac:dyDescent="0.25">
      <c r="A157" s="1">
        <v>153</v>
      </c>
      <c r="B157" s="1" t="str">
        <f t="shared" si="9"/>
        <v>2016-2575</v>
      </c>
      <c r="C157" s="2" t="s">
        <v>316</v>
      </c>
      <c r="D157" s="1" t="s">
        <v>313</v>
      </c>
      <c r="E157" s="3" t="str">
        <f>""</f>
        <v/>
      </c>
      <c r="F157" s="2" t="s">
        <v>52</v>
      </c>
      <c r="G157" s="2" t="str">
        <f t="shared" si="10"/>
        <v>KING ICT D.O.O., BUZINSKI PRILAZ 10, 10010 ZAGREB, OIB: 67001695549</v>
      </c>
      <c r="H157" s="4"/>
      <c r="I157" s="1" t="s">
        <v>317</v>
      </c>
      <c r="J157" s="1" t="s">
        <v>74</v>
      </c>
      <c r="K157" s="6" t="str">
        <f>"135.385,98"</f>
        <v>135.385,98</v>
      </c>
      <c r="L157" s="6" t="str">
        <f>"33.846,50"</f>
        <v>33.846,50</v>
      </c>
      <c r="M157" s="6" t="str">
        <f>"169.232,48"</f>
        <v>169.232,48</v>
      </c>
      <c r="N157" s="5">
        <v>43684</v>
      </c>
      <c r="O157" s="7"/>
      <c r="P157" s="6" t="str">
        <f>"169.232,48"</f>
        <v>169.232,48</v>
      </c>
      <c r="Q157" s="7"/>
      <c r="R157" s="1"/>
      <c r="S157" s="1" t="str">
        <f>"6-18/NOS-152/16#1"</f>
        <v>6-18/NOS-152/16#1</v>
      </c>
      <c r="T157" s="2" t="s">
        <v>33</v>
      </c>
    </row>
    <row r="158" spans="1:20" ht="25.5" x14ac:dyDescent="0.25">
      <c r="A158" s="1">
        <v>154</v>
      </c>
      <c r="B158" s="1" t="str">
        <f t="shared" si="9"/>
        <v>2016-2575</v>
      </c>
      <c r="C158" s="2" t="s">
        <v>312</v>
      </c>
      <c r="D158" s="4"/>
      <c r="E158" s="3" t="str">
        <f>""</f>
        <v/>
      </c>
      <c r="F158" s="2" t="s">
        <v>27</v>
      </c>
      <c r="G158" s="2" t="str">
        <f t="shared" si="10"/>
        <v>KING ICT D.O.O., BUZINSKI PRILAZ 10, 10010 ZAGREB, OIB: 67001695549</v>
      </c>
      <c r="H158" s="4"/>
      <c r="I158" s="1" t="s">
        <v>318</v>
      </c>
      <c r="J158" s="1" t="s">
        <v>45</v>
      </c>
      <c r="K158" s="6" t="str">
        <f>"496.458,54"</f>
        <v>496.458,54</v>
      </c>
      <c r="L158" s="6" t="str">
        <f>"124.114,64"</f>
        <v>124.114,64</v>
      </c>
      <c r="M158" s="6" t="str">
        <f>"620.573,18"</f>
        <v>620.573,18</v>
      </c>
      <c r="N158" s="5">
        <v>43633</v>
      </c>
      <c r="O158" s="7"/>
      <c r="P158" s="6" t="str">
        <f>"620.573,18"</f>
        <v>620.573,18</v>
      </c>
      <c r="Q158" s="7"/>
      <c r="R158" s="1"/>
      <c r="S158" s="1" t="str">
        <f>"1-19/NOS-152/16"</f>
        <v>1-19/NOS-152/16</v>
      </c>
      <c r="T158" s="2" t="s">
        <v>33</v>
      </c>
    </row>
    <row r="159" spans="1:20" ht="25.5" x14ac:dyDescent="0.25">
      <c r="A159" s="1">
        <v>155</v>
      </c>
      <c r="B159" s="1" t="str">
        <f t="shared" si="9"/>
        <v>2016-2575</v>
      </c>
      <c r="C159" s="2" t="s">
        <v>312</v>
      </c>
      <c r="D159" s="1" t="s">
        <v>313</v>
      </c>
      <c r="E159" s="3" t="str">
        <f>""</f>
        <v/>
      </c>
      <c r="F159" s="2" t="s">
        <v>27</v>
      </c>
      <c r="G159" s="2" t="str">
        <f t="shared" si="10"/>
        <v>KING ICT D.O.O., BUZINSKI PRILAZ 10, 10010 ZAGREB, OIB: 67001695549</v>
      </c>
      <c r="H159" s="4"/>
      <c r="I159" s="1" t="s">
        <v>319</v>
      </c>
      <c r="J159" s="1" t="s">
        <v>45</v>
      </c>
      <c r="K159" s="6" t="str">
        <f>"-649.179,92"</f>
        <v>-649.179,92</v>
      </c>
      <c r="L159" s="6" t="str">
        <f>"-162.294,98"</f>
        <v>-162.294,98</v>
      </c>
      <c r="M159" s="6" t="str">
        <f>"-811.474,90"</f>
        <v>-811.474,90</v>
      </c>
      <c r="N159" s="5">
        <v>43684</v>
      </c>
      <c r="O159" s="7"/>
      <c r="P159" s="6" t="str">
        <f>""</f>
        <v/>
      </c>
      <c r="Q159" s="7"/>
      <c r="R159" s="1"/>
      <c r="S159" s="1" t="str">
        <f>"3-19/NOS-152/16-ANEX"</f>
        <v>3-19/NOS-152/16-ANEX</v>
      </c>
      <c r="T159" s="2" t="s">
        <v>33</v>
      </c>
    </row>
    <row r="160" spans="1:20" ht="25.5" x14ac:dyDescent="0.25">
      <c r="A160" s="1">
        <v>156</v>
      </c>
      <c r="B160" s="1" t="str">
        <f t="shared" si="9"/>
        <v>2016-2575</v>
      </c>
      <c r="C160" s="2" t="s">
        <v>312</v>
      </c>
      <c r="D160" s="1" t="s">
        <v>313</v>
      </c>
      <c r="E160" s="3" t="str">
        <f>""</f>
        <v/>
      </c>
      <c r="F160" s="2" t="s">
        <v>27</v>
      </c>
      <c r="G160" s="2" t="str">
        <f t="shared" si="10"/>
        <v>KING ICT D.O.O., BUZINSKI PRILAZ 10, 10010 ZAGREB, OIB: 67001695549</v>
      </c>
      <c r="H160" s="4"/>
      <c r="I160" s="1" t="s">
        <v>320</v>
      </c>
      <c r="J160" s="1" t="s">
        <v>221</v>
      </c>
      <c r="K160" s="6" t="str">
        <f>"869.211,08"</f>
        <v>869.211,08</v>
      </c>
      <c r="L160" s="6" t="str">
        <f>"217.302,77"</f>
        <v>217.302,77</v>
      </c>
      <c r="M160" s="6" t="str">
        <f>"1.086.513,85"</f>
        <v>1.086.513,85</v>
      </c>
      <c r="N160" s="5">
        <v>43684</v>
      </c>
      <c r="O160" s="7"/>
      <c r="P160" s="6" t="str">
        <f>"197.684,65"</f>
        <v>197.684,65</v>
      </c>
      <c r="Q160" s="7"/>
      <c r="R160" s="1"/>
      <c r="S160" s="1" t="str">
        <f>"3-19/NOS-152/16"</f>
        <v>3-19/NOS-152/16</v>
      </c>
      <c r="T160" s="2" t="s">
        <v>33</v>
      </c>
    </row>
    <row r="161" spans="1:20" ht="25.5" x14ac:dyDescent="0.25">
      <c r="A161" s="1">
        <v>157</v>
      </c>
      <c r="B161" s="1" t="str">
        <f t="shared" si="9"/>
        <v>2016-2575</v>
      </c>
      <c r="C161" s="2" t="s">
        <v>312</v>
      </c>
      <c r="D161" s="4"/>
      <c r="E161" s="3" t="str">
        <f>""</f>
        <v/>
      </c>
      <c r="F161" s="2" t="s">
        <v>27</v>
      </c>
      <c r="G161" s="2" t="str">
        <f t="shared" si="10"/>
        <v>KING ICT D.O.O., BUZINSKI PRILAZ 10, 10010 ZAGREB, OIB: 67001695549</v>
      </c>
      <c r="H161" s="4"/>
      <c r="I161" s="1" t="s">
        <v>321</v>
      </c>
      <c r="J161" s="1" t="s">
        <v>28</v>
      </c>
      <c r="K161" s="6" t="str">
        <f>"484.961,44"</f>
        <v>484.961,44</v>
      </c>
      <c r="L161" s="6" t="str">
        <f>"121.240,36"</f>
        <v>121.240,36</v>
      </c>
      <c r="M161" s="6" t="str">
        <f>"606.201,80"</f>
        <v>606.201,80</v>
      </c>
      <c r="N161" s="5">
        <v>43705</v>
      </c>
      <c r="O161" s="7"/>
      <c r="P161" s="6" t="str">
        <f>"606.201,80"</f>
        <v>606.201,80</v>
      </c>
      <c r="Q161" s="7"/>
      <c r="R161" s="1"/>
      <c r="S161" s="1" t="str">
        <f>"4-19/NOS-152/16"</f>
        <v>4-19/NOS-152/16</v>
      </c>
      <c r="T161" s="2" t="s">
        <v>29</v>
      </c>
    </row>
    <row r="162" spans="1:20" ht="25.5" x14ac:dyDescent="0.25">
      <c r="A162" s="1">
        <v>158</v>
      </c>
      <c r="B162" s="1" t="str">
        <f t="shared" si="9"/>
        <v>2016-2575</v>
      </c>
      <c r="C162" s="2" t="s">
        <v>312</v>
      </c>
      <c r="D162" s="1" t="s">
        <v>313</v>
      </c>
      <c r="E162" s="3" t="str">
        <f>""</f>
        <v/>
      </c>
      <c r="F162" s="2" t="s">
        <v>27</v>
      </c>
      <c r="G162" s="2" t="str">
        <f t="shared" si="10"/>
        <v>KING ICT D.O.O., BUZINSKI PRILAZ 10, 10010 ZAGREB, OIB: 67001695549</v>
      </c>
      <c r="H162" s="4"/>
      <c r="I162" s="1" t="s">
        <v>322</v>
      </c>
      <c r="J162" s="1" t="s">
        <v>323</v>
      </c>
      <c r="K162" s="6" t="str">
        <f>"56.249,13"</f>
        <v>56.249,13</v>
      </c>
      <c r="L162" s="6" t="str">
        <f>"14.062,28"</f>
        <v>14.062,28</v>
      </c>
      <c r="M162" s="6" t="str">
        <f>"70.311,41"</f>
        <v>70.311,41</v>
      </c>
      <c r="N162" s="5">
        <v>43601</v>
      </c>
      <c r="O162" s="7"/>
      <c r="P162" s="6" t="str">
        <f>"70.311,41"</f>
        <v>70.311,41</v>
      </c>
      <c r="Q162" s="7"/>
      <c r="R162" s="1"/>
      <c r="S162" s="1" t="str">
        <f>"5-19/NOS-152/16"</f>
        <v>5-19/NOS-152/16</v>
      </c>
      <c r="T162" s="2" t="s">
        <v>60</v>
      </c>
    </row>
    <row r="163" spans="1:20" ht="38.25" x14ac:dyDescent="0.25">
      <c r="A163" s="1">
        <v>159</v>
      </c>
      <c r="B163" s="1" t="str">
        <f>"2016-3037"</f>
        <v>2016-3037</v>
      </c>
      <c r="C163" s="2" t="s">
        <v>324</v>
      </c>
      <c r="D163" s="1" t="s">
        <v>208</v>
      </c>
      <c r="E163" s="3" t="str">
        <f>" 2016/S 002-0024430"</f>
        <v xml:space="preserve"> 2016/S 002-0024430</v>
      </c>
      <c r="F163" s="2" t="s">
        <v>23</v>
      </c>
      <c r="G163" s="2" t="str">
        <f>CONCATENATE("RAMNES D.O.O.,"," OIB: 7602306637")</f>
        <v>RAMNES D.O.O., OIB: 7602306637</v>
      </c>
      <c r="H163" s="4"/>
      <c r="I163" s="1" t="s">
        <v>325</v>
      </c>
      <c r="J163" s="1" t="s">
        <v>42</v>
      </c>
      <c r="K163" s="6" t="str">
        <f>"1.500.000,00"</f>
        <v>1.500.000,00</v>
      </c>
      <c r="L163" s="6" t="str">
        <f>"375.000,00"</f>
        <v>375.000,00</v>
      </c>
      <c r="M163" s="6" t="str">
        <f>"1.875.000,00"</f>
        <v>1.875.000,00</v>
      </c>
      <c r="N163" s="7"/>
      <c r="O163" s="7"/>
      <c r="P163" s="6" t="str">
        <f>""</f>
        <v/>
      </c>
      <c r="Q163" s="7"/>
      <c r="R163" s="1"/>
      <c r="S163" s="1" t="str">
        <f>"NOS-153/16"</f>
        <v>NOS-153/16</v>
      </c>
      <c r="T163" s="2" t="s">
        <v>33</v>
      </c>
    </row>
    <row r="164" spans="1:20" ht="25.5" x14ac:dyDescent="0.25">
      <c r="A164" s="1">
        <v>160</v>
      </c>
      <c r="B164" s="1" t="str">
        <f>"2016-3037"</f>
        <v>2016-3037</v>
      </c>
      <c r="C164" s="2" t="s">
        <v>324</v>
      </c>
      <c r="D164" s="1" t="s">
        <v>208</v>
      </c>
      <c r="E164" s="3" t="str">
        <f>""</f>
        <v/>
      </c>
      <c r="F164" s="2" t="s">
        <v>27</v>
      </c>
      <c r="G164" s="2" t="str">
        <f>CONCATENATE("RAMNES D.O.O.,"," OIB: 7602306637")</f>
        <v>RAMNES D.O.O., OIB: 7602306637</v>
      </c>
      <c r="H164" s="4"/>
      <c r="I164" s="1" t="s">
        <v>264</v>
      </c>
      <c r="J164" s="1" t="s">
        <v>45</v>
      </c>
      <c r="K164" s="6" t="str">
        <f>"412.740,00"</f>
        <v>412.740,00</v>
      </c>
      <c r="L164" s="6" t="str">
        <f>"103.185,00"</f>
        <v>103.185,00</v>
      </c>
      <c r="M164" s="6" t="str">
        <f>"515.925,00"</f>
        <v>515.925,00</v>
      </c>
      <c r="N164" s="5">
        <v>43707</v>
      </c>
      <c r="O164" s="7"/>
      <c r="P164" s="6" t="str">
        <f>"133.350,00"</f>
        <v>133.350,00</v>
      </c>
      <c r="Q164" s="7"/>
      <c r="R164" s="1"/>
      <c r="S164" s="1" t="str">
        <f>"1-19/NOS-153/16"</f>
        <v>1-19/NOS-153/16</v>
      </c>
      <c r="T164" s="2" t="s">
        <v>33</v>
      </c>
    </row>
    <row r="165" spans="1:20" ht="25.5" x14ac:dyDescent="0.25">
      <c r="A165" s="1">
        <v>161</v>
      </c>
      <c r="B165" s="1" t="str">
        <f>"2016-3037"</f>
        <v>2016-3037</v>
      </c>
      <c r="C165" s="2" t="s">
        <v>324</v>
      </c>
      <c r="D165" s="1" t="s">
        <v>208</v>
      </c>
      <c r="E165" s="3" t="str">
        <f>""</f>
        <v/>
      </c>
      <c r="F165" s="2" t="s">
        <v>27</v>
      </c>
      <c r="G165" s="2" t="str">
        <f>CONCATENATE("RAMNES D.O.O.,"," OIB: 7602306637")</f>
        <v>RAMNES D.O.O., OIB: 7602306637</v>
      </c>
      <c r="H165" s="4"/>
      <c r="I165" s="1" t="s">
        <v>200</v>
      </c>
      <c r="J165" s="1" t="s">
        <v>140</v>
      </c>
      <c r="K165" s="6" t="str">
        <f>"218.900,00"</f>
        <v>218.900,00</v>
      </c>
      <c r="L165" s="6" t="str">
        <f>"54.725,00"</f>
        <v>54.725,00</v>
      </c>
      <c r="M165" s="6" t="str">
        <f>"273.625,00"</f>
        <v>273.625,00</v>
      </c>
      <c r="N165" s="5">
        <v>43664</v>
      </c>
      <c r="O165" s="7"/>
      <c r="P165" s="6" t="str">
        <f>"272.550,00"</f>
        <v>272.550,00</v>
      </c>
      <c r="Q165" s="7"/>
      <c r="R165" s="1"/>
      <c r="S165" s="1" t="str">
        <f>"13-18/NOS-153/16"</f>
        <v>13-18/NOS-153/16</v>
      </c>
      <c r="T165" s="2" t="s">
        <v>33</v>
      </c>
    </row>
    <row r="166" spans="1:20" ht="76.5" x14ac:dyDescent="0.25">
      <c r="A166" s="1">
        <v>162</v>
      </c>
      <c r="B166" s="1" t="str">
        <f>"2016-23"</f>
        <v>2016-23</v>
      </c>
      <c r="C166" s="2" t="s">
        <v>326</v>
      </c>
      <c r="D166" s="1" t="s">
        <v>327</v>
      </c>
      <c r="E166" s="3" t="str">
        <f>"2016/S 002-0028733"</f>
        <v>2016/S 002-0028733</v>
      </c>
      <c r="F166" s="2" t="s">
        <v>23</v>
      </c>
      <c r="G166" s="2" t="str">
        <f>CONCATENATE("GRADSKA PLINARA ZAGREB-OPSKRBA D.O.O.,"," RADNIČKA CESTA 1,"," 10000 ZAGREB,"," OIB: 74364571096")</f>
        <v>GRADSKA PLINARA ZAGREB-OPSKRBA D.O.O., RADNIČKA CESTA 1, 10000 ZAGREB, OIB: 74364571096</v>
      </c>
      <c r="H166" s="4"/>
      <c r="I166" s="1" t="s">
        <v>328</v>
      </c>
      <c r="J166" s="1" t="s">
        <v>329</v>
      </c>
      <c r="K166" s="6" t="str">
        <f>"48.700.000,00"</f>
        <v>48.700.000,00</v>
      </c>
      <c r="L166" s="6" t="str">
        <f>"12.175.000,00"</f>
        <v>12.175.000,00</v>
      </c>
      <c r="M166" s="6" t="str">
        <f>"60.875.000,00"</f>
        <v>60.875.000,00</v>
      </c>
      <c r="N166" s="7"/>
      <c r="O166" s="7"/>
      <c r="P166" s="6" t="str">
        <f>""</f>
        <v/>
      </c>
      <c r="Q166" s="7"/>
      <c r="R166" s="1"/>
      <c r="S166" s="1" t="str">
        <f>"NOS-154-ZGH/16"</f>
        <v>NOS-154-ZGH/16</v>
      </c>
      <c r="T166" s="2" t="s">
        <v>330</v>
      </c>
    </row>
    <row r="167" spans="1:20" ht="38.25" x14ac:dyDescent="0.25">
      <c r="A167" s="1">
        <v>163</v>
      </c>
      <c r="B167" s="1" t="str">
        <f>"2016-23"</f>
        <v>2016-23</v>
      </c>
      <c r="C167" s="2" t="s">
        <v>326</v>
      </c>
      <c r="D167" s="1" t="s">
        <v>327</v>
      </c>
      <c r="E167" s="3" t="str">
        <f>""</f>
        <v/>
      </c>
      <c r="F167" s="2" t="s">
        <v>27</v>
      </c>
      <c r="G167" s="2" t="str">
        <f>CONCATENATE("GRADSKA PLINARA ZAGREB-OPSKRBA D.O.O.,"," RADNIČKA CESTA 1,"," 10000 ZAGREB,"," OIB: 74364571096")</f>
        <v>GRADSKA PLINARA ZAGREB-OPSKRBA D.O.O., RADNIČKA CESTA 1, 10000 ZAGREB, OIB: 74364571096</v>
      </c>
      <c r="H167" s="4"/>
      <c r="I167" s="1" t="s">
        <v>331</v>
      </c>
      <c r="J167" s="1" t="s">
        <v>64</v>
      </c>
      <c r="K167" s="6" t="str">
        <f>"5.979.025,57"</f>
        <v>5.979.025,57</v>
      </c>
      <c r="L167" s="6" t="str">
        <f>"1.494.756,39"</f>
        <v>1.494.756,39</v>
      </c>
      <c r="M167" s="6" t="str">
        <f>"7.473.781,96"</f>
        <v>7.473.781,96</v>
      </c>
      <c r="N167" s="5">
        <v>43690</v>
      </c>
      <c r="O167" s="7"/>
      <c r="P167" s="6" t="str">
        <f>"3.968.615,46"</f>
        <v>3.968.615,46</v>
      </c>
      <c r="Q167" s="7"/>
      <c r="R167" s="1"/>
      <c r="S167" s="1" t="str">
        <f>"4-18/NOS-154-ZGH/16"</f>
        <v>4-18/NOS-154-ZGH/16</v>
      </c>
      <c r="T167" s="2" t="s">
        <v>33</v>
      </c>
    </row>
    <row r="168" spans="1:20" ht="38.25" x14ac:dyDescent="0.25">
      <c r="A168" s="1">
        <v>164</v>
      </c>
      <c r="B168" s="1" t="str">
        <f>"2016-23"</f>
        <v>2016-23</v>
      </c>
      <c r="C168" s="2" t="s">
        <v>326</v>
      </c>
      <c r="D168" s="1" t="s">
        <v>327</v>
      </c>
      <c r="E168" s="3" t="str">
        <f>""</f>
        <v/>
      </c>
      <c r="F168" s="2" t="s">
        <v>27</v>
      </c>
      <c r="G168" s="2" t="str">
        <f>CONCATENATE("GRADSKA PLINARA ZAGREB-OPSKRBA D.O.O.,"," RADNIČKA CESTA 1,"," 10000 ZAGREB,"," OIB: 74364571096")</f>
        <v>GRADSKA PLINARA ZAGREB-OPSKRBA D.O.O., RADNIČKA CESTA 1, 10000 ZAGREB, OIB: 74364571096</v>
      </c>
      <c r="H168" s="4"/>
      <c r="I168" s="1" t="s">
        <v>332</v>
      </c>
      <c r="J168" s="1" t="s">
        <v>333</v>
      </c>
      <c r="K168" s="6" t="str">
        <f>"6.959.538,46"</f>
        <v>6.959.538,46</v>
      </c>
      <c r="L168" s="6" t="str">
        <f>"1.739.884,62"</f>
        <v>1.739.884,62</v>
      </c>
      <c r="M168" s="6" t="str">
        <f>"8.699.423,08"</f>
        <v>8.699.423,08</v>
      </c>
      <c r="N168" s="5">
        <v>43713</v>
      </c>
      <c r="O168" s="7"/>
      <c r="P168" s="6" t="str">
        <f>"548.102,28"</f>
        <v>548.102,28</v>
      </c>
      <c r="Q168" s="7"/>
      <c r="R168" s="1"/>
      <c r="S168" s="1" t="str">
        <f>"1-19/NOS-154-ZGH/16"</f>
        <v>1-19/NOS-154-ZGH/16</v>
      </c>
      <c r="T168" s="2" t="s">
        <v>33</v>
      </c>
    </row>
    <row r="169" spans="1:20" ht="38.25" x14ac:dyDescent="0.25">
      <c r="A169" s="1">
        <v>165</v>
      </c>
      <c r="B169" s="1" t="str">
        <f>"2016-23"</f>
        <v>2016-23</v>
      </c>
      <c r="C169" s="2" t="s">
        <v>326</v>
      </c>
      <c r="D169" s="4"/>
      <c r="E169" s="3" t="str">
        <f>""</f>
        <v/>
      </c>
      <c r="F169" s="2" t="s">
        <v>27</v>
      </c>
      <c r="G169" s="2" t="str">
        <f>CONCATENATE("GRADSKA PLINARA ZAGREB-OPSKRBA D.O.O.,"," RADNIČKA CESTA 1,"," 10000 ZAGREB,"," OIB: 74364571096")</f>
        <v>GRADSKA PLINARA ZAGREB-OPSKRBA D.O.O., RADNIČKA CESTA 1, 10000 ZAGREB, OIB: 74364571096</v>
      </c>
      <c r="H169" s="4"/>
      <c r="I169" s="1" t="s">
        <v>320</v>
      </c>
      <c r="J169" s="1" t="s">
        <v>45</v>
      </c>
      <c r="K169" s="6" t="str">
        <f>"19.997,20"</f>
        <v>19.997,20</v>
      </c>
      <c r="L169" s="6" t="str">
        <f>"4.999,30"</f>
        <v>4.999,30</v>
      </c>
      <c r="M169" s="6" t="str">
        <f>"24.996,50"</f>
        <v>24.996,50</v>
      </c>
      <c r="N169" s="5">
        <v>43658</v>
      </c>
      <c r="O169" s="7"/>
      <c r="P169" s="6" t="str">
        <f>"3.554,48"</f>
        <v>3.554,48</v>
      </c>
      <c r="Q169" s="7"/>
      <c r="R169" s="1"/>
      <c r="S169" s="1" t="str">
        <f>"2-19/NOS-154-ZGH/16"</f>
        <v>2-19/NOS-154-ZGH/16</v>
      </c>
      <c r="T169" s="2" t="s">
        <v>112</v>
      </c>
    </row>
    <row r="170" spans="1:20" ht="38.25" x14ac:dyDescent="0.25">
      <c r="A170" s="1">
        <v>166</v>
      </c>
      <c r="B170" s="1" t="str">
        <f>"2016-23"</f>
        <v>2016-23</v>
      </c>
      <c r="C170" s="2" t="s">
        <v>326</v>
      </c>
      <c r="D170" s="4"/>
      <c r="E170" s="3" t="str">
        <f>""</f>
        <v/>
      </c>
      <c r="F170" s="2" t="s">
        <v>27</v>
      </c>
      <c r="G170" s="2" t="str">
        <f>CONCATENATE("GRADSKA PLINARA ZAGREB-OPSKRBA D.O.O.,"," RADNIČKA CESTA 1,"," 10000 ZAGREB,"," OIB: 74364571096")</f>
        <v>GRADSKA PLINARA ZAGREB-OPSKRBA D.O.O., RADNIČKA CESTA 1, 10000 ZAGREB, OIB: 74364571096</v>
      </c>
      <c r="H170" s="4"/>
      <c r="I170" s="1" t="s">
        <v>334</v>
      </c>
      <c r="J170" s="1" t="s">
        <v>333</v>
      </c>
      <c r="K170" s="6" t="str">
        <f>"100.497,15"</f>
        <v>100.497,15</v>
      </c>
      <c r="L170" s="6" t="str">
        <f>"25.124,29"</f>
        <v>25.124,29</v>
      </c>
      <c r="M170" s="6" t="str">
        <f>"125.621,44"</f>
        <v>125.621,44</v>
      </c>
      <c r="N170" s="1" t="s">
        <v>117</v>
      </c>
      <c r="O170" s="7"/>
      <c r="P170" s="6" t="str">
        <f>""</f>
        <v/>
      </c>
      <c r="Q170" s="7"/>
      <c r="R170" s="1"/>
      <c r="S170" s="1" t="str">
        <f>"3-19/NOS-154-ZGH/16"</f>
        <v>3-19/NOS-154-ZGH/16</v>
      </c>
      <c r="T170" s="2" t="s">
        <v>29</v>
      </c>
    </row>
    <row r="171" spans="1:20" ht="76.5" x14ac:dyDescent="0.25">
      <c r="A171" s="1">
        <v>167</v>
      </c>
      <c r="B171" s="1" t="str">
        <f t="shared" ref="B171:B177" si="11">"2016-2267"</f>
        <v>2016-2267</v>
      </c>
      <c r="C171" s="2" t="s">
        <v>335</v>
      </c>
      <c r="D171" s="1" t="s">
        <v>336</v>
      </c>
      <c r="E171" s="3" t="str">
        <f>"2016/S 002-0015626"</f>
        <v>2016/S 002-0015626</v>
      </c>
      <c r="F171" s="2" t="s">
        <v>23</v>
      </c>
      <c r="G171" s="2" t="str">
        <f>CONCATENATE("GEOPROJEKT D.O.O.,"," V. RAVNICE 4,"," 10000 ZAGREB,"," OIB: 76669487635",CHAR(10),"GEODATA PROJEKT D.O.O.,"," VRISNIČKA 6,"," 10000 ZAGREB,"," OIB: 49281407435",CHAR(10),"LEMAX D.O.O.,"," VIII DALMATINSKE UDARNE BRIGA. 8,"," 22000 ŠIBENIK,"," OIB: 05099173092")</f>
        <v>GEOPROJEKT D.O.O., V. RAVNICE 4, 10000 ZAGREB, OIB: 76669487635
GEODATA PROJEKT D.O.O., VRISNIČKA 6, 10000 ZAGREB, OIB: 49281407435
LEMAX D.O.O., VIII DALMATINSKE UDARNE BRIGA. 8, 22000 ŠIBENIK, OIB: 05099173092</v>
      </c>
      <c r="H171" s="4"/>
      <c r="I171" s="1" t="s">
        <v>337</v>
      </c>
      <c r="J171" s="1" t="s">
        <v>321</v>
      </c>
      <c r="K171" s="6" t="str">
        <f>"2.478.560,00"</f>
        <v>2.478.560,00</v>
      </c>
      <c r="L171" s="6" t="str">
        <f>"619.640,00"</f>
        <v>619.640,00</v>
      </c>
      <c r="M171" s="6" t="str">
        <f>"3.098.200,00"</f>
        <v>3.098.200,00</v>
      </c>
      <c r="N171" s="7"/>
      <c r="O171" s="7"/>
      <c r="P171" s="6" t="str">
        <f>""</f>
        <v/>
      </c>
      <c r="Q171" s="7"/>
      <c r="R171" s="1"/>
      <c r="S171" s="1" t="str">
        <f>"NOS-155/16"</f>
        <v>NOS-155/16</v>
      </c>
      <c r="T171" s="2" t="s">
        <v>26</v>
      </c>
    </row>
    <row r="172" spans="1:20" ht="25.5" x14ac:dyDescent="0.25">
      <c r="A172" s="1">
        <v>168</v>
      </c>
      <c r="B172" s="1" t="str">
        <f t="shared" si="11"/>
        <v>2016-2267</v>
      </c>
      <c r="C172" s="2" t="s">
        <v>335</v>
      </c>
      <c r="D172" s="1" t="s">
        <v>336</v>
      </c>
      <c r="E172" s="3" t="str">
        <f>""</f>
        <v/>
      </c>
      <c r="F172" s="2" t="s">
        <v>27</v>
      </c>
      <c r="G172" s="2" t="str">
        <f>CONCATENATE("GEODATA PROJEKT D.O.O.,"," VRISNIČKA 6,"," 10000 ZAGREB,"," OIB: 49281407435")</f>
        <v>GEODATA PROJEKT D.O.O., VRISNIČKA 6, 10000 ZAGREB, OIB: 49281407435</v>
      </c>
      <c r="H172" s="4"/>
      <c r="I172" s="1" t="s">
        <v>175</v>
      </c>
      <c r="J172" s="1" t="s">
        <v>338</v>
      </c>
      <c r="K172" s="6" t="str">
        <f>"23.000,00"</f>
        <v>23.000,00</v>
      </c>
      <c r="L172" s="6" t="str">
        <f>"5.750,00"</f>
        <v>5.750,00</v>
      </c>
      <c r="M172" s="6" t="str">
        <f>"28.750,00"</f>
        <v>28.750,00</v>
      </c>
      <c r="N172" s="5">
        <v>43522</v>
      </c>
      <c r="O172" s="7"/>
      <c r="P172" s="6" t="str">
        <f>"28.750,00"</f>
        <v>28.750,00</v>
      </c>
      <c r="Q172" s="7"/>
      <c r="R172" s="1"/>
      <c r="S172" s="1" t="str">
        <f>"76-18/NOS-155/16"</f>
        <v>76-18/NOS-155/16</v>
      </c>
      <c r="T172" s="2" t="s">
        <v>29</v>
      </c>
    </row>
    <row r="173" spans="1:20" ht="25.5" x14ac:dyDescent="0.25">
      <c r="A173" s="1">
        <v>169</v>
      </c>
      <c r="B173" s="1" t="str">
        <f t="shared" si="11"/>
        <v>2016-2267</v>
      </c>
      <c r="C173" s="2" t="s">
        <v>335</v>
      </c>
      <c r="D173" s="1" t="s">
        <v>336</v>
      </c>
      <c r="E173" s="3" t="str">
        <f>""</f>
        <v/>
      </c>
      <c r="F173" s="2" t="s">
        <v>27</v>
      </c>
      <c r="G173" s="2" t="str">
        <f>CONCATENATE("GEODATA PROJEKT D.O.O.,"," VRISNIČKA 6,"," 10000 ZAGREB,"," OIB: 49281407435")</f>
        <v>GEODATA PROJEKT D.O.O., VRISNIČKA 6, 10000 ZAGREB, OIB: 49281407435</v>
      </c>
      <c r="H173" s="4"/>
      <c r="I173" s="1" t="s">
        <v>339</v>
      </c>
      <c r="J173" s="1" t="s">
        <v>121</v>
      </c>
      <c r="K173" s="6" t="str">
        <f>"96.000,00"</f>
        <v>96.000,00</v>
      </c>
      <c r="L173" s="6" t="str">
        <f>"12.000,00"</f>
        <v>12.000,00</v>
      </c>
      <c r="M173" s="6" t="str">
        <f>"60.000,00"</f>
        <v>60.000,00</v>
      </c>
      <c r="N173" s="5">
        <v>43636</v>
      </c>
      <c r="O173" s="7"/>
      <c r="P173" s="6" t="str">
        <f>"60.000,00"</f>
        <v>60.000,00</v>
      </c>
      <c r="Q173" s="7"/>
      <c r="R173" s="1"/>
      <c r="S173" s="1" t="str">
        <f>"1-19/NOS-155/16"</f>
        <v>1-19/NOS-155/16</v>
      </c>
      <c r="T173" s="2" t="s">
        <v>33</v>
      </c>
    </row>
    <row r="174" spans="1:20" ht="25.5" x14ac:dyDescent="0.25">
      <c r="A174" s="1">
        <v>170</v>
      </c>
      <c r="B174" s="1" t="str">
        <f t="shared" si="11"/>
        <v>2016-2267</v>
      </c>
      <c r="C174" s="2" t="s">
        <v>335</v>
      </c>
      <c r="D174" s="1" t="s">
        <v>336</v>
      </c>
      <c r="E174" s="3" t="str">
        <f>""</f>
        <v/>
      </c>
      <c r="F174" s="2" t="s">
        <v>27</v>
      </c>
      <c r="G174" s="2" t="str">
        <f>CONCATENATE("LEMAX D.O.O.,"," VIII DALMATINSKE UDARNE BRIGA. 8,"," 22000 ŠIBENIK,"," OIB: 05099173092")</f>
        <v>LEMAX D.O.O., VIII DALMATINSKE UDARNE BRIGA. 8, 22000 ŠIBENIK, OIB: 05099173092</v>
      </c>
      <c r="H174" s="4"/>
      <c r="I174" s="1" t="s">
        <v>340</v>
      </c>
      <c r="J174" s="1" t="s">
        <v>341</v>
      </c>
      <c r="K174" s="6" t="str">
        <f>"14.900,00"</f>
        <v>14.900,00</v>
      </c>
      <c r="L174" s="6" t="str">
        <f>"0,00"</f>
        <v>0,00</v>
      </c>
      <c r="M174" s="6" t="str">
        <f>"0,00"</f>
        <v>0,00</v>
      </c>
      <c r="N174" s="1" t="s">
        <v>117</v>
      </c>
      <c r="O174" s="7"/>
      <c r="P174" s="6" t="str">
        <f>"0,00"</f>
        <v>0,00</v>
      </c>
      <c r="Q174" s="7"/>
      <c r="R174" s="1"/>
      <c r="S174" s="1" t="str">
        <f>"2-19/NOS-155/16"</f>
        <v>2-19/NOS-155/16</v>
      </c>
      <c r="T174" s="2" t="s">
        <v>29</v>
      </c>
    </row>
    <row r="175" spans="1:20" ht="25.5" x14ac:dyDescent="0.25">
      <c r="A175" s="1">
        <v>171</v>
      </c>
      <c r="B175" s="1" t="str">
        <f t="shared" si="11"/>
        <v>2016-2267</v>
      </c>
      <c r="C175" s="2" t="s">
        <v>335</v>
      </c>
      <c r="D175" s="1" t="s">
        <v>336</v>
      </c>
      <c r="E175" s="3" t="str">
        <f>""</f>
        <v/>
      </c>
      <c r="F175" s="2" t="s">
        <v>27</v>
      </c>
      <c r="G175" s="2" t="str">
        <f>CONCATENATE("LEMAX D.O.O.,"," VIII DALMATINSKE UDARNE BRIGA. 8,"," 22000 ŠIBENIK,"," OIB: 05099173092")</f>
        <v>LEMAX D.O.O., VIII DALMATINSKE UDARNE BRIGA. 8, 22000 ŠIBENIK, OIB: 05099173092</v>
      </c>
      <c r="H175" s="4"/>
      <c r="I175" s="1" t="s">
        <v>322</v>
      </c>
      <c r="J175" s="1" t="s">
        <v>342</v>
      </c>
      <c r="K175" s="6" t="str">
        <f>"14.900,00"</f>
        <v>14.900,00</v>
      </c>
      <c r="L175" s="6" t="str">
        <f>"0,00"</f>
        <v>0,00</v>
      </c>
      <c r="M175" s="6" t="str">
        <f>"0,00"</f>
        <v>0,00</v>
      </c>
      <c r="N175" s="1" t="s">
        <v>117</v>
      </c>
      <c r="O175" s="7"/>
      <c r="P175" s="6" t="str">
        <f>"0,00"</f>
        <v>0,00</v>
      </c>
      <c r="Q175" s="7"/>
      <c r="R175" s="1"/>
      <c r="S175" s="1" t="str">
        <f>"3-19/NOS-155/16"</f>
        <v>3-19/NOS-155/16</v>
      </c>
      <c r="T175" s="2" t="s">
        <v>29</v>
      </c>
    </row>
    <row r="176" spans="1:20" ht="25.5" x14ac:dyDescent="0.25">
      <c r="A176" s="1">
        <v>172</v>
      </c>
      <c r="B176" s="1" t="str">
        <f t="shared" si="11"/>
        <v>2016-2267</v>
      </c>
      <c r="C176" s="2" t="s">
        <v>335</v>
      </c>
      <c r="D176" s="1" t="s">
        <v>336</v>
      </c>
      <c r="E176" s="3" t="str">
        <f>""</f>
        <v/>
      </c>
      <c r="F176" s="2" t="s">
        <v>27</v>
      </c>
      <c r="G176" s="2" t="str">
        <f>CONCATENATE("LEMAX D.O.O.,"," VIII DALMATINSKE UDARNE BRIGA. 8,"," 22000 ŠIBENIK,"," OIB: 05099173092")</f>
        <v>LEMAX D.O.O., VIII DALMATINSKE UDARNE BRIGA. 8, 22000 ŠIBENIK, OIB: 05099173092</v>
      </c>
      <c r="H176" s="4"/>
      <c r="I176" s="1" t="s">
        <v>343</v>
      </c>
      <c r="J176" s="1" t="s">
        <v>303</v>
      </c>
      <c r="K176" s="6" t="str">
        <f>"4.200,00"</f>
        <v>4.200,00</v>
      </c>
      <c r="L176" s="6" t="str">
        <f>"1.050,00"</f>
        <v>1.050,00</v>
      </c>
      <c r="M176" s="6" t="str">
        <f>"5.250,00"</f>
        <v>5.250,00</v>
      </c>
      <c r="N176" s="5">
        <v>43616</v>
      </c>
      <c r="O176" s="7"/>
      <c r="P176" s="6" t="str">
        <f>"5.250,00"</f>
        <v>5.250,00</v>
      </c>
      <c r="Q176" s="7"/>
      <c r="R176" s="1"/>
      <c r="S176" s="1" t="str">
        <f>"4-19/NOS-155/16"</f>
        <v>4-19/NOS-155/16</v>
      </c>
      <c r="T176" s="2" t="s">
        <v>29</v>
      </c>
    </row>
    <row r="177" spans="1:20" ht="25.5" x14ac:dyDescent="0.25">
      <c r="A177" s="1">
        <v>173</v>
      </c>
      <c r="B177" s="1" t="str">
        <f t="shared" si="11"/>
        <v>2016-2267</v>
      </c>
      <c r="C177" s="2" t="s">
        <v>335</v>
      </c>
      <c r="D177" s="1" t="s">
        <v>336</v>
      </c>
      <c r="E177" s="3" t="str">
        <f>""</f>
        <v/>
      </c>
      <c r="F177" s="2" t="s">
        <v>27</v>
      </c>
      <c r="G177" s="2" t="str">
        <f>CONCATENATE("LEMAX D.O.O.,"," VIII DALMATINSKE UDARNE BRIGA. 8,"," 22000 ŠIBENIK,"," OIB: 05099173092")</f>
        <v>LEMAX D.O.O., VIII DALMATINSKE UDARNE BRIGA. 8, 22000 ŠIBENIK, OIB: 05099173092</v>
      </c>
      <c r="H177" s="4"/>
      <c r="I177" s="1" t="s">
        <v>344</v>
      </c>
      <c r="J177" s="1" t="s">
        <v>345</v>
      </c>
      <c r="K177" s="6" t="str">
        <f>"4.200,00"</f>
        <v>4.200,00</v>
      </c>
      <c r="L177" s="6" t="str">
        <f>"0,00"</f>
        <v>0,00</v>
      </c>
      <c r="M177" s="6" t="str">
        <f>"0,00"</f>
        <v>0,00</v>
      </c>
      <c r="N177" s="1" t="s">
        <v>117</v>
      </c>
      <c r="O177" s="7"/>
      <c r="P177" s="6" t="str">
        <f>"0,00"</f>
        <v>0,00</v>
      </c>
      <c r="Q177" s="7"/>
      <c r="R177" s="1"/>
      <c r="S177" s="1" t="str">
        <f>"5-19/NOS-155/16"</f>
        <v>5-19/NOS-155/16</v>
      </c>
      <c r="T177" s="2" t="s">
        <v>29</v>
      </c>
    </row>
    <row r="178" spans="1:20" ht="38.25" x14ac:dyDescent="0.25">
      <c r="A178" s="1">
        <v>174</v>
      </c>
      <c r="B178" s="1" t="str">
        <f>"2016-3180"</f>
        <v>2016-3180</v>
      </c>
      <c r="C178" s="2" t="s">
        <v>346</v>
      </c>
      <c r="D178" s="1" t="s">
        <v>347</v>
      </c>
      <c r="E178" s="3" t="str">
        <f>" 2016/S 002-0027880"</f>
        <v xml:space="preserve"> 2016/S 002-0027880</v>
      </c>
      <c r="F178" s="2" t="s">
        <v>23</v>
      </c>
      <c r="G178" s="2" t="str">
        <f>CONCATENATE("RO-TEHNOLOGIJA D.O.O.,"," NOVA CESTA 86,"," 51410 OPATIJA,"," OIB: 94757004774")</f>
        <v>RO-TEHNOLOGIJA D.O.O., NOVA CESTA 86, 51410 OPATIJA, OIB: 94757004774</v>
      </c>
      <c r="H178" s="4"/>
      <c r="I178" s="1" t="s">
        <v>337</v>
      </c>
      <c r="J178" s="1" t="s">
        <v>321</v>
      </c>
      <c r="K178" s="6" t="str">
        <f>"500.000,00"</f>
        <v>500.000,00</v>
      </c>
      <c r="L178" s="6" t="str">
        <f>"125.000,00"</f>
        <v>125.000,00</v>
      </c>
      <c r="M178" s="6" t="str">
        <f>"625.000,00"</f>
        <v>625.000,00</v>
      </c>
      <c r="N178" s="7"/>
      <c r="O178" s="7"/>
      <c r="P178" s="6" t="str">
        <f>""</f>
        <v/>
      </c>
      <c r="Q178" s="7"/>
      <c r="R178" s="1"/>
      <c r="S178" s="1" t="str">
        <f>"NOS-156/16"</f>
        <v>NOS-156/16</v>
      </c>
      <c r="T178" s="2" t="s">
        <v>33</v>
      </c>
    </row>
    <row r="179" spans="1:20" ht="38.25" x14ac:dyDescent="0.25">
      <c r="A179" s="1">
        <v>175</v>
      </c>
      <c r="B179" s="1" t="str">
        <f>"2016-2833"</f>
        <v>2016-2833</v>
      </c>
      <c r="C179" s="2" t="s">
        <v>348</v>
      </c>
      <c r="D179" s="1" t="s">
        <v>35</v>
      </c>
      <c r="E179" s="3" t="str">
        <f>" 2016/S 014-0020025"</f>
        <v xml:space="preserve"> 2016/S 014-0020025</v>
      </c>
      <c r="F179" s="2" t="s">
        <v>23</v>
      </c>
      <c r="G179" s="2" t="str">
        <f>CONCATENATE("KAMING D.D.,"," ZAGORSKA 1,"," 42222 LJUBEŠĆICA,"," OIB: 15834377307")</f>
        <v>KAMING D.D., ZAGORSKA 1, 42222 LJUBEŠĆICA, OIB: 15834377307</v>
      </c>
      <c r="H179" s="4"/>
      <c r="I179" s="1" t="s">
        <v>349</v>
      </c>
      <c r="J179" s="1" t="s">
        <v>350</v>
      </c>
      <c r="K179" s="6" t="str">
        <f>"10.000.000,00"</f>
        <v>10.000.000,00</v>
      </c>
      <c r="L179" s="6" t="str">
        <f>"2.500.000,00"</f>
        <v>2.500.000,00</v>
      </c>
      <c r="M179" s="6" t="str">
        <f>"12.500.000,00"</f>
        <v>12.500.000,00</v>
      </c>
      <c r="N179" s="7"/>
      <c r="O179" s="7"/>
      <c r="P179" s="6" t="str">
        <f>""</f>
        <v/>
      </c>
      <c r="Q179" s="7"/>
      <c r="R179" s="1"/>
      <c r="S179" s="1" t="str">
        <f>"NOS-157/16"</f>
        <v>NOS-157/16</v>
      </c>
      <c r="T179" s="2" t="s">
        <v>33</v>
      </c>
    </row>
    <row r="180" spans="1:20" ht="25.5" x14ac:dyDescent="0.25">
      <c r="A180" s="1">
        <v>176</v>
      </c>
      <c r="B180" s="1" t="str">
        <f>"2016-2833"</f>
        <v>2016-2833</v>
      </c>
      <c r="C180" s="2" t="s">
        <v>348</v>
      </c>
      <c r="D180" s="1" t="s">
        <v>35</v>
      </c>
      <c r="E180" s="3" t="str">
        <f>""</f>
        <v/>
      </c>
      <c r="F180" s="2" t="s">
        <v>27</v>
      </c>
      <c r="G180" s="2" t="str">
        <f>CONCATENATE("KAMING D.D.,"," ZAGORSKA 1,"," 42222 LJUBEŠĆICA,"," OIB: 15834377307")</f>
        <v>KAMING D.D., ZAGORSKA 1, 42222 LJUBEŠĆICA, OIB: 15834377307</v>
      </c>
      <c r="H180" s="4"/>
      <c r="I180" s="1" t="s">
        <v>351</v>
      </c>
      <c r="J180" s="1" t="s">
        <v>45</v>
      </c>
      <c r="K180" s="6" t="str">
        <f>"4.258.500,00"</f>
        <v>4.258.500,00</v>
      </c>
      <c r="L180" s="6" t="str">
        <f>"1.064.625,00"</f>
        <v>1.064.625,00</v>
      </c>
      <c r="M180" s="6" t="str">
        <f>"5.323.125,00"</f>
        <v>5.323.125,00</v>
      </c>
      <c r="N180" s="5">
        <v>43683</v>
      </c>
      <c r="O180" s="7"/>
      <c r="P180" s="6" t="str">
        <f>"1.963.680,10"</f>
        <v>1.963.680,10</v>
      </c>
      <c r="Q180" s="7"/>
      <c r="R180" s="1"/>
      <c r="S180" s="1" t="str">
        <f>"1-19/NOS-157/16"</f>
        <v>1-19/NOS-157/16</v>
      </c>
      <c r="T180" s="2" t="s">
        <v>33</v>
      </c>
    </row>
    <row r="181" spans="1:20" ht="76.5" x14ac:dyDescent="0.25">
      <c r="A181" s="1">
        <v>177</v>
      </c>
      <c r="B181" s="1" t="str">
        <f>"2016-3042"</f>
        <v>2016-3042</v>
      </c>
      <c r="C181" s="2" t="s">
        <v>352</v>
      </c>
      <c r="D181" s="1" t="s">
        <v>353</v>
      </c>
      <c r="E181" s="3" t="str">
        <f>"2016/S 002-0028940"</f>
        <v>2016/S 002-0028940</v>
      </c>
      <c r="F181" s="2" t="s">
        <v>23</v>
      </c>
      <c r="G181" s="2" t="str">
        <f>CONCATENATE("DOMEL D.O.O.,"," AVENIJA DUBROVNIK 15,"," 10020 ZAGREB,"," OIB: 64248857700",CHAR(10),"GRADITELJ SVRATIŠTA D.O.O.,"," IVANA ČESMIČKOG 16,"," 10000 ZAGREB,"," OIB: 52044657571",CHAR(10),"ASES USLUGE D.O.O.,"," OIB: 28315107902")</f>
        <v>DOMEL D.O.O., AVENIJA DUBROVNIK 15, 10020 ZAGREB, OIB: 64248857700
GRADITELJ SVRATIŠTA D.O.O., IVANA ČESMIČKOG 16, 10000 ZAGREB, OIB: 52044657571
ASES USLUGE D.O.O., OIB: 28315107902</v>
      </c>
      <c r="H181" s="4"/>
      <c r="I181" s="1" t="s">
        <v>354</v>
      </c>
      <c r="J181" s="1" t="s">
        <v>355</v>
      </c>
      <c r="K181" s="6" t="str">
        <f>"2.192.455,00"</f>
        <v>2.192.455,00</v>
      </c>
      <c r="L181" s="6" t="str">
        <f>"548.113,75"</f>
        <v>548.113,75</v>
      </c>
      <c r="M181" s="6" t="str">
        <f>"2.740.568,75"</f>
        <v>2.740.568,75</v>
      </c>
      <c r="N181" s="7"/>
      <c r="O181" s="7"/>
      <c r="P181" s="6" t="str">
        <f>""</f>
        <v/>
      </c>
      <c r="Q181" s="7"/>
      <c r="R181" s="1"/>
      <c r="S181" s="1" t="str">
        <f>"NOS-158-A/16"</f>
        <v>NOS-158-A/16</v>
      </c>
      <c r="T181" s="2" t="s">
        <v>33</v>
      </c>
    </row>
    <row r="182" spans="1:20" ht="25.5" x14ac:dyDescent="0.25">
      <c r="A182" s="1">
        <v>178</v>
      </c>
      <c r="B182" s="1" t="str">
        <f>"2016-3042"</f>
        <v>2016-3042</v>
      </c>
      <c r="C182" s="2" t="s">
        <v>352</v>
      </c>
      <c r="D182" s="1" t="s">
        <v>353</v>
      </c>
      <c r="E182" s="3" t="str">
        <f>""</f>
        <v/>
      </c>
      <c r="F182" s="2" t="s">
        <v>27</v>
      </c>
      <c r="G182" s="2" t="str">
        <f>CONCATENATE("DOMEL D.O.O.,"," AVENIJA DUBROVNIK 15,"," 10020 ZAGREB,"," OIB: 642488577")</f>
        <v>DOMEL D.O.O., AVENIJA DUBROVNIK 15, 10020 ZAGREB, OIB: 642488577</v>
      </c>
      <c r="H182" s="4"/>
      <c r="I182" s="1" t="s">
        <v>240</v>
      </c>
      <c r="J182" s="1" t="s">
        <v>121</v>
      </c>
      <c r="K182" s="6" t="str">
        <f>"19.945,00"</f>
        <v>19.945,00</v>
      </c>
      <c r="L182" s="6" t="str">
        <f>"4.985,37"</f>
        <v>4.985,37</v>
      </c>
      <c r="M182" s="6" t="str">
        <f>"24.926,83"</f>
        <v>24.926,83</v>
      </c>
      <c r="N182" s="5">
        <v>43544</v>
      </c>
      <c r="O182" s="7"/>
      <c r="P182" s="6" t="str">
        <f>"24.926,82"</f>
        <v>24.926,82</v>
      </c>
      <c r="Q182" s="7"/>
      <c r="R182" s="1"/>
      <c r="S182" s="1" t="str">
        <f>"2-19/NOS-158-A/16"</f>
        <v>2-19/NOS-158-A/16</v>
      </c>
      <c r="T182" s="2" t="s">
        <v>33</v>
      </c>
    </row>
    <row r="183" spans="1:20" ht="63.75" x14ac:dyDescent="0.25">
      <c r="A183" s="1">
        <v>179</v>
      </c>
      <c r="B183" s="1" t="str">
        <f>"2016-3042"</f>
        <v>2016-3042</v>
      </c>
      <c r="C183" s="2" t="s">
        <v>352</v>
      </c>
      <c r="D183" s="1" t="s">
        <v>353</v>
      </c>
      <c r="E183" s="3" t="str">
        <f>"2016/S 002-0028940"</f>
        <v>2016/S 002-0028940</v>
      </c>
      <c r="F183" s="2" t="s">
        <v>23</v>
      </c>
      <c r="G183" s="2" t="str">
        <f>CONCATENATE("DOMEL D.O.O.,"," AVENIJA DUBROVNIK 15,"," 10020 ZAGREB,"," OIB: 64248857700",CHAR(10),"GRADITELJ SVRATIŠTA D.O.O.,"," IVANA ČESMIČKOG 16,"," 10000 ZAGREB,"," OIB: 5204465757")</f>
        <v>DOMEL D.O.O., AVENIJA DUBROVNIK 15, 10020 ZAGREB, OIB: 64248857700
GRADITELJ SVRATIŠTA D.O.O., IVANA ČESMIČKOG 16, 10000 ZAGREB, OIB: 5204465757</v>
      </c>
      <c r="H183" s="4"/>
      <c r="I183" s="1" t="s">
        <v>354</v>
      </c>
      <c r="J183" s="1" t="s">
        <v>355</v>
      </c>
      <c r="K183" s="6" t="str">
        <f>"25.000,00"</f>
        <v>25.000,00</v>
      </c>
      <c r="L183" s="6" t="str">
        <f>"6.250,00"</f>
        <v>6.250,00</v>
      </c>
      <c r="M183" s="6" t="str">
        <f>"31.250,00"</f>
        <v>31.250,00</v>
      </c>
      <c r="N183" s="7"/>
      <c r="O183" s="7"/>
      <c r="P183" s="6" t="str">
        <f>""</f>
        <v/>
      </c>
      <c r="Q183" s="7"/>
      <c r="R183" s="1"/>
      <c r="S183" s="1" t="str">
        <f>"NOS-158-B/16"</f>
        <v>NOS-158-B/16</v>
      </c>
      <c r="T183" s="2" t="s">
        <v>33</v>
      </c>
    </row>
    <row r="184" spans="1:20" ht="63.75" x14ac:dyDescent="0.25">
      <c r="A184" s="1">
        <v>180</v>
      </c>
      <c r="B184" s="1" t="str">
        <f>"2016-3042"</f>
        <v>2016-3042</v>
      </c>
      <c r="C184" s="2" t="s">
        <v>352</v>
      </c>
      <c r="D184" s="1" t="s">
        <v>353</v>
      </c>
      <c r="E184" s="3" t="str">
        <f>"2016/S 002-0028940"</f>
        <v>2016/S 002-0028940</v>
      </c>
      <c r="F184" s="2" t="s">
        <v>23</v>
      </c>
      <c r="G184" s="2" t="str">
        <f>CONCATENATE("DOMEL D.O.O.,"," AVENIJA DUBROVNIK 15,"," 10020 ZAGREB,"," OIB: 64248857700",CHAR(10),"GRADITELJ SVRATIŠTA D.O.O.,"," IVANA ČESMIČKOG 16,"," 10000 ZAGREB,"," OIB: 5204465757")</f>
        <v>DOMEL D.O.O., AVENIJA DUBROVNIK 15, 10020 ZAGREB, OIB: 64248857700
GRADITELJ SVRATIŠTA D.O.O., IVANA ČESMIČKOG 16, 10000 ZAGREB, OIB: 5204465757</v>
      </c>
      <c r="H184" s="4"/>
      <c r="I184" s="1" t="s">
        <v>354</v>
      </c>
      <c r="J184" s="1" t="s">
        <v>355</v>
      </c>
      <c r="K184" s="6" t="str">
        <f>"25.000,00"</f>
        <v>25.000,00</v>
      </c>
      <c r="L184" s="6" t="str">
        <f>"6.250,00"</f>
        <v>6.250,00</v>
      </c>
      <c r="M184" s="6" t="str">
        <f>"31.250,00"</f>
        <v>31.250,00</v>
      </c>
      <c r="N184" s="7"/>
      <c r="O184" s="7"/>
      <c r="P184" s="6" t="str">
        <f>""</f>
        <v/>
      </c>
      <c r="Q184" s="7"/>
      <c r="R184" s="1"/>
      <c r="S184" s="1" t="str">
        <f>"NOS-158-C/16"</f>
        <v>NOS-158-C/16</v>
      </c>
      <c r="T184" s="2" t="s">
        <v>33</v>
      </c>
    </row>
    <row r="185" spans="1:20" ht="63.75" x14ac:dyDescent="0.25">
      <c r="A185" s="1">
        <v>181</v>
      </c>
      <c r="B185" s="1" t="str">
        <f>"2016-43"</f>
        <v>2016-43</v>
      </c>
      <c r="C185" s="2" t="s">
        <v>356</v>
      </c>
      <c r="D185" s="1" t="s">
        <v>357</v>
      </c>
      <c r="E185" s="3" t="str">
        <f>"2016/S 002-0025476"</f>
        <v>2016/S 002-0025476</v>
      </c>
      <c r="F185" s="2" t="s">
        <v>23</v>
      </c>
      <c r="G185" s="2" t="str">
        <f>CONCATENATE("INDUSTROOPREMA D.O.O.,"," CMP OBRTNIČKA 1,"," 10000 ZAGREB,"," OIB: 01291306683",CHAR(10),"OMNIMERKUR D.O.O.,"," GORNJOSTUPNIČKA 1B,"," 10255 GORNJI STUPNIK,"," OIB: 43764396102")</f>
        <v>INDUSTROOPREMA D.O.O., CMP OBRTNIČKA 1, 10000 ZAGREB, OIB: 01291306683
OMNIMERKUR D.O.O., GORNJOSTUPNIČKA 1B, 10255 GORNJI STUPNIK, OIB: 43764396102</v>
      </c>
      <c r="H185" s="4"/>
      <c r="I185" s="1" t="s">
        <v>354</v>
      </c>
      <c r="J185" s="1" t="s">
        <v>355</v>
      </c>
      <c r="K185" s="6" t="str">
        <f>"2.000.000,00"</f>
        <v>2.000.000,00</v>
      </c>
      <c r="L185" s="6" t="str">
        <f>"500.000,00"</f>
        <v>500.000,00</v>
      </c>
      <c r="M185" s="6" t="str">
        <f>"2.500.000,00"</f>
        <v>2.500.000,00</v>
      </c>
      <c r="N185" s="7"/>
      <c r="O185" s="7"/>
      <c r="P185" s="6" t="str">
        <f>""</f>
        <v/>
      </c>
      <c r="Q185" s="7"/>
      <c r="R185" s="1"/>
      <c r="S185" s="1" t="str">
        <f>"NOS-159/16"</f>
        <v>NOS-159/16</v>
      </c>
      <c r="T185" s="2" t="s">
        <v>33</v>
      </c>
    </row>
    <row r="186" spans="1:20" ht="51" x14ac:dyDescent="0.25">
      <c r="A186" s="1">
        <v>182</v>
      </c>
      <c r="B186" s="1" t="str">
        <f>"2016-3086"</f>
        <v>2016-3086</v>
      </c>
      <c r="C186" s="2" t="s">
        <v>358</v>
      </c>
      <c r="D186" s="1" t="s">
        <v>359</v>
      </c>
      <c r="E186" s="3" t="str">
        <f>"2016/S 002-0024805"</f>
        <v>2016/S 002-0024805</v>
      </c>
      <c r="F186" s="2" t="s">
        <v>23</v>
      </c>
      <c r="G186" s="2" t="s">
        <v>360</v>
      </c>
      <c r="H186" s="4"/>
      <c r="I186" s="1" t="s">
        <v>108</v>
      </c>
      <c r="J186" s="1" t="s">
        <v>361</v>
      </c>
      <c r="K186" s="6" t="str">
        <f>"15.000.000,00"</f>
        <v>15.000.000,00</v>
      </c>
      <c r="L186" s="6" t="str">
        <f>"3.750.000,00"</f>
        <v>3.750.000,00</v>
      </c>
      <c r="M186" s="6" t="str">
        <f>"18.750.000,00"</f>
        <v>18.750.000,00</v>
      </c>
      <c r="N186" s="7"/>
      <c r="O186" s="7"/>
      <c r="P186" s="6" t="str">
        <f>""</f>
        <v/>
      </c>
      <c r="Q186" s="7"/>
      <c r="R186" s="1"/>
      <c r="S186" s="1" t="str">
        <f>"NOS-160-A/16"</f>
        <v>NOS-160-A/16</v>
      </c>
      <c r="T186" s="2" t="s">
        <v>33</v>
      </c>
    </row>
    <row r="187" spans="1:20" ht="51" x14ac:dyDescent="0.25">
      <c r="A187" s="1">
        <v>183</v>
      </c>
      <c r="B187" s="1" t="str">
        <f>"2016-3086"</f>
        <v>2016-3086</v>
      </c>
      <c r="C187" s="2" t="s">
        <v>358</v>
      </c>
      <c r="D187" s="1" t="s">
        <v>359</v>
      </c>
      <c r="E187" s="3" t="str">
        <f>""</f>
        <v/>
      </c>
      <c r="F187" s="2" t="s">
        <v>27</v>
      </c>
      <c r="G187" s="2" t="s">
        <v>360</v>
      </c>
      <c r="H187" s="4"/>
      <c r="I187" s="1" t="s">
        <v>362</v>
      </c>
      <c r="J187" s="1" t="s">
        <v>40</v>
      </c>
      <c r="K187" s="6" t="str">
        <f>"1.515.440,00"</f>
        <v>1.515.440,00</v>
      </c>
      <c r="L187" s="6" t="str">
        <f>"378.860,00"</f>
        <v>378.860,00</v>
      </c>
      <c r="M187" s="6" t="str">
        <f>"1.894.300,00"</f>
        <v>1.894.300,00</v>
      </c>
      <c r="N187" s="5">
        <v>43391</v>
      </c>
      <c r="O187" s="7"/>
      <c r="P187" s="6" t="str">
        <f>"1.889.995,00"</f>
        <v>1.889.995,00</v>
      </c>
      <c r="Q187" s="7"/>
      <c r="R187" s="1"/>
      <c r="S187" s="1" t="str">
        <f>"25-18/NOS-160-A/16"</f>
        <v>25-18/NOS-160-A/16</v>
      </c>
      <c r="T187" s="2" t="s">
        <v>33</v>
      </c>
    </row>
    <row r="188" spans="1:20" ht="51" x14ac:dyDescent="0.25">
      <c r="A188" s="1">
        <v>184</v>
      </c>
      <c r="B188" s="1" t="str">
        <f>"2016-3086"</f>
        <v>2016-3086</v>
      </c>
      <c r="C188" s="2" t="s">
        <v>358</v>
      </c>
      <c r="D188" s="1" t="s">
        <v>359</v>
      </c>
      <c r="E188" s="3" t="str">
        <f>"2016/S 002-0024805"</f>
        <v>2016/S 002-0024805</v>
      </c>
      <c r="F188" s="2" t="s">
        <v>23</v>
      </c>
      <c r="G188" s="2" t="s">
        <v>360</v>
      </c>
      <c r="H188" s="4"/>
      <c r="I188" s="1" t="s">
        <v>108</v>
      </c>
      <c r="J188" s="1" t="s">
        <v>361</v>
      </c>
      <c r="K188" s="6" t="str">
        <f>"32.000.000,00"</f>
        <v>32.000.000,00</v>
      </c>
      <c r="L188" s="6" t="str">
        <f>"8.000.000,00"</f>
        <v>8.000.000,00</v>
      </c>
      <c r="M188" s="6" t="str">
        <f>"40.000.000,00"</f>
        <v>40.000.000,00</v>
      </c>
      <c r="N188" s="7"/>
      <c r="O188" s="7"/>
      <c r="P188" s="6" t="str">
        <f>""</f>
        <v/>
      </c>
      <c r="Q188" s="7"/>
      <c r="R188" s="1"/>
      <c r="S188" s="1" t="str">
        <f>"NOS-160-B/16"</f>
        <v>NOS-160-B/16</v>
      </c>
      <c r="T188" s="2" t="s">
        <v>33</v>
      </c>
    </row>
    <row r="189" spans="1:20" ht="51" x14ac:dyDescent="0.25">
      <c r="A189" s="1">
        <v>185</v>
      </c>
      <c r="B189" s="1" t="str">
        <f>"2016-3086"</f>
        <v>2016-3086</v>
      </c>
      <c r="C189" s="2" t="s">
        <v>358</v>
      </c>
      <c r="D189" s="1" t="s">
        <v>359</v>
      </c>
      <c r="E189" s="3" t="str">
        <f>""</f>
        <v/>
      </c>
      <c r="F189" s="2" t="s">
        <v>27</v>
      </c>
      <c r="G189" s="2" t="s">
        <v>360</v>
      </c>
      <c r="H189" s="4"/>
      <c r="I189" s="1" t="s">
        <v>362</v>
      </c>
      <c r="J189" s="1" t="s">
        <v>40</v>
      </c>
      <c r="K189" s="6" t="str">
        <f>"2.473.260,00"</f>
        <v>2.473.260,00</v>
      </c>
      <c r="L189" s="6" t="str">
        <f>"618.315,00"</f>
        <v>618.315,00</v>
      </c>
      <c r="M189" s="6" t="str">
        <f>"3.091.575,00"</f>
        <v>3.091.575,00</v>
      </c>
      <c r="N189" s="5">
        <v>43411</v>
      </c>
      <c r="O189" s="7"/>
      <c r="P189" s="6" t="str">
        <f>"3.081.335,08"</f>
        <v>3.081.335,08</v>
      </c>
      <c r="Q189" s="7"/>
      <c r="R189" s="1"/>
      <c r="S189" s="1" t="str">
        <f>"4-18/NOS-160-B/16"</f>
        <v>4-18/NOS-160-B/16</v>
      </c>
      <c r="T189" s="2" t="s">
        <v>33</v>
      </c>
    </row>
    <row r="190" spans="1:20" ht="38.25" x14ac:dyDescent="0.25">
      <c r="A190" s="1">
        <v>186</v>
      </c>
      <c r="B190" s="1" t="str">
        <f>"2016-2883"</f>
        <v>2016-2883</v>
      </c>
      <c r="C190" s="2" t="s">
        <v>363</v>
      </c>
      <c r="D190" s="1" t="s">
        <v>364</v>
      </c>
      <c r="E190" s="3" t="str">
        <f>" 2016/S 002-0027084"</f>
        <v xml:space="preserve"> 2016/S 002-0027084</v>
      </c>
      <c r="F190" s="2" t="s">
        <v>23</v>
      </c>
      <c r="G190" s="2" t="str">
        <f>CONCATENATE("KINDER GRADNJA OBRT ZA USLUGE,"," VL. IVICA KINDER,"," SELSKA 57,"," 10360 SESVETE,"," OIB: 94563534427")</f>
        <v>KINDER GRADNJA OBRT ZA USLUGE, VL. IVICA KINDER, SELSKA 57, 10360 SESVETE, OIB: 94563534427</v>
      </c>
      <c r="H190" s="4"/>
      <c r="I190" s="1" t="s">
        <v>365</v>
      </c>
      <c r="J190" s="1" t="s">
        <v>366</v>
      </c>
      <c r="K190" s="6" t="str">
        <f>"6.000.000,00"</f>
        <v>6.000.000,00</v>
      </c>
      <c r="L190" s="6" t="str">
        <f>"1.500.000,00"</f>
        <v>1.500.000,00</v>
      </c>
      <c r="M190" s="6" t="str">
        <f>"7.500.000,00"</f>
        <v>7.500.000,00</v>
      </c>
      <c r="N190" s="7"/>
      <c r="O190" s="7"/>
      <c r="P190" s="6" t="str">
        <f>""</f>
        <v/>
      </c>
      <c r="Q190" s="7"/>
      <c r="R190" s="1"/>
      <c r="S190" s="1" t="str">
        <f>"NOS-161/16"</f>
        <v>NOS-161/16</v>
      </c>
      <c r="T190" s="2" t="s">
        <v>29</v>
      </c>
    </row>
    <row r="191" spans="1:20" ht="38.25" x14ac:dyDescent="0.25">
      <c r="A191" s="1">
        <v>187</v>
      </c>
      <c r="B191" s="1" t="str">
        <f>"2016-2883"</f>
        <v>2016-2883</v>
      </c>
      <c r="C191" s="2" t="s">
        <v>363</v>
      </c>
      <c r="D191" s="4"/>
      <c r="E191" s="3" t="str">
        <f>""</f>
        <v/>
      </c>
      <c r="F191" s="2" t="s">
        <v>27</v>
      </c>
      <c r="G191" s="2" t="str">
        <f>CONCATENATE("KINDER GRADNJA OBRT ZA USLUGE,"," VL. IVICA KINDER,"," SELSKA 57,"," 10360 SESVETE,"," OIB: 94563534427")</f>
        <v>KINDER GRADNJA OBRT ZA USLUGE, VL. IVICA KINDER, SELSKA 57, 10360 SESVETE, OIB: 94563534427</v>
      </c>
      <c r="H191" s="4"/>
      <c r="I191" s="1" t="s">
        <v>367</v>
      </c>
      <c r="J191" s="1" t="s">
        <v>42</v>
      </c>
      <c r="K191" s="6" t="str">
        <f>"699.725,00"</f>
        <v>699.725,00</v>
      </c>
      <c r="L191" s="6" t="str">
        <f>"174.931,25"</f>
        <v>174.931,25</v>
      </c>
      <c r="M191" s="6" t="str">
        <f>"874.656,25"</f>
        <v>874.656,25</v>
      </c>
      <c r="N191" s="5">
        <v>43539</v>
      </c>
      <c r="O191" s="7"/>
      <c r="P191" s="6" t="str">
        <f>"874.550,00"</f>
        <v>874.550,00</v>
      </c>
      <c r="Q191" s="7"/>
      <c r="R191" s="1"/>
      <c r="S191" s="1" t="str">
        <f>"3-18/NOS-161/16"</f>
        <v>3-18/NOS-161/16</v>
      </c>
      <c r="T191" s="2" t="s">
        <v>29</v>
      </c>
    </row>
    <row r="192" spans="1:20" ht="178.5" x14ac:dyDescent="0.25">
      <c r="A192" s="1">
        <v>188</v>
      </c>
      <c r="B192" s="1" t="str">
        <f t="shared" ref="B192:B201" si="12">"2016-3179"</f>
        <v>2016-3179</v>
      </c>
      <c r="C192" s="2" t="s">
        <v>368</v>
      </c>
      <c r="D192" s="1" t="s">
        <v>369</v>
      </c>
      <c r="E192" s="3" t="str">
        <f>"2016/S 002-0028386"</f>
        <v>2016/S 002-0028386</v>
      </c>
      <c r="F192" s="2" t="s">
        <v>23</v>
      </c>
      <c r="G192" s="2" t="str">
        <f>CONCATENATE("SMIT-COMMERCE D.O.O.,"," GORNJOSTUPNIČKA 9B,"," 10255 GORNJI STUPNIK,"," OIB: 95243482140",CHAR(10),"VELEKEM D.D.,"," UL.KNEZA LJUDEVITA POSAVSKOG 13,"," 10360 SESVETE,"," OIB: 62347407589",CHAR(10),"VODOSKOK D.D.,"," ČULINEČKA CESTA 221/C,"," 10040 ZAGREB,"," OIB: 34134218058",CHAR(10),"CHROMOS-SVJETLOST D.O.O.,"," MIJATA STOJANOVIĆA 13,"," 35257 LUŽANI,"," OIB: 72579903288",CHAR(10),"KEMOBOJA-DUBRAVA D.O.O.,"," AVENIJA DUBRAVA 37,"," 10000 ZAGREB,"," OIB: 6402157427")</f>
        <v>SMIT-COMMERCE D.O.O., GORNJOSTUPNIČKA 9B, 10255 GORNJI STUPNIK, OIB: 95243482140
VELEKEM D.D., UL.KNEZA LJUDEVITA POSAVSKOG 13, 10360 SESVETE, OIB: 62347407589
VODOSKOK D.D., ČULINEČKA CESTA 221/C, 10040 ZAGREB, OIB: 34134218058
CHROMOS-SVJETLOST D.O.O., MIJATA STOJANOVIĆA 13, 35257 LUŽANI, OIB: 72579903288
KEMOBOJA-DUBRAVA D.O.O., AVENIJA DUBRAVA 37, 10000 ZAGREB, OIB: 6402157427</v>
      </c>
      <c r="H192" s="4"/>
      <c r="I192" s="1" t="s">
        <v>370</v>
      </c>
      <c r="J192" s="1" t="s">
        <v>371</v>
      </c>
      <c r="K192" s="6" t="str">
        <f>"1.700.000,00"</f>
        <v>1.700.000,00</v>
      </c>
      <c r="L192" s="6" t="str">
        <f>"425.000,00"</f>
        <v>425.000,00</v>
      </c>
      <c r="M192" s="6" t="str">
        <f>"2.125.000,00"</f>
        <v>2.125.000,00</v>
      </c>
      <c r="N192" s="7"/>
      <c r="O192" s="7"/>
      <c r="P192" s="6" t="str">
        <f>""</f>
        <v/>
      </c>
      <c r="Q192" s="7"/>
      <c r="R192" s="1"/>
      <c r="S192" s="1" t="str">
        <f>"NOS-162-A/16"</f>
        <v>NOS-162-A/16</v>
      </c>
      <c r="T192" s="2" t="s">
        <v>26</v>
      </c>
    </row>
    <row r="193" spans="1:20" ht="38.25" x14ac:dyDescent="0.25">
      <c r="A193" s="1">
        <v>189</v>
      </c>
      <c r="B193" s="1" t="str">
        <f t="shared" si="12"/>
        <v>2016-3179</v>
      </c>
      <c r="C193" s="2" t="s">
        <v>368</v>
      </c>
      <c r="D193" s="1" t="s">
        <v>369</v>
      </c>
      <c r="E193" s="3" t="str">
        <f>""</f>
        <v/>
      </c>
      <c r="F193" s="2" t="s">
        <v>27</v>
      </c>
      <c r="G193" s="2" t="str">
        <f>CONCATENATE("KEMOBOJA-DUBRAVA D.O.O.,"," AVENIJA DUBRAVA 37,"," 10000 ZAGREB,"," OIB: 6402157427")</f>
        <v>KEMOBOJA-DUBRAVA D.O.O., AVENIJA DUBRAVA 37, 10000 ZAGREB, OIB: 6402157427</v>
      </c>
      <c r="H193" s="4"/>
      <c r="I193" s="1" t="s">
        <v>59</v>
      </c>
      <c r="J193" s="1" t="s">
        <v>64</v>
      </c>
      <c r="K193" s="6" t="str">
        <f>"11.709,00"</f>
        <v>11.709,00</v>
      </c>
      <c r="L193" s="6" t="str">
        <f>"2.927,25"</f>
        <v>2.927,25</v>
      </c>
      <c r="M193" s="6" t="str">
        <f>"14.636,25"</f>
        <v>14.636,25</v>
      </c>
      <c r="N193" s="5">
        <v>43538</v>
      </c>
      <c r="O193" s="7"/>
      <c r="P193" s="6" t="str">
        <f>"14.656,88"</f>
        <v>14.656,88</v>
      </c>
      <c r="Q193" s="7"/>
      <c r="R193" s="1"/>
      <c r="S193" s="1" t="str">
        <f>"11-18/NOS-162-A/16"</f>
        <v>11-18/NOS-162-A/16</v>
      </c>
      <c r="T193" s="2" t="s">
        <v>33</v>
      </c>
    </row>
    <row r="194" spans="1:20" ht="38.25" x14ac:dyDescent="0.25">
      <c r="A194" s="1">
        <v>190</v>
      </c>
      <c r="B194" s="1" t="str">
        <f t="shared" si="12"/>
        <v>2016-3179</v>
      </c>
      <c r="C194" s="2" t="s">
        <v>368</v>
      </c>
      <c r="D194" s="1" t="s">
        <v>369</v>
      </c>
      <c r="E194" s="3" t="str">
        <f>""</f>
        <v/>
      </c>
      <c r="F194" s="2" t="s">
        <v>27</v>
      </c>
      <c r="G194" s="2" t="str">
        <f>CONCATENATE("KEMOBOJA-DUBRAVA D.O.O.,"," AVENIJA DUBRAVA 37,"," 10000 ZAGREB,"," OIB: 6402157427")</f>
        <v>KEMOBOJA-DUBRAVA D.O.O., AVENIJA DUBRAVA 37, 10000 ZAGREB, OIB: 6402157427</v>
      </c>
      <c r="H194" s="4"/>
      <c r="I194" s="1" t="s">
        <v>372</v>
      </c>
      <c r="J194" s="1" t="s">
        <v>140</v>
      </c>
      <c r="K194" s="6" t="str">
        <f>"35.019,50"</f>
        <v>35.019,50</v>
      </c>
      <c r="L194" s="6" t="str">
        <f>"8.754,88"</f>
        <v>8.754,88</v>
      </c>
      <c r="M194" s="6" t="str">
        <f>"43.774,38"</f>
        <v>43.774,38</v>
      </c>
      <c r="N194" s="5">
        <v>43487</v>
      </c>
      <c r="O194" s="7"/>
      <c r="P194" s="6" t="str">
        <f>"44.324,38"</f>
        <v>44.324,38</v>
      </c>
      <c r="Q194" s="7"/>
      <c r="R194" s="1"/>
      <c r="S194" s="1" t="str">
        <f>"13-18/NOS-162-A/16"</f>
        <v>13-18/NOS-162-A/16</v>
      </c>
      <c r="T194" s="2" t="s">
        <v>26</v>
      </c>
    </row>
    <row r="195" spans="1:20" ht="38.25" x14ac:dyDescent="0.25">
      <c r="A195" s="1">
        <v>191</v>
      </c>
      <c r="B195" s="1" t="str">
        <f t="shared" si="12"/>
        <v>2016-3179</v>
      </c>
      <c r="C195" s="2" t="s">
        <v>368</v>
      </c>
      <c r="D195" s="1" t="s">
        <v>369</v>
      </c>
      <c r="E195" s="3" t="str">
        <f>""</f>
        <v/>
      </c>
      <c r="F195" s="2" t="s">
        <v>27</v>
      </c>
      <c r="G195" s="2" t="str">
        <f>CONCATENATE("KEMOBOJA-DUBRAVA D.O.O.,"," AVENIJA DUBRAVA 37,"," 10000 ZAGREB,"," OIB: 6402157427")</f>
        <v>KEMOBOJA-DUBRAVA D.O.O., AVENIJA DUBRAVA 37, 10000 ZAGREB, OIB: 6402157427</v>
      </c>
      <c r="H195" s="4"/>
      <c r="I195" s="1" t="s">
        <v>373</v>
      </c>
      <c r="J195" s="1" t="s">
        <v>64</v>
      </c>
      <c r="K195" s="6" t="str">
        <f>"33.347,19"</f>
        <v>33.347,19</v>
      </c>
      <c r="L195" s="6" t="str">
        <f>"8.336,80"</f>
        <v>8.336,80</v>
      </c>
      <c r="M195" s="6" t="str">
        <f>"41.683,99"</f>
        <v>41.683,99</v>
      </c>
      <c r="N195" s="5">
        <v>43594</v>
      </c>
      <c r="O195" s="7"/>
      <c r="P195" s="6" t="str">
        <f>"42.285,35"</f>
        <v>42.285,35</v>
      </c>
      <c r="Q195" s="7"/>
      <c r="R195" s="1"/>
      <c r="S195" s="1" t="str">
        <f>"1-19/NOS-162-A/16"</f>
        <v>1-19/NOS-162-A/16</v>
      </c>
      <c r="T195" s="2" t="s">
        <v>33</v>
      </c>
    </row>
    <row r="196" spans="1:20" ht="38.25" x14ac:dyDescent="0.25">
      <c r="A196" s="1">
        <v>192</v>
      </c>
      <c r="B196" s="1" t="str">
        <f t="shared" si="12"/>
        <v>2016-3179</v>
      </c>
      <c r="C196" s="2" t="s">
        <v>368</v>
      </c>
      <c r="D196" s="1" t="s">
        <v>369</v>
      </c>
      <c r="E196" s="3" t="str">
        <f>""</f>
        <v/>
      </c>
      <c r="F196" s="2" t="s">
        <v>27</v>
      </c>
      <c r="G196" s="2" t="str">
        <f>CONCATENATE("KEMOBOJA-DUBRAVA D.O.O.,"," AVENIJA DUBRAVA 37,"," 10000 ZAGREB,"," OIB: 6402157427")</f>
        <v>KEMOBOJA-DUBRAVA D.O.O., AVENIJA DUBRAVA 37, 10000 ZAGREB, OIB: 6402157427</v>
      </c>
      <c r="H196" s="4"/>
      <c r="I196" s="1" t="s">
        <v>30</v>
      </c>
      <c r="J196" s="1" t="s">
        <v>355</v>
      </c>
      <c r="K196" s="6" t="str">
        <f>"4.625,02"</f>
        <v>4.625,02</v>
      </c>
      <c r="L196" s="6" t="str">
        <f>"1.156,26"</f>
        <v>1.156,26</v>
      </c>
      <c r="M196" s="6" t="str">
        <f>"5.781,28"</f>
        <v>5.781,28</v>
      </c>
      <c r="N196" s="5">
        <v>43587</v>
      </c>
      <c r="O196" s="7"/>
      <c r="P196" s="6" t="str">
        <f>"5.781,28"</f>
        <v>5.781,28</v>
      </c>
      <c r="Q196" s="7"/>
      <c r="R196" s="1"/>
      <c r="S196" s="1" t="str">
        <f>"2-19/NOS-162-A/16"</f>
        <v>2-19/NOS-162-A/16</v>
      </c>
      <c r="T196" s="2" t="s">
        <v>33</v>
      </c>
    </row>
    <row r="197" spans="1:20" ht="38.25" x14ac:dyDescent="0.25">
      <c r="A197" s="1">
        <v>193</v>
      </c>
      <c r="B197" s="1" t="str">
        <f t="shared" si="12"/>
        <v>2016-3179</v>
      </c>
      <c r="C197" s="2" t="s">
        <v>368</v>
      </c>
      <c r="D197" s="1" t="s">
        <v>369</v>
      </c>
      <c r="E197" s="3" t="str">
        <f>""</f>
        <v/>
      </c>
      <c r="F197" s="2" t="s">
        <v>27</v>
      </c>
      <c r="G197" s="2" t="str">
        <f>CONCATENATE("VELEKEM D.D.,"," UL.KNEZA LJUDEVITA POSAVSKOG 13,"," 10360 SESVETE,"," OIB: 62347407589")</f>
        <v>VELEKEM D.D., UL.KNEZA LJUDEVITA POSAVSKOG 13, 10360 SESVETE, OIB: 62347407589</v>
      </c>
      <c r="H197" s="4"/>
      <c r="I197" s="1" t="s">
        <v>361</v>
      </c>
      <c r="J197" s="1" t="s">
        <v>37</v>
      </c>
      <c r="K197" s="6" t="str">
        <f>"15.382,08"</f>
        <v>15.382,08</v>
      </c>
      <c r="L197" s="6" t="str">
        <f>"3.845,52"</f>
        <v>3.845,52</v>
      </c>
      <c r="M197" s="6" t="str">
        <f>"19.227,60"</f>
        <v>19.227,60</v>
      </c>
      <c r="N197" s="5">
        <v>43615</v>
      </c>
      <c r="O197" s="7"/>
      <c r="P197" s="6" t="str">
        <f>"19.389,39"</f>
        <v>19.389,39</v>
      </c>
      <c r="Q197" s="7"/>
      <c r="R197" s="1"/>
      <c r="S197" s="1" t="str">
        <f>"3-19/NOS-162-A/16"</f>
        <v>3-19/NOS-162-A/16</v>
      </c>
      <c r="T197" s="2" t="s">
        <v>26</v>
      </c>
    </row>
    <row r="198" spans="1:20" ht="38.25" x14ac:dyDescent="0.25">
      <c r="A198" s="1">
        <v>194</v>
      </c>
      <c r="B198" s="1" t="str">
        <f t="shared" si="12"/>
        <v>2016-3179</v>
      </c>
      <c r="C198" s="2" t="s">
        <v>368</v>
      </c>
      <c r="D198" s="1" t="s">
        <v>369</v>
      </c>
      <c r="E198" s="3" t="str">
        <f>""</f>
        <v/>
      </c>
      <c r="F198" s="2" t="s">
        <v>27</v>
      </c>
      <c r="G198" s="2" t="str">
        <f>CONCATENATE("KEMOBOJA-DUBRAVA D.O.O.,"," AVENIJA DUBRAVA 37,"," 10000 ZAGREB,"," OIB: 6402157427")</f>
        <v>KEMOBOJA-DUBRAVA D.O.O., AVENIJA DUBRAVA 37, 10000 ZAGREB, OIB: 6402157427</v>
      </c>
      <c r="H198" s="4"/>
      <c r="I198" s="1" t="s">
        <v>374</v>
      </c>
      <c r="J198" s="1" t="s">
        <v>114</v>
      </c>
      <c r="K198" s="6" t="str">
        <f>"37.229,80"</f>
        <v>37.229,80</v>
      </c>
      <c r="L198" s="6" t="str">
        <f>"9.307,45"</f>
        <v>9.307,45</v>
      </c>
      <c r="M198" s="6" t="str">
        <f>"46.537,25"</f>
        <v>46.537,25</v>
      </c>
      <c r="N198" s="5">
        <v>43656</v>
      </c>
      <c r="O198" s="7"/>
      <c r="P198" s="6" t="str">
        <f>"47.359,38"</f>
        <v>47.359,38</v>
      </c>
      <c r="Q198" s="7"/>
      <c r="R198" s="1"/>
      <c r="S198" s="1" t="str">
        <f>"4-19/NOS-162-A/16"</f>
        <v>4-19/NOS-162-A/16</v>
      </c>
      <c r="T198" s="2" t="s">
        <v>26</v>
      </c>
    </row>
    <row r="199" spans="1:20" ht="140.25" x14ac:dyDescent="0.25">
      <c r="A199" s="1">
        <v>195</v>
      </c>
      <c r="B199" s="1" t="str">
        <f t="shared" si="12"/>
        <v>2016-3179</v>
      </c>
      <c r="C199" s="2" t="s">
        <v>368</v>
      </c>
      <c r="D199" s="1" t="s">
        <v>369</v>
      </c>
      <c r="E199" s="3" t="str">
        <f>"2016/S 002-0028386"</f>
        <v>2016/S 002-0028386</v>
      </c>
      <c r="F199" s="2" t="s">
        <v>23</v>
      </c>
      <c r="G199" s="2" t="str">
        <f>CONCATENATE("SMIT-COMMERCE D.O.O.,"," GORNJOSTUPNIČKA 9B,"," 10255 GORNJI STUPNIK,"," OIB: 95243482140",CHAR(10),"VELEKEM D.D.,"," UL.KNEZA LJUDEVITA POSAVSKOG 13,"," 10360 SESVETE,"," OIB: 62347407589",CHAR(10),"VODOSKOK D.D.,"," ČULINEČKA CESTA 221/C,"," 10040 ZAGREB,"," OIB: 34134218058",CHAR(10),"CHROMOS-SVJETLOST D.O.O.,"," MIJATA STOJANOVIĆA 13,"," 35257 LUŽANI,"," OIB: 72579903288")</f>
        <v>SMIT-COMMERCE D.O.O., GORNJOSTUPNIČKA 9B, 10255 GORNJI STUPNIK, OIB: 95243482140
VELEKEM D.D., UL.KNEZA LJUDEVITA POSAVSKOG 13, 10360 SESVETE, OIB: 62347407589
VODOSKOK D.D., ČULINEČKA CESTA 221/C, 10040 ZAGREB, OIB: 34134218058
CHROMOS-SVJETLOST D.O.O., MIJATA STOJANOVIĆA 13, 35257 LUŽANI, OIB: 72579903288</v>
      </c>
      <c r="H199" s="4"/>
      <c r="I199" s="1" t="s">
        <v>370</v>
      </c>
      <c r="J199" s="1" t="s">
        <v>371</v>
      </c>
      <c r="K199" s="6" t="str">
        <f>"550.000,00"</f>
        <v>550.000,00</v>
      </c>
      <c r="L199" s="6" t="str">
        <f>"137.500,00"</f>
        <v>137.500,00</v>
      </c>
      <c r="M199" s="6" t="str">
        <f>"687.500,00"</f>
        <v>687.500,00</v>
      </c>
      <c r="N199" s="7"/>
      <c r="O199" s="7"/>
      <c r="P199" s="6" t="str">
        <f>""</f>
        <v/>
      </c>
      <c r="Q199" s="7"/>
      <c r="R199" s="1"/>
      <c r="S199" s="1" t="str">
        <f>"NOS-162-B/16"</f>
        <v>NOS-162-B/16</v>
      </c>
      <c r="T199" s="2" t="s">
        <v>26</v>
      </c>
    </row>
    <row r="200" spans="1:20" ht="38.25" x14ac:dyDescent="0.25">
      <c r="A200" s="1">
        <v>196</v>
      </c>
      <c r="B200" s="1" t="str">
        <f t="shared" si="12"/>
        <v>2016-3179</v>
      </c>
      <c r="C200" s="2" t="s">
        <v>368</v>
      </c>
      <c r="D200" s="1" t="s">
        <v>369</v>
      </c>
      <c r="E200" s="3" t="str">
        <f>""</f>
        <v/>
      </c>
      <c r="F200" s="2" t="s">
        <v>27</v>
      </c>
      <c r="G200" s="2" t="str">
        <f>CONCATENATE("VELEKEM D.D.,"," UL.KNEZA LJUDEVITA POSAVSKOG 13,"," 10360 SESVETE,"," OIB: 62347407589")</f>
        <v>VELEKEM D.D., UL.KNEZA LJUDEVITA POSAVSKOG 13, 10360 SESVETE, OIB: 62347407589</v>
      </c>
      <c r="H200" s="4"/>
      <c r="I200" s="1" t="s">
        <v>301</v>
      </c>
      <c r="J200" s="1" t="s">
        <v>303</v>
      </c>
      <c r="K200" s="6" t="str">
        <f>"5.539,20"</f>
        <v>5.539,20</v>
      </c>
      <c r="L200" s="6" t="str">
        <f>"1.394,10"</f>
        <v>1.394,10</v>
      </c>
      <c r="M200" s="6" t="str">
        <f>"6.970,50"</f>
        <v>6.970,50</v>
      </c>
      <c r="N200" s="5">
        <v>43556</v>
      </c>
      <c r="O200" s="7"/>
      <c r="P200" s="6" t="str">
        <f>"6.970,50"</f>
        <v>6.970,50</v>
      </c>
      <c r="Q200" s="7"/>
      <c r="R200" s="1"/>
      <c r="S200" s="1" t="str">
        <f>"1-19/NOS-162-B/16"</f>
        <v>1-19/NOS-162-B/16</v>
      </c>
      <c r="T200" s="2" t="s">
        <v>33</v>
      </c>
    </row>
    <row r="201" spans="1:20" ht="38.25" x14ac:dyDescent="0.25">
      <c r="A201" s="1">
        <v>197</v>
      </c>
      <c r="B201" s="1" t="str">
        <f t="shared" si="12"/>
        <v>2016-3179</v>
      </c>
      <c r="C201" s="2" t="s">
        <v>368</v>
      </c>
      <c r="D201" s="1" t="s">
        <v>369</v>
      </c>
      <c r="E201" s="3" t="str">
        <f>""</f>
        <v/>
      </c>
      <c r="F201" s="2" t="s">
        <v>27</v>
      </c>
      <c r="G201" s="2" t="str">
        <f>CONCATENATE("VELEKEM D.D.,"," UL.KNEZA LJUDEVITA POSAVSKOG 13,"," 10360 SESVETE,"," OIB: 62347407589")</f>
        <v>VELEKEM D.D., UL.KNEZA LJUDEVITA POSAVSKOG 13, 10360 SESVETE, OIB: 62347407589</v>
      </c>
      <c r="H201" s="4"/>
      <c r="I201" s="1" t="s">
        <v>372</v>
      </c>
      <c r="J201" s="1" t="s">
        <v>140</v>
      </c>
      <c r="K201" s="6" t="str">
        <f>"454,50"</f>
        <v>454,50</v>
      </c>
      <c r="L201" s="6" t="str">
        <f>"113,63"</f>
        <v>113,63</v>
      </c>
      <c r="M201" s="6" t="str">
        <f>"568,13"</f>
        <v>568,13</v>
      </c>
      <c r="N201" s="5">
        <v>43472</v>
      </c>
      <c r="O201" s="7"/>
      <c r="P201" s="6" t="str">
        <f>"568,12"</f>
        <v>568,12</v>
      </c>
      <c r="Q201" s="7"/>
      <c r="R201" s="1"/>
      <c r="S201" s="1" t="str">
        <f>"10-18/NOS-162-B/16"</f>
        <v>10-18/NOS-162-B/16</v>
      </c>
      <c r="T201" s="2" t="s">
        <v>33</v>
      </c>
    </row>
    <row r="202" spans="1:20" ht="63.75" x14ac:dyDescent="0.25">
      <c r="A202" s="1">
        <v>198</v>
      </c>
      <c r="B202" s="1" t="str">
        <f>"2016-3073"</f>
        <v>2016-3073</v>
      </c>
      <c r="C202" s="2" t="s">
        <v>375</v>
      </c>
      <c r="D202" s="1" t="s">
        <v>376</v>
      </c>
      <c r="E202" s="3" t="str">
        <f>"2017/S 014-0000056"</f>
        <v>2017/S 014-0000056</v>
      </c>
      <c r="F202" s="2" t="s">
        <v>23</v>
      </c>
      <c r="G202" s="2" t="str">
        <f>CONCATENATE("SMIT-COMMERCE D.O.O.,"," GORNJOSTUPNIČKA 9B,"," 10255 GORNJI STUPNIK,"," OIB: 95243482140",CHAR(10),"VODOSKOK D.D.,"," ČULINEČKA CESTA 221/C,"," 10040 ZAGREB,"," OIB: 34134218058")</f>
        <v>SMIT-COMMERCE D.O.O., GORNJOSTUPNIČKA 9B, 10255 GORNJI STUPNIK, OIB: 95243482140
VODOSKOK D.D., ČULINEČKA CESTA 221/C, 10040 ZAGREB, OIB: 34134218058</v>
      </c>
      <c r="H202" s="4"/>
      <c r="I202" s="1" t="s">
        <v>377</v>
      </c>
      <c r="J202" s="1" t="s">
        <v>378</v>
      </c>
      <c r="K202" s="6" t="str">
        <f>"900.000,00"</f>
        <v>900.000,00</v>
      </c>
      <c r="L202" s="6" t="str">
        <f>"225.000,00"</f>
        <v>225.000,00</v>
      </c>
      <c r="M202" s="6" t="str">
        <f>"1.125.000,00"</f>
        <v>1.125.000,00</v>
      </c>
      <c r="N202" s="7"/>
      <c r="O202" s="7"/>
      <c r="P202" s="6" t="str">
        <f>""</f>
        <v/>
      </c>
      <c r="Q202" s="7"/>
      <c r="R202" s="1"/>
      <c r="S202" s="1" t="str">
        <f>"NOS-163/16"</f>
        <v>NOS-163/16</v>
      </c>
      <c r="T202" s="2" t="s">
        <v>26</v>
      </c>
    </row>
    <row r="203" spans="1:20" ht="38.25" x14ac:dyDescent="0.25">
      <c r="A203" s="1">
        <v>199</v>
      </c>
      <c r="B203" s="1" t="str">
        <f>"2016-3073"</f>
        <v>2016-3073</v>
      </c>
      <c r="C203" s="2" t="s">
        <v>375</v>
      </c>
      <c r="D203" s="1" t="s">
        <v>376</v>
      </c>
      <c r="E203" s="3" t="str">
        <f>""</f>
        <v/>
      </c>
      <c r="F203" s="2" t="s">
        <v>27</v>
      </c>
      <c r="G203" s="2" t="str">
        <f>CONCATENATE("SMIT-COMMERCE D.O.O.,"," GORNJOSTUPNIČKA 9B,"," 10255 GORNJI STUPNIK,"," OIB: 9524348214")</f>
        <v>SMIT-COMMERCE D.O.O., GORNJOSTUPNIČKA 9B, 10255 GORNJI STUPNIK, OIB: 9524348214</v>
      </c>
      <c r="H203" s="4"/>
      <c r="I203" s="1" t="s">
        <v>379</v>
      </c>
      <c r="J203" s="1" t="s">
        <v>64</v>
      </c>
      <c r="K203" s="6" t="str">
        <f>"19.719,87"</f>
        <v>19.719,87</v>
      </c>
      <c r="L203" s="6" t="str">
        <f>"4.929,97"</f>
        <v>4.929,97</v>
      </c>
      <c r="M203" s="6" t="str">
        <f>"24.649,84"</f>
        <v>24.649,84</v>
      </c>
      <c r="N203" s="5">
        <v>43626</v>
      </c>
      <c r="O203" s="7"/>
      <c r="P203" s="6" t="str">
        <f>"7.133,80"</f>
        <v>7.133,80</v>
      </c>
      <c r="Q203" s="7"/>
      <c r="R203" s="1"/>
      <c r="S203" s="1" t="str">
        <f>"16-18/NOS-163/16"</f>
        <v>16-18/NOS-163/16</v>
      </c>
      <c r="T203" s="2" t="s">
        <v>33</v>
      </c>
    </row>
    <row r="204" spans="1:20" ht="38.25" x14ac:dyDescent="0.25">
      <c r="A204" s="1">
        <v>200</v>
      </c>
      <c r="B204" s="1" t="str">
        <f>"2016-3073"</f>
        <v>2016-3073</v>
      </c>
      <c r="C204" s="2" t="s">
        <v>375</v>
      </c>
      <c r="D204" s="1" t="s">
        <v>376</v>
      </c>
      <c r="E204" s="3" t="str">
        <f>""</f>
        <v/>
      </c>
      <c r="F204" s="2" t="s">
        <v>27</v>
      </c>
      <c r="G204" s="2" t="str">
        <f>CONCATENATE("SMIT-COMMERCE D.O.O.,"," GORNJOSTUPNIČKA 9B,"," 10255 GORNJI STUPNIK,"," OIB: 9524348214")</f>
        <v>SMIT-COMMERCE D.O.O., GORNJOSTUPNIČKA 9B, 10255 GORNJI STUPNIK, OIB: 9524348214</v>
      </c>
      <c r="H204" s="4"/>
      <c r="I204" s="1" t="s">
        <v>203</v>
      </c>
      <c r="J204" s="1" t="s">
        <v>380</v>
      </c>
      <c r="K204" s="6" t="str">
        <f>"2.043,99"</f>
        <v>2.043,99</v>
      </c>
      <c r="L204" s="6" t="str">
        <f>"511,00"</f>
        <v>511,00</v>
      </c>
      <c r="M204" s="6" t="str">
        <f>"2.554,99"</f>
        <v>2.554,99</v>
      </c>
      <c r="N204" s="5">
        <v>43587</v>
      </c>
      <c r="O204" s="7"/>
      <c r="P204" s="6" t="str">
        <f>"2.554,99"</f>
        <v>2.554,99</v>
      </c>
      <c r="Q204" s="7"/>
      <c r="R204" s="1"/>
      <c r="S204" s="1" t="str">
        <f>"1-19/NOS-163/16"</f>
        <v>1-19/NOS-163/16</v>
      </c>
      <c r="T204" s="2" t="s">
        <v>29</v>
      </c>
    </row>
    <row r="205" spans="1:20" ht="38.25" x14ac:dyDescent="0.25">
      <c r="A205" s="1">
        <v>201</v>
      </c>
      <c r="B205" s="1" t="str">
        <f>"2016-3073"</f>
        <v>2016-3073</v>
      </c>
      <c r="C205" s="2" t="s">
        <v>375</v>
      </c>
      <c r="D205" s="1" t="s">
        <v>376</v>
      </c>
      <c r="E205" s="3" t="str">
        <f>""</f>
        <v/>
      </c>
      <c r="F205" s="2" t="s">
        <v>27</v>
      </c>
      <c r="G205" s="2" t="str">
        <f>CONCATENATE("SMIT-COMMERCE D.O.O.,"," GORNJOSTUPNIČKA 9B,"," 10255 GORNJI STUPNIK,"," OIB: 9524348214")</f>
        <v>SMIT-COMMERCE D.O.O., GORNJOSTUPNIČKA 9B, 10255 GORNJI STUPNIK, OIB: 9524348214</v>
      </c>
      <c r="H205" s="4"/>
      <c r="I205" s="1" t="s">
        <v>74</v>
      </c>
      <c r="J205" s="1" t="s">
        <v>37</v>
      </c>
      <c r="K205" s="6" t="str">
        <f>"2.507,80"</f>
        <v>2.507,80</v>
      </c>
      <c r="L205" s="6" t="str">
        <f>"626,95"</f>
        <v>626,95</v>
      </c>
      <c r="M205" s="6" t="str">
        <f>"3.134,75"</f>
        <v>3.134,75</v>
      </c>
      <c r="N205" s="5">
        <v>43629</v>
      </c>
      <c r="O205" s="7"/>
      <c r="P205" s="6" t="str">
        <f>"3.134,75"</f>
        <v>3.134,75</v>
      </c>
      <c r="Q205" s="7"/>
      <c r="R205" s="1"/>
      <c r="S205" s="1" t="str">
        <f>"3-19/NOS-163/16"</f>
        <v>3-19/NOS-163/16</v>
      </c>
      <c r="T205" s="2" t="s">
        <v>33</v>
      </c>
    </row>
    <row r="206" spans="1:20" ht="51" x14ac:dyDescent="0.25">
      <c r="A206" s="1">
        <v>202</v>
      </c>
      <c r="B206" s="1" t="str">
        <f t="shared" ref="B206:B215" si="13">"2016-3087"</f>
        <v>2016-3087</v>
      </c>
      <c r="C206" s="2" t="s">
        <v>381</v>
      </c>
      <c r="D206" s="1" t="s">
        <v>382</v>
      </c>
      <c r="E206" s="3" t="str">
        <f t="shared" ref="E206:E215" si="14">"2016/S 002-0025863"</f>
        <v>2016/S 002-0025863</v>
      </c>
      <c r="F206" s="2" t="s">
        <v>23</v>
      </c>
      <c r="G206" s="2" t="str">
        <f t="shared" ref="G206:G215" si="15">CONCATENATE("MB-ZAGREB D.O.O.,"," NOVSKA 30,"," 10000 ZAGREB,"," OIB: 05029616439",CHAR(10),"EMIL FREY AUTO CENTAR D.O.O.,"," KOVINSKA 5,"," 10000 ZAGREB,"," OIB: 01930677284")</f>
        <v>MB-ZAGREB D.O.O., NOVSKA 30, 10000 ZAGREB, OIB: 05029616439
EMIL FREY AUTO CENTAR D.O.O., KOVINSKA 5, 10000 ZAGREB, OIB: 01930677284</v>
      </c>
      <c r="H206" s="4"/>
      <c r="I206" s="1" t="s">
        <v>383</v>
      </c>
      <c r="J206" s="1" t="s">
        <v>384</v>
      </c>
      <c r="K206" s="6" t="str">
        <f>"3.000.000,00"</f>
        <v>3.000.000,00</v>
      </c>
      <c r="L206" s="6" t="str">
        <f>"750.000,00"</f>
        <v>750.000,00</v>
      </c>
      <c r="M206" s="6" t="str">
        <f>"3.750.000,00"</f>
        <v>3.750.000,00</v>
      </c>
      <c r="N206" s="7"/>
      <c r="O206" s="7"/>
      <c r="P206" s="6" t="str">
        <f>""</f>
        <v/>
      </c>
      <c r="Q206" s="7"/>
      <c r="R206" s="1"/>
      <c r="S206" s="1" t="str">
        <f>"NOS-164-A/16"</f>
        <v>NOS-164-A/16</v>
      </c>
      <c r="T206" s="2" t="s">
        <v>33</v>
      </c>
    </row>
    <row r="207" spans="1:20" ht="51" x14ac:dyDescent="0.25">
      <c r="A207" s="1">
        <v>203</v>
      </c>
      <c r="B207" s="1" t="str">
        <f t="shared" si="13"/>
        <v>2016-3087</v>
      </c>
      <c r="C207" s="2" t="s">
        <v>381</v>
      </c>
      <c r="D207" s="1" t="s">
        <v>382</v>
      </c>
      <c r="E207" s="3" t="str">
        <f t="shared" si="14"/>
        <v>2016/S 002-0025863</v>
      </c>
      <c r="F207" s="2" t="s">
        <v>23</v>
      </c>
      <c r="G207" s="2" t="str">
        <f t="shared" si="15"/>
        <v>MB-ZAGREB D.O.O., NOVSKA 30, 10000 ZAGREB, OIB: 05029616439
EMIL FREY AUTO CENTAR D.O.O., KOVINSKA 5, 10000 ZAGREB, OIB: 01930677284</v>
      </c>
      <c r="H207" s="4"/>
      <c r="I207" s="1" t="s">
        <v>383</v>
      </c>
      <c r="J207" s="1" t="s">
        <v>384</v>
      </c>
      <c r="K207" s="6" t="str">
        <f>"2.000.000,00"</f>
        <v>2.000.000,00</v>
      </c>
      <c r="L207" s="6" t="str">
        <f>"500.000,00"</f>
        <v>500.000,00</v>
      </c>
      <c r="M207" s="6" t="str">
        <f>"2.500.000,00"</f>
        <v>2.500.000,00</v>
      </c>
      <c r="N207" s="7"/>
      <c r="O207" s="7"/>
      <c r="P207" s="6" t="str">
        <f>""</f>
        <v/>
      </c>
      <c r="Q207" s="7"/>
      <c r="R207" s="1"/>
      <c r="S207" s="1" t="str">
        <f>"NOS-164-B/16"</f>
        <v>NOS-164-B/16</v>
      </c>
      <c r="T207" s="2" t="s">
        <v>33</v>
      </c>
    </row>
    <row r="208" spans="1:20" ht="51" x14ac:dyDescent="0.25">
      <c r="A208" s="1">
        <v>204</v>
      </c>
      <c r="B208" s="1" t="str">
        <f t="shared" si="13"/>
        <v>2016-3087</v>
      </c>
      <c r="C208" s="2" t="s">
        <v>381</v>
      </c>
      <c r="D208" s="1" t="s">
        <v>382</v>
      </c>
      <c r="E208" s="3" t="str">
        <f t="shared" si="14"/>
        <v>2016/S 002-0025863</v>
      </c>
      <c r="F208" s="2" t="s">
        <v>23</v>
      </c>
      <c r="G208" s="2" t="str">
        <f t="shared" si="15"/>
        <v>MB-ZAGREB D.O.O., NOVSKA 30, 10000 ZAGREB, OIB: 05029616439
EMIL FREY AUTO CENTAR D.O.O., KOVINSKA 5, 10000 ZAGREB, OIB: 01930677284</v>
      </c>
      <c r="H208" s="4"/>
      <c r="I208" s="1" t="s">
        <v>383</v>
      </c>
      <c r="J208" s="1" t="s">
        <v>384</v>
      </c>
      <c r="K208" s="6" t="str">
        <f>"2.500.000,00"</f>
        <v>2.500.000,00</v>
      </c>
      <c r="L208" s="6" t="str">
        <f>"625.000,00"</f>
        <v>625.000,00</v>
      </c>
      <c r="M208" s="6" t="str">
        <f>"3.125.000,00"</f>
        <v>3.125.000,00</v>
      </c>
      <c r="N208" s="7"/>
      <c r="O208" s="7"/>
      <c r="P208" s="6" t="str">
        <f>""</f>
        <v/>
      </c>
      <c r="Q208" s="7"/>
      <c r="R208" s="1"/>
      <c r="S208" s="1" t="str">
        <f>"NOS-164-C/16"</f>
        <v>NOS-164-C/16</v>
      </c>
      <c r="T208" s="2" t="s">
        <v>33</v>
      </c>
    </row>
    <row r="209" spans="1:20" ht="51" x14ac:dyDescent="0.25">
      <c r="A209" s="1">
        <v>205</v>
      </c>
      <c r="B209" s="1" t="str">
        <f t="shared" si="13"/>
        <v>2016-3087</v>
      </c>
      <c r="C209" s="2" t="s">
        <v>381</v>
      </c>
      <c r="D209" s="1" t="s">
        <v>382</v>
      </c>
      <c r="E209" s="3" t="str">
        <f t="shared" si="14"/>
        <v>2016/S 002-0025863</v>
      </c>
      <c r="F209" s="2" t="s">
        <v>23</v>
      </c>
      <c r="G209" s="2" t="str">
        <f t="shared" si="15"/>
        <v>MB-ZAGREB D.O.O., NOVSKA 30, 10000 ZAGREB, OIB: 05029616439
EMIL FREY AUTO CENTAR D.O.O., KOVINSKA 5, 10000 ZAGREB, OIB: 01930677284</v>
      </c>
      <c r="H209" s="4"/>
      <c r="I209" s="1" t="s">
        <v>383</v>
      </c>
      <c r="J209" s="1" t="s">
        <v>384</v>
      </c>
      <c r="K209" s="6" t="str">
        <f>"1.000.000,00"</f>
        <v>1.000.000,00</v>
      </c>
      <c r="L209" s="6" t="str">
        <f>"250.000,00"</f>
        <v>250.000,00</v>
      </c>
      <c r="M209" s="6" t="str">
        <f>"1.250.000,00"</f>
        <v>1.250.000,00</v>
      </c>
      <c r="N209" s="7"/>
      <c r="O209" s="7"/>
      <c r="P209" s="6" t="str">
        <f>""</f>
        <v/>
      </c>
      <c r="Q209" s="7"/>
      <c r="R209" s="1"/>
      <c r="S209" s="1" t="str">
        <f>"NOS-164-D/16"</f>
        <v>NOS-164-D/16</v>
      </c>
      <c r="T209" s="2" t="s">
        <v>33</v>
      </c>
    </row>
    <row r="210" spans="1:20" ht="51" x14ac:dyDescent="0.25">
      <c r="A210" s="1">
        <v>206</v>
      </c>
      <c r="B210" s="1" t="str">
        <f t="shared" si="13"/>
        <v>2016-3087</v>
      </c>
      <c r="C210" s="2" t="s">
        <v>381</v>
      </c>
      <c r="D210" s="1" t="s">
        <v>382</v>
      </c>
      <c r="E210" s="3" t="str">
        <f t="shared" si="14"/>
        <v>2016/S 002-0025863</v>
      </c>
      <c r="F210" s="2" t="s">
        <v>23</v>
      </c>
      <c r="G210" s="2" t="str">
        <f t="shared" si="15"/>
        <v>MB-ZAGREB D.O.O., NOVSKA 30, 10000 ZAGREB, OIB: 05029616439
EMIL FREY AUTO CENTAR D.O.O., KOVINSKA 5, 10000 ZAGREB, OIB: 01930677284</v>
      </c>
      <c r="H210" s="4"/>
      <c r="I210" s="1" t="s">
        <v>385</v>
      </c>
      <c r="J210" s="1" t="s">
        <v>386</v>
      </c>
      <c r="K210" s="6" t="str">
        <f>"3.000.000,00"</f>
        <v>3.000.000,00</v>
      </c>
      <c r="L210" s="6" t="str">
        <f>"750.000,00"</f>
        <v>750.000,00</v>
      </c>
      <c r="M210" s="6" t="str">
        <f>"3.750.000,00"</f>
        <v>3.750.000,00</v>
      </c>
      <c r="N210" s="7"/>
      <c r="O210" s="7"/>
      <c r="P210" s="6" t="str">
        <f>""</f>
        <v/>
      </c>
      <c r="Q210" s="7"/>
      <c r="R210" s="1"/>
      <c r="S210" s="1" t="str">
        <f>"NOS-164-E/16"</f>
        <v>NOS-164-E/16</v>
      </c>
      <c r="T210" s="2" t="s">
        <v>33</v>
      </c>
    </row>
    <row r="211" spans="1:20" ht="51" x14ac:dyDescent="0.25">
      <c r="A211" s="1">
        <v>207</v>
      </c>
      <c r="B211" s="1" t="str">
        <f t="shared" si="13"/>
        <v>2016-3087</v>
      </c>
      <c r="C211" s="2" t="s">
        <v>381</v>
      </c>
      <c r="D211" s="1" t="s">
        <v>382</v>
      </c>
      <c r="E211" s="3" t="str">
        <f t="shared" si="14"/>
        <v>2016/S 002-0025863</v>
      </c>
      <c r="F211" s="2" t="s">
        <v>23</v>
      </c>
      <c r="G211" s="2" t="str">
        <f t="shared" si="15"/>
        <v>MB-ZAGREB D.O.O., NOVSKA 30, 10000 ZAGREB, OIB: 05029616439
EMIL FREY AUTO CENTAR D.O.O., KOVINSKA 5, 10000 ZAGREB, OIB: 01930677284</v>
      </c>
      <c r="H211" s="4"/>
      <c r="I211" s="1" t="s">
        <v>385</v>
      </c>
      <c r="J211" s="1" t="s">
        <v>386</v>
      </c>
      <c r="K211" s="6" t="str">
        <f>"1.500.000,00"</f>
        <v>1.500.000,00</v>
      </c>
      <c r="L211" s="6" t="str">
        <f>"375.000,00"</f>
        <v>375.000,00</v>
      </c>
      <c r="M211" s="6" t="str">
        <f>"1.875.000,00"</f>
        <v>1.875.000,00</v>
      </c>
      <c r="N211" s="7"/>
      <c r="O211" s="7"/>
      <c r="P211" s="6" t="str">
        <f>""</f>
        <v/>
      </c>
      <c r="Q211" s="7"/>
      <c r="R211" s="1"/>
      <c r="S211" s="1" t="str">
        <f>"NOS-164-F/16"</f>
        <v>NOS-164-F/16</v>
      </c>
      <c r="T211" s="2" t="s">
        <v>33</v>
      </c>
    </row>
    <row r="212" spans="1:20" ht="51" x14ac:dyDescent="0.25">
      <c r="A212" s="1">
        <v>208</v>
      </c>
      <c r="B212" s="1" t="str">
        <f t="shared" si="13"/>
        <v>2016-3087</v>
      </c>
      <c r="C212" s="2" t="s">
        <v>381</v>
      </c>
      <c r="D212" s="1" t="s">
        <v>382</v>
      </c>
      <c r="E212" s="3" t="str">
        <f t="shared" si="14"/>
        <v>2016/S 002-0025863</v>
      </c>
      <c r="F212" s="2" t="s">
        <v>23</v>
      </c>
      <c r="G212" s="2" t="str">
        <f t="shared" si="15"/>
        <v>MB-ZAGREB D.O.O., NOVSKA 30, 10000 ZAGREB, OIB: 05029616439
EMIL FREY AUTO CENTAR D.O.O., KOVINSKA 5, 10000 ZAGREB, OIB: 01930677284</v>
      </c>
      <c r="H212" s="4"/>
      <c r="I212" s="1" t="s">
        <v>383</v>
      </c>
      <c r="J212" s="1" t="s">
        <v>384</v>
      </c>
      <c r="K212" s="6" t="str">
        <f>"1.500.000,00"</f>
        <v>1.500.000,00</v>
      </c>
      <c r="L212" s="6" t="str">
        <f>"375.000,00"</f>
        <v>375.000,00</v>
      </c>
      <c r="M212" s="6" t="str">
        <f>"1.875.000,00"</f>
        <v>1.875.000,00</v>
      </c>
      <c r="N212" s="7"/>
      <c r="O212" s="7"/>
      <c r="P212" s="6" t="str">
        <f>""</f>
        <v/>
      </c>
      <c r="Q212" s="7"/>
      <c r="R212" s="1"/>
      <c r="S212" s="1" t="str">
        <f>"NOS-164-G/16"</f>
        <v>NOS-164-G/16</v>
      </c>
      <c r="T212" s="2" t="s">
        <v>33</v>
      </c>
    </row>
    <row r="213" spans="1:20" ht="51" x14ac:dyDescent="0.25">
      <c r="A213" s="1">
        <v>209</v>
      </c>
      <c r="B213" s="1" t="str">
        <f t="shared" si="13"/>
        <v>2016-3087</v>
      </c>
      <c r="C213" s="2" t="s">
        <v>381</v>
      </c>
      <c r="D213" s="1" t="s">
        <v>382</v>
      </c>
      <c r="E213" s="3" t="str">
        <f t="shared" si="14"/>
        <v>2016/S 002-0025863</v>
      </c>
      <c r="F213" s="2" t="s">
        <v>23</v>
      </c>
      <c r="G213" s="2" t="str">
        <f t="shared" si="15"/>
        <v>MB-ZAGREB D.O.O., NOVSKA 30, 10000 ZAGREB, OIB: 05029616439
EMIL FREY AUTO CENTAR D.O.O., KOVINSKA 5, 10000 ZAGREB, OIB: 01930677284</v>
      </c>
      <c r="H213" s="4"/>
      <c r="I213" s="1" t="s">
        <v>383</v>
      </c>
      <c r="J213" s="1" t="s">
        <v>384</v>
      </c>
      <c r="K213" s="6" t="str">
        <f>"1.000.000,00"</f>
        <v>1.000.000,00</v>
      </c>
      <c r="L213" s="6" t="str">
        <f>"250.000,00"</f>
        <v>250.000,00</v>
      </c>
      <c r="M213" s="6" t="str">
        <f>"1.250.000,00"</f>
        <v>1.250.000,00</v>
      </c>
      <c r="N213" s="7"/>
      <c r="O213" s="7"/>
      <c r="P213" s="6" t="str">
        <f>""</f>
        <v/>
      </c>
      <c r="Q213" s="7"/>
      <c r="R213" s="1"/>
      <c r="S213" s="1" t="str">
        <f>"NOS-164-H/16"</f>
        <v>NOS-164-H/16</v>
      </c>
      <c r="T213" s="2" t="s">
        <v>33</v>
      </c>
    </row>
    <row r="214" spans="1:20" ht="51" x14ac:dyDescent="0.25">
      <c r="A214" s="1">
        <v>210</v>
      </c>
      <c r="B214" s="1" t="str">
        <f t="shared" si="13"/>
        <v>2016-3087</v>
      </c>
      <c r="C214" s="2" t="s">
        <v>381</v>
      </c>
      <c r="D214" s="1" t="s">
        <v>382</v>
      </c>
      <c r="E214" s="3" t="str">
        <f t="shared" si="14"/>
        <v>2016/S 002-0025863</v>
      </c>
      <c r="F214" s="2" t="s">
        <v>23</v>
      </c>
      <c r="G214" s="2" t="str">
        <f t="shared" si="15"/>
        <v>MB-ZAGREB D.O.O., NOVSKA 30, 10000 ZAGREB, OIB: 05029616439
EMIL FREY AUTO CENTAR D.O.O., KOVINSKA 5, 10000 ZAGREB, OIB: 01930677284</v>
      </c>
      <c r="H214" s="4"/>
      <c r="I214" s="1" t="s">
        <v>383</v>
      </c>
      <c r="J214" s="1" t="s">
        <v>384</v>
      </c>
      <c r="K214" s="6" t="str">
        <f>"1.500.000,00"</f>
        <v>1.500.000,00</v>
      </c>
      <c r="L214" s="6" t="str">
        <f>"375.000,00"</f>
        <v>375.000,00</v>
      </c>
      <c r="M214" s="6" t="str">
        <f>"1.875.000,00"</f>
        <v>1.875.000,00</v>
      </c>
      <c r="N214" s="7"/>
      <c r="O214" s="7"/>
      <c r="P214" s="6" t="str">
        <f>""</f>
        <v/>
      </c>
      <c r="Q214" s="7"/>
      <c r="R214" s="1"/>
      <c r="S214" s="1" t="str">
        <f>"NOS-164-I/16"</f>
        <v>NOS-164-I/16</v>
      </c>
      <c r="T214" s="2" t="s">
        <v>33</v>
      </c>
    </row>
    <row r="215" spans="1:20" ht="51" x14ac:dyDescent="0.25">
      <c r="A215" s="1">
        <v>211</v>
      </c>
      <c r="B215" s="1" t="str">
        <f t="shared" si="13"/>
        <v>2016-3087</v>
      </c>
      <c r="C215" s="2" t="s">
        <v>381</v>
      </c>
      <c r="D215" s="1" t="s">
        <v>382</v>
      </c>
      <c r="E215" s="3" t="str">
        <f t="shared" si="14"/>
        <v>2016/S 002-0025863</v>
      </c>
      <c r="F215" s="2" t="s">
        <v>23</v>
      </c>
      <c r="G215" s="2" t="str">
        <f t="shared" si="15"/>
        <v>MB-ZAGREB D.O.O., NOVSKA 30, 10000 ZAGREB, OIB: 05029616439
EMIL FREY AUTO CENTAR D.O.O., KOVINSKA 5, 10000 ZAGREB, OIB: 01930677284</v>
      </c>
      <c r="H215" s="4"/>
      <c r="I215" s="1" t="s">
        <v>383</v>
      </c>
      <c r="J215" s="1" t="s">
        <v>384</v>
      </c>
      <c r="K215" s="6" t="str">
        <f>"3.000.000,00"</f>
        <v>3.000.000,00</v>
      </c>
      <c r="L215" s="6" t="str">
        <f>"750.000,00"</f>
        <v>750.000,00</v>
      </c>
      <c r="M215" s="6" t="str">
        <f>"3.750.000,00"</f>
        <v>3.750.000,00</v>
      </c>
      <c r="N215" s="7"/>
      <c r="O215" s="7"/>
      <c r="P215" s="6" t="str">
        <f>""</f>
        <v/>
      </c>
      <c r="Q215" s="7"/>
      <c r="R215" s="1"/>
      <c r="S215" s="1" t="str">
        <f>"NOS-164-J/16"</f>
        <v>NOS-164-J/16</v>
      </c>
      <c r="T215" s="2" t="s">
        <v>33</v>
      </c>
    </row>
    <row r="216" spans="1:20" ht="114.75" x14ac:dyDescent="0.25">
      <c r="A216" s="1">
        <v>212</v>
      </c>
      <c r="B216" s="1" t="str">
        <f t="shared" ref="B216:B229" si="16">"2016-1"</f>
        <v>2016-1</v>
      </c>
      <c r="C216" s="2" t="s">
        <v>387</v>
      </c>
      <c r="D216" s="1" t="s">
        <v>388</v>
      </c>
      <c r="E216" s="3" t="str">
        <f>"2016/S 002-0016837"</f>
        <v>2016/S 002-0016837</v>
      </c>
      <c r="F216" s="2" t="s">
        <v>23</v>
      </c>
      <c r="G216" s="2" t="str">
        <f>CONCATENATE("TIP - ZAGREB D.O.O.,"," VINOGRADSKA 34,"," 10431 SVETA NEDJELJA,"," OIB: 36198195227",CHAR(10),"EBC-SISTEMI D.O.O.,"," ZVONIMIRA ROGOZA 20,"," 10000 ZAGREB,"," OIB: 34583734418",CHAR(10),"ZVIBOR D.O.O.,"," ZAVRTNICA 36,"," 10000 ZAGREB,"," OIB: 03454358063")</f>
        <v>TIP - ZAGREB D.O.O., VINOGRADSKA 34, 10431 SVETA NEDJELJA, OIB: 36198195227
EBC-SISTEMI D.O.O., ZVONIMIRA ROGOZA 20, 10000 ZAGREB, OIB: 34583734418
ZVIBOR D.O.O., ZAVRTNICA 36, 10000 ZAGREB, OIB: 03454358063</v>
      </c>
      <c r="H216" s="4"/>
      <c r="I216" s="1" t="s">
        <v>389</v>
      </c>
      <c r="J216" s="1" t="s">
        <v>390</v>
      </c>
      <c r="K216" s="6" t="str">
        <f>"8.100.000,00"</f>
        <v>8.100.000,00</v>
      </c>
      <c r="L216" s="6" t="str">
        <f>"2.025.000,00"</f>
        <v>2.025.000,00</v>
      </c>
      <c r="M216" s="6" t="str">
        <f>"10.125.000,00"</f>
        <v>10.125.000,00</v>
      </c>
      <c r="N216" s="7"/>
      <c r="O216" s="7"/>
      <c r="P216" s="6" t="str">
        <f>""</f>
        <v/>
      </c>
      <c r="Q216" s="7"/>
      <c r="R216" s="1"/>
      <c r="S216" s="1" t="str">
        <f>"NOS-165/16"</f>
        <v>NOS-165/16</v>
      </c>
      <c r="T216" s="2" t="s">
        <v>58</v>
      </c>
    </row>
    <row r="217" spans="1:20" ht="38.25" x14ac:dyDescent="0.25">
      <c r="A217" s="1">
        <v>213</v>
      </c>
      <c r="B217" s="1" t="str">
        <f t="shared" si="16"/>
        <v>2016-1</v>
      </c>
      <c r="C217" s="2" t="s">
        <v>387</v>
      </c>
      <c r="D217" s="1" t="s">
        <v>388</v>
      </c>
      <c r="E217" s="3" t="str">
        <f>""</f>
        <v/>
      </c>
      <c r="F217" s="2" t="s">
        <v>27</v>
      </c>
      <c r="G217" s="2" t="str">
        <f>CONCATENATE("ZVIBOR D.O.O.,"," ZAVRTNICA 36,"," 10000 ZAGREB,"," OIB: 03454358063")</f>
        <v>ZVIBOR D.O.O., ZAVRTNICA 36, 10000 ZAGREB, OIB: 03454358063</v>
      </c>
      <c r="H217" s="4"/>
      <c r="I217" s="1" t="s">
        <v>391</v>
      </c>
      <c r="J217" s="1" t="s">
        <v>40</v>
      </c>
      <c r="K217" s="6" t="str">
        <f>"235.075,00"</f>
        <v>235.075,00</v>
      </c>
      <c r="L217" s="6" t="str">
        <f>"58.768,75"</f>
        <v>58.768,75</v>
      </c>
      <c r="M217" s="6" t="str">
        <f>"293.843,75"</f>
        <v>293.843,75</v>
      </c>
      <c r="N217" s="5">
        <v>43594</v>
      </c>
      <c r="O217" s="7"/>
      <c r="P217" s="6" t="str">
        <f>"233.572,50"</f>
        <v>233.572,50</v>
      </c>
      <c r="Q217" s="7"/>
      <c r="R217" s="1"/>
      <c r="S217" s="1" t="str">
        <f>"1-18/NOS-165/16"</f>
        <v>1-18/NOS-165/16</v>
      </c>
      <c r="T217" s="2" t="s">
        <v>65</v>
      </c>
    </row>
    <row r="218" spans="1:20" ht="25.5" x14ac:dyDescent="0.25">
      <c r="A218" s="1">
        <v>214</v>
      </c>
      <c r="B218" s="1" t="str">
        <f t="shared" si="16"/>
        <v>2016-1</v>
      </c>
      <c r="C218" s="2" t="s">
        <v>387</v>
      </c>
      <c r="D218" s="1" t="s">
        <v>388</v>
      </c>
      <c r="E218" s="3" t="str">
        <f>""</f>
        <v/>
      </c>
      <c r="F218" s="2" t="s">
        <v>27</v>
      </c>
      <c r="G218" s="2" t="str">
        <f>CONCATENATE("ZVIBOR D.O.O.,"," ZAVRTNICA 36,"," 10000 ZAGREB,"," OIB: 03454358063")</f>
        <v>ZVIBOR D.O.O., ZAVRTNICA 36, 10000 ZAGREB, OIB: 03454358063</v>
      </c>
      <c r="H218" s="4"/>
      <c r="I218" s="1" t="s">
        <v>392</v>
      </c>
      <c r="J218" s="1" t="s">
        <v>42</v>
      </c>
      <c r="K218" s="6" t="str">
        <f>"102.318,00"</f>
        <v>102.318,00</v>
      </c>
      <c r="L218" s="6" t="str">
        <f>"25.579,50"</f>
        <v>25.579,50</v>
      </c>
      <c r="M218" s="6" t="str">
        <f>"127.897,50"</f>
        <v>127.897,50</v>
      </c>
      <c r="N218" s="5">
        <v>43522</v>
      </c>
      <c r="O218" s="7"/>
      <c r="P218" s="6" t="str">
        <f>"127.897,50"</f>
        <v>127.897,50</v>
      </c>
      <c r="Q218" s="7"/>
      <c r="R218" s="1"/>
      <c r="S218" s="1" t="str">
        <f>"17-18/NOS-165/16"</f>
        <v>17-18/NOS-165/16</v>
      </c>
      <c r="T218" s="2" t="s">
        <v>60</v>
      </c>
    </row>
    <row r="219" spans="1:20" ht="51" x14ac:dyDescent="0.25">
      <c r="A219" s="1">
        <v>215</v>
      </c>
      <c r="B219" s="1" t="str">
        <f t="shared" si="16"/>
        <v>2016-1</v>
      </c>
      <c r="C219" s="2" t="s">
        <v>393</v>
      </c>
      <c r="D219" s="1" t="s">
        <v>388</v>
      </c>
      <c r="E219" s="3" t="str">
        <f>""</f>
        <v/>
      </c>
      <c r="F219" s="2" t="s">
        <v>52</v>
      </c>
      <c r="G219" s="2" t="str">
        <f>CONCATENATE("ZVIBOR D.O.O.,"," ZAVRTNICA 36,"," 10000 ZAGREB,"," OIB: 03454358063")</f>
        <v>ZVIBOR D.O.O., ZAVRTNICA 36, 10000 ZAGREB, OIB: 03454358063</v>
      </c>
      <c r="H219" s="4"/>
      <c r="I219" s="1" t="s">
        <v>267</v>
      </c>
      <c r="J219" s="1" t="s">
        <v>42</v>
      </c>
      <c r="K219" s="6" t="str">
        <f>"560,00"</f>
        <v>560,00</v>
      </c>
      <c r="L219" s="6" t="str">
        <f>"140,00"</f>
        <v>140,00</v>
      </c>
      <c r="M219" s="6" t="str">
        <f>"700,00"</f>
        <v>700,00</v>
      </c>
      <c r="N219" s="5">
        <v>43518</v>
      </c>
      <c r="O219" s="7"/>
      <c r="P219" s="6" t="str">
        <f>"700,00"</f>
        <v>700,00</v>
      </c>
      <c r="Q219" s="7"/>
      <c r="R219" s="1"/>
      <c r="S219" s="1" t="str">
        <f>"17-18/NOS-165/16#1"</f>
        <v>17-18/NOS-165/16#1</v>
      </c>
      <c r="T219" s="2" t="s">
        <v>60</v>
      </c>
    </row>
    <row r="220" spans="1:20" ht="25.5" x14ac:dyDescent="0.25">
      <c r="A220" s="1">
        <v>216</v>
      </c>
      <c r="B220" s="1" t="str">
        <f t="shared" si="16"/>
        <v>2016-1</v>
      </c>
      <c r="C220" s="2" t="s">
        <v>387</v>
      </c>
      <c r="D220" s="1" t="s">
        <v>388</v>
      </c>
      <c r="E220" s="3" t="str">
        <f>""</f>
        <v/>
      </c>
      <c r="F220" s="2" t="s">
        <v>27</v>
      </c>
      <c r="G220" s="2" t="str">
        <f>CONCATENATE("TIP - ZAGREB D.O.O.,"," VINOGRADSKA 34,"," 10431 SVETA NEDJELJA,"," OIB: 36198195227")</f>
        <v>TIP - ZAGREB D.O.O., VINOGRADSKA 34, 10431 SVETA NEDJELJA, OIB: 36198195227</v>
      </c>
      <c r="H220" s="4"/>
      <c r="I220" s="1" t="s">
        <v>263</v>
      </c>
      <c r="J220" s="1" t="s">
        <v>28</v>
      </c>
      <c r="K220" s="6" t="str">
        <f>"410.909,00"</f>
        <v>410.909,00</v>
      </c>
      <c r="L220" s="6" t="str">
        <f>"102.727,25"</f>
        <v>102.727,25</v>
      </c>
      <c r="M220" s="6" t="str">
        <f>"513.636,25"</f>
        <v>513.636,25</v>
      </c>
      <c r="N220" s="5">
        <v>43718</v>
      </c>
      <c r="O220" s="7"/>
      <c r="P220" s="6" t="str">
        <f>"389.002,50"</f>
        <v>389.002,50</v>
      </c>
      <c r="Q220" s="7"/>
      <c r="R220" s="1"/>
      <c r="S220" s="1" t="str">
        <f>"20-18/NOS-165/16"</f>
        <v>20-18/NOS-165/16</v>
      </c>
      <c r="T220" s="2" t="s">
        <v>33</v>
      </c>
    </row>
    <row r="221" spans="1:20" ht="25.5" x14ac:dyDescent="0.25">
      <c r="A221" s="1">
        <v>217</v>
      </c>
      <c r="B221" s="1" t="str">
        <f t="shared" si="16"/>
        <v>2016-1</v>
      </c>
      <c r="C221" s="2" t="s">
        <v>387</v>
      </c>
      <c r="D221" s="4"/>
      <c r="E221" s="3" t="str">
        <f>""</f>
        <v/>
      </c>
      <c r="F221" s="2" t="s">
        <v>27</v>
      </c>
      <c r="G221" s="2" t="str">
        <f>CONCATENATE("ZVIBOR D.O.O.,"," ZAVRTNICA 36,"," 10000 ZAGREB,"," OIB: 03454358063")</f>
        <v>ZVIBOR D.O.O., ZAVRTNICA 36, 10000 ZAGREB, OIB: 03454358063</v>
      </c>
      <c r="H221" s="4"/>
      <c r="I221" s="1" t="s">
        <v>394</v>
      </c>
      <c r="J221" s="1" t="s">
        <v>395</v>
      </c>
      <c r="K221" s="6" t="str">
        <f>"314.570,00"</f>
        <v>314.570,00</v>
      </c>
      <c r="L221" s="6" t="str">
        <f>"78.642,50"</f>
        <v>78.642,50</v>
      </c>
      <c r="M221" s="6" t="str">
        <f>"393.212,50"</f>
        <v>393.212,50</v>
      </c>
      <c r="N221" s="5">
        <v>43711</v>
      </c>
      <c r="O221" s="7"/>
      <c r="P221" s="6" t="str">
        <f>"385.400,00"</f>
        <v>385.400,00</v>
      </c>
      <c r="Q221" s="7"/>
      <c r="R221" s="1"/>
      <c r="S221" s="1" t="str">
        <f>"3-19/NOS-165/16"</f>
        <v>3-19/NOS-165/16</v>
      </c>
      <c r="T221" s="2" t="s">
        <v>29</v>
      </c>
    </row>
    <row r="222" spans="1:20" ht="38.25" x14ac:dyDescent="0.25">
      <c r="A222" s="1">
        <v>218</v>
      </c>
      <c r="B222" s="1" t="str">
        <f t="shared" si="16"/>
        <v>2016-1</v>
      </c>
      <c r="C222" s="2" t="s">
        <v>387</v>
      </c>
      <c r="D222" s="4"/>
      <c r="E222" s="3" t="str">
        <f>""</f>
        <v/>
      </c>
      <c r="F222" s="2" t="s">
        <v>27</v>
      </c>
      <c r="G222" s="2" t="str">
        <f>CONCATENATE("TIP - ZAGREB D.O.O.,"," VINOGRADSKA 34,"," 10431 SVETA NEDJELJA,"," OIB: 36198195227")</f>
        <v>TIP - ZAGREB D.O.O., VINOGRADSKA 34, 10431 SVETA NEDJELJA, OIB: 36198195227</v>
      </c>
      <c r="H222" s="4"/>
      <c r="I222" s="1" t="s">
        <v>396</v>
      </c>
      <c r="J222" s="1" t="s">
        <v>397</v>
      </c>
      <c r="K222" s="6" t="str">
        <f>"138.677,00"</f>
        <v>138.677,00</v>
      </c>
      <c r="L222" s="6" t="str">
        <f>"34.669,25"</f>
        <v>34.669,25</v>
      </c>
      <c r="M222" s="6" t="str">
        <f>"173.346,25"</f>
        <v>173.346,25</v>
      </c>
      <c r="N222" s="1" t="s">
        <v>117</v>
      </c>
      <c r="O222" s="7"/>
      <c r="P222" s="6" t="str">
        <f>""</f>
        <v/>
      </c>
      <c r="Q222" s="7"/>
      <c r="R222" s="1"/>
      <c r="S222" s="1" t="str">
        <f>"18-19/NOS-165/16"</f>
        <v>18-19/NOS-165/16</v>
      </c>
      <c r="T222" s="2" t="s">
        <v>65</v>
      </c>
    </row>
    <row r="223" spans="1:20" ht="89.25" x14ac:dyDescent="0.25">
      <c r="A223" s="1">
        <v>219</v>
      </c>
      <c r="B223" s="1" t="str">
        <f t="shared" si="16"/>
        <v>2016-1</v>
      </c>
      <c r="C223" s="2" t="s">
        <v>387</v>
      </c>
      <c r="D223" s="1" t="s">
        <v>388</v>
      </c>
      <c r="E223" s="3" t="str">
        <f>""</f>
        <v/>
      </c>
      <c r="F223" s="2" t="s">
        <v>27</v>
      </c>
      <c r="G223" s="2" t="str">
        <f>CONCATENATE("ZVIBOR D.O.O.,"," ZAVRTNICA 36,"," 10000 ZAGREB,"," OIB: 03454358063")</f>
        <v>ZVIBOR D.O.O., ZAVRTNICA 36, 10000 ZAGREB, OIB: 03454358063</v>
      </c>
      <c r="H223" s="4"/>
      <c r="I223" s="1" t="s">
        <v>398</v>
      </c>
      <c r="J223" s="1" t="s">
        <v>140</v>
      </c>
      <c r="K223" s="6" t="str">
        <f>"242.430,00"</f>
        <v>242.430,00</v>
      </c>
      <c r="L223" s="6" t="str">
        <f>"60.607,50"</f>
        <v>60.607,50</v>
      </c>
      <c r="M223" s="6" t="str">
        <f>"303.037,50"</f>
        <v>303.037,50</v>
      </c>
      <c r="N223" s="5">
        <v>43480</v>
      </c>
      <c r="O223" s="7"/>
      <c r="P223" s="6" t="str">
        <f>"303.037,50"</f>
        <v>303.037,50</v>
      </c>
      <c r="Q223" s="7"/>
      <c r="R223" s="1"/>
      <c r="S223" s="1" t="str">
        <f>"19-18/NOS-165/16"</f>
        <v>19-18/NOS-165/16</v>
      </c>
      <c r="T223" s="2" t="s">
        <v>399</v>
      </c>
    </row>
    <row r="224" spans="1:20" ht="63.75" x14ac:dyDescent="0.25">
      <c r="A224" s="1">
        <v>220</v>
      </c>
      <c r="B224" s="1" t="str">
        <f t="shared" si="16"/>
        <v>2016-1</v>
      </c>
      <c r="C224" s="2" t="s">
        <v>387</v>
      </c>
      <c r="D224" s="1" t="s">
        <v>388</v>
      </c>
      <c r="E224" s="3" t="str">
        <f>""</f>
        <v/>
      </c>
      <c r="F224" s="2" t="s">
        <v>27</v>
      </c>
      <c r="G224" s="2" t="str">
        <f>CONCATENATE("ZVIBOR D.O.O.,"," ZAVRTNICA 36,"," 10000 ZAGREB,"," OIB: 03454358063")</f>
        <v>ZVIBOR D.O.O., ZAVRTNICA 36, 10000 ZAGREB, OIB: 03454358063</v>
      </c>
      <c r="H224" s="4"/>
      <c r="I224" s="1" t="s">
        <v>293</v>
      </c>
      <c r="J224" s="1" t="s">
        <v>64</v>
      </c>
      <c r="K224" s="6" t="str">
        <f>"110.725,00"</f>
        <v>110.725,00</v>
      </c>
      <c r="L224" s="6" t="str">
        <f>"27.681,25"</f>
        <v>27.681,25</v>
      </c>
      <c r="M224" s="6" t="str">
        <f>"138.406,25"</f>
        <v>138.406,25</v>
      </c>
      <c r="N224" s="5">
        <v>43551</v>
      </c>
      <c r="O224" s="7"/>
      <c r="P224" s="6" t="str">
        <f>"138.406,25"</f>
        <v>138.406,25</v>
      </c>
      <c r="Q224" s="7"/>
      <c r="R224" s="1"/>
      <c r="S224" s="1" t="str">
        <f>"1-19/NOS-165/16"</f>
        <v>1-19/NOS-165/16</v>
      </c>
      <c r="T224" s="2" t="s">
        <v>400</v>
      </c>
    </row>
    <row r="225" spans="1:20" ht="51" x14ac:dyDescent="0.25">
      <c r="A225" s="1">
        <v>221</v>
      </c>
      <c r="B225" s="1" t="str">
        <f t="shared" si="16"/>
        <v>2016-1</v>
      </c>
      <c r="C225" s="2" t="s">
        <v>393</v>
      </c>
      <c r="D225" s="1" t="s">
        <v>388</v>
      </c>
      <c r="E225" s="3" t="str">
        <f>""</f>
        <v/>
      </c>
      <c r="F225" s="2" t="s">
        <v>52</v>
      </c>
      <c r="G225" s="2" t="str">
        <f>CONCATENATE("ZVIBOR D.O.O.,"," ZAVRTNICA 36,"," 10000 ZAGREB,"," OIB: 03454358063")</f>
        <v>ZVIBOR D.O.O., ZAVRTNICA 36, 10000 ZAGREB, OIB: 03454358063</v>
      </c>
      <c r="H225" s="4"/>
      <c r="I225" s="1" t="s">
        <v>319</v>
      </c>
      <c r="J225" s="1" t="s">
        <v>45</v>
      </c>
      <c r="K225" s="6" t="str">
        <f>""</f>
        <v/>
      </c>
      <c r="L225" s="6" t="str">
        <f>"0,00"</f>
        <v>0,00</v>
      </c>
      <c r="M225" s="6" t="str">
        <f>"0,00"</f>
        <v>0,00</v>
      </c>
      <c r="N225" s="5">
        <v>43605</v>
      </c>
      <c r="O225" s="7"/>
      <c r="P225" s="6" t="str">
        <f>"3.720,00"</f>
        <v>3.720,00</v>
      </c>
      <c r="Q225" s="7"/>
      <c r="R225" s="1"/>
      <c r="S225" s="1" t="str">
        <f>"1-19/NOS-165/16#1"</f>
        <v>1-19/NOS-165/16#1</v>
      </c>
      <c r="T225" s="2" t="s">
        <v>33</v>
      </c>
    </row>
    <row r="226" spans="1:20" ht="25.5" x14ac:dyDescent="0.25">
      <c r="A226" s="1">
        <v>222</v>
      </c>
      <c r="B226" s="1" t="str">
        <f t="shared" si="16"/>
        <v>2016-1</v>
      </c>
      <c r="C226" s="2" t="s">
        <v>387</v>
      </c>
      <c r="D226" s="1" t="s">
        <v>388</v>
      </c>
      <c r="E226" s="3" t="str">
        <f>""</f>
        <v/>
      </c>
      <c r="F226" s="2" t="s">
        <v>27</v>
      </c>
      <c r="G226" s="2" t="str">
        <f>CONCATENATE("TIP - ZAGREB D.O.O.,"," VINOGRADSKA 34,"," 10431 SVETA NEDJELJA,"," OIB: 36198195227")</f>
        <v>TIP - ZAGREB D.O.O., VINOGRADSKA 34, 10431 SVETA NEDJELJA, OIB: 36198195227</v>
      </c>
      <c r="H226" s="4"/>
      <c r="I226" s="1" t="s">
        <v>318</v>
      </c>
      <c r="J226" s="1" t="s">
        <v>355</v>
      </c>
      <c r="K226" s="6" t="str">
        <f>"3.172,00"</f>
        <v>3.172,00</v>
      </c>
      <c r="L226" s="6" t="str">
        <f>"793,00"</f>
        <v>793,00</v>
      </c>
      <c r="M226" s="6" t="str">
        <f>"3.965,00"</f>
        <v>3.965,00</v>
      </c>
      <c r="N226" s="5">
        <v>43581</v>
      </c>
      <c r="O226" s="7"/>
      <c r="P226" s="6" t="str">
        <f>"3.965,00"</f>
        <v>3.965,00</v>
      </c>
      <c r="Q226" s="7"/>
      <c r="R226" s="1"/>
      <c r="S226" s="1" t="str">
        <f>"2-19/NOS-165/16"</f>
        <v>2-19/NOS-165/16</v>
      </c>
      <c r="T226" s="2" t="s">
        <v>33</v>
      </c>
    </row>
    <row r="227" spans="1:20" ht="25.5" x14ac:dyDescent="0.25">
      <c r="A227" s="1">
        <v>223</v>
      </c>
      <c r="B227" s="1" t="str">
        <f t="shared" si="16"/>
        <v>2016-1</v>
      </c>
      <c r="C227" s="2" t="s">
        <v>387</v>
      </c>
      <c r="D227" s="1" t="s">
        <v>388</v>
      </c>
      <c r="E227" s="3" t="str">
        <f>""</f>
        <v/>
      </c>
      <c r="F227" s="2" t="s">
        <v>27</v>
      </c>
      <c r="G227" s="2" t="str">
        <f>CONCATENATE("TIP - ZAGREB D.O.O.,"," VINOGRADSKA 34,"," 10431 SVETA NEDJELJA,"," OIB: 36198195227")</f>
        <v>TIP - ZAGREB D.O.O., VINOGRADSKA 34, 10431 SVETA NEDJELJA, OIB: 36198195227</v>
      </c>
      <c r="H227" s="4"/>
      <c r="I227" s="1" t="s">
        <v>401</v>
      </c>
      <c r="J227" s="1" t="s">
        <v>73</v>
      </c>
      <c r="K227" s="6" t="str">
        <f>"56.572,00"</f>
        <v>56.572,00</v>
      </c>
      <c r="L227" s="6" t="str">
        <f>"14.143,00"</f>
        <v>14.143,00</v>
      </c>
      <c r="M227" s="6" t="str">
        <f>"70.715,00"</f>
        <v>70.715,00</v>
      </c>
      <c r="N227" s="5">
        <v>43627</v>
      </c>
      <c r="O227" s="7"/>
      <c r="P227" s="6" t="str">
        <f>"67.540,00"</f>
        <v>67.540,00</v>
      </c>
      <c r="Q227" s="7"/>
      <c r="R227" s="1"/>
      <c r="S227" s="1" t="str">
        <f>"4-19/NOS-165/16"</f>
        <v>4-19/NOS-165/16</v>
      </c>
      <c r="T227" s="2" t="s">
        <v>33</v>
      </c>
    </row>
    <row r="228" spans="1:20" ht="63.75" x14ac:dyDescent="0.25">
      <c r="A228" s="1">
        <v>224</v>
      </c>
      <c r="B228" s="1" t="str">
        <f t="shared" si="16"/>
        <v>2016-1</v>
      </c>
      <c r="C228" s="2" t="s">
        <v>387</v>
      </c>
      <c r="D228" s="1" t="s">
        <v>388</v>
      </c>
      <c r="E228" s="3" t="str">
        <f>""</f>
        <v/>
      </c>
      <c r="F228" s="2" t="s">
        <v>27</v>
      </c>
      <c r="G228" s="2" t="str">
        <f>CONCATENATE("TIP - ZAGREB D.O.O.,"," VINOGRADSKA 34,"," 10431 SVETA NEDJELJA,"," OIB: 36198195227")</f>
        <v>TIP - ZAGREB D.O.O., VINOGRADSKA 34, 10431 SVETA NEDJELJA, OIB: 36198195227</v>
      </c>
      <c r="H228" s="4"/>
      <c r="I228" s="1" t="s">
        <v>402</v>
      </c>
      <c r="J228" s="1" t="s">
        <v>114</v>
      </c>
      <c r="K228" s="6" t="str">
        <f>"94.689,00"</f>
        <v>94.689,00</v>
      </c>
      <c r="L228" s="6" t="str">
        <f>"23.672,25"</f>
        <v>23.672,25</v>
      </c>
      <c r="M228" s="6" t="str">
        <f>"118.361,25"</f>
        <v>118.361,25</v>
      </c>
      <c r="N228" s="5">
        <v>43689</v>
      </c>
      <c r="O228" s="7"/>
      <c r="P228" s="6" t="str">
        <f>"118.361,25"</f>
        <v>118.361,25</v>
      </c>
      <c r="Q228" s="7"/>
      <c r="R228" s="1"/>
      <c r="S228" s="1" t="str">
        <f>"5-19/NOS-165/16"</f>
        <v>5-19/NOS-165/16</v>
      </c>
      <c r="T228" s="2" t="s">
        <v>400</v>
      </c>
    </row>
    <row r="229" spans="1:20" ht="63.75" x14ac:dyDescent="0.25">
      <c r="A229" s="1">
        <v>225</v>
      </c>
      <c r="B229" s="1" t="str">
        <f t="shared" si="16"/>
        <v>2016-1</v>
      </c>
      <c r="C229" s="2" t="s">
        <v>387</v>
      </c>
      <c r="D229" s="1" t="s">
        <v>388</v>
      </c>
      <c r="E229" s="3" t="str">
        <f>""</f>
        <v/>
      </c>
      <c r="F229" s="2" t="s">
        <v>27</v>
      </c>
      <c r="G229" s="2" t="str">
        <f>CONCATENATE("TIP - ZAGREB D.O.O.,"," VINOGRADSKA 34,"," 10431 SVETA NEDJELJA,"," OIB: 36198195227")</f>
        <v>TIP - ZAGREB D.O.O., VINOGRADSKA 34, 10431 SVETA NEDJELJA, OIB: 36198195227</v>
      </c>
      <c r="H229" s="4"/>
      <c r="I229" s="1" t="s">
        <v>403</v>
      </c>
      <c r="J229" s="1" t="s">
        <v>404</v>
      </c>
      <c r="K229" s="6" t="str">
        <f>"150.954,00"</f>
        <v>150.954,00</v>
      </c>
      <c r="L229" s="6" t="str">
        <f>"37.738,50"</f>
        <v>37.738,50</v>
      </c>
      <c r="M229" s="6" t="str">
        <f>"188.692,50"</f>
        <v>188.692,50</v>
      </c>
      <c r="N229" s="5">
        <v>43668</v>
      </c>
      <c r="O229" s="7"/>
      <c r="P229" s="6" t="str">
        <f>"188.508,75"</f>
        <v>188.508,75</v>
      </c>
      <c r="Q229" s="7"/>
      <c r="R229" s="1"/>
      <c r="S229" s="1" t="str">
        <f>"19-19/NOS-165/16"</f>
        <v>19-19/NOS-165/16</v>
      </c>
      <c r="T229" s="2" t="s">
        <v>79</v>
      </c>
    </row>
    <row r="230" spans="1:20" ht="51" x14ac:dyDescent="0.25">
      <c r="A230" s="1">
        <v>226</v>
      </c>
      <c r="B230" s="1" t="str">
        <f>"2017-2"</f>
        <v>2017-2</v>
      </c>
      <c r="C230" s="2" t="s">
        <v>405</v>
      </c>
      <c r="D230" s="1" t="s">
        <v>406</v>
      </c>
      <c r="E230" s="3" t="str">
        <f>" 2017/S 0F2-0002498"</f>
        <v xml:space="preserve"> 2017/S 0F2-0002498</v>
      </c>
      <c r="F230" s="2" t="s">
        <v>23</v>
      </c>
      <c r="G230" s="2" t="str">
        <f>CONCATENATE("VIATOR D.O.O.,"," KRALJA DRŽISLAVA 6,"," 21000 SPLIT,"," OIB: 64731717121",CHAR(10),"AUTOFLOTA D.O.O.,"," SAVSKA OPATOVINA 42,"," 10090 ZAGREB,"," OIB: 96788157124")</f>
        <v>VIATOR D.O.O., KRALJA DRŽISLAVA 6, 21000 SPLIT, OIB: 64731717121
AUTOFLOTA D.O.O., SAVSKA OPATOVINA 42, 10090 ZAGREB, OIB: 96788157124</v>
      </c>
      <c r="H230" s="4"/>
      <c r="I230" s="1" t="s">
        <v>407</v>
      </c>
      <c r="J230" s="1" t="s">
        <v>408</v>
      </c>
      <c r="K230" s="6" t="str">
        <f>"1.590.000,00"</f>
        <v>1.590.000,00</v>
      </c>
      <c r="L230" s="6" t="str">
        <f>"397.500,00"</f>
        <v>397.500,00</v>
      </c>
      <c r="M230" s="6" t="str">
        <f>"1.987.500,00"</f>
        <v>1.987.500,00</v>
      </c>
      <c r="N230" s="7"/>
      <c r="O230" s="7"/>
      <c r="P230" s="6" t="str">
        <f>""</f>
        <v/>
      </c>
      <c r="Q230" s="7"/>
      <c r="R230" s="1"/>
      <c r="S230" s="1" t="str">
        <f>"NOS-1/17"</f>
        <v>NOS-1/17</v>
      </c>
      <c r="T230" s="2" t="s">
        <v>26</v>
      </c>
    </row>
    <row r="231" spans="1:20" ht="38.25" x14ac:dyDescent="0.25">
      <c r="A231" s="1">
        <v>227</v>
      </c>
      <c r="B231" s="1" t="str">
        <f>"2017-88"</f>
        <v>2017-88</v>
      </c>
      <c r="C231" s="2" t="s">
        <v>409</v>
      </c>
      <c r="D231" s="1" t="s">
        <v>388</v>
      </c>
      <c r="E231" s="3" t="str">
        <f>"2017/S 0F2-0004296"</f>
        <v>2017/S 0F2-0004296</v>
      </c>
      <c r="F231" s="2" t="s">
        <v>23</v>
      </c>
      <c r="G231" s="2" t="str">
        <f>CONCATENATE("BIRODOM D.O.O.,"," UL. HOJNIKOVA 19,"," 10250 LUČKO,"," OIB: 47794513055")</f>
        <v>BIRODOM D.O.O., UL. HOJNIKOVA 19, 10250 LUČKO, OIB: 47794513055</v>
      </c>
      <c r="H231" s="4"/>
      <c r="I231" s="1" t="s">
        <v>410</v>
      </c>
      <c r="J231" s="1" t="s">
        <v>74</v>
      </c>
      <c r="K231" s="6" t="str">
        <f>"700.000,00"</f>
        <v>700.000,00</v>
      </c>
      <c r="L231" s="6" t="str">
        <f>"175.000,00"</f>
        <v>175.000,00</v>
      </c>
      <c r="M231" s="6" t="str">
        <f>"875.000,00"</f>
        <v>875.000,00</v>
      </c>
      <c r="N231" s="7"/>
      <c r="O231" s="7"/>
      <c r="P231" s="6" t="str">
        <f>""</f>
        <v/>
      </c>
      <c r="Q231" s="7"/>
      <c r="R231" s="1"/>
      <c r="S231" s="1" t="str">
        <f>"NOS-2/17"</f>
        <v>NOS-2/17</v>
      </c>
      <c r="T231" s="2" t="s">
        <v>33</v>
      </c>
    </row>
    <row r="232" spans="1:20" ht="38.25" x14ac:dyDescent="0.25">
      <c r="A232" s="1">
        <v>228</v>
      </c>
      <c r="B232" s="1" t="str">
        <f>"2017-87"</f>
        <v>2017-87</v>
      </c>
      <c r="C232" s="2" t="s">
        <v>411</v>
      </c>
      <c r="D232" s="1" t="s">
        <v>412</v>
      </c>
      <c r="E232" s="3" t="str">
        <f>"2017/S 0F2-0004010"</f>
        <v>2017/S 0F2-0004010</v>
      </c>
      <c r="F232" s="2" t="s">
        <v>23</v>
      </c>
      <c r="G232" s="2" t="str">
        <f>CONCATENATE("ČIS-ŠTEFANAC,"," VL. MILAN ŠTEFANAC,"," 14. PODBREŽJE 7,"," 10000 ZAGREB,"," OIB: 08999470387")</f>
        <v>ČIS-ŠTEFANAC, VL. MILAN ŠTEFANAC, 14. PODBREŽJE 7, 10000 ZAGREB, OIB: 08999470387</v>
      </c>
      <c r="H232" s="4"/>
      <c r="I232" s="1" t="s">
        <v>413</v>
      </c>
      <c r="J232" s="1" t="s">
        <v>414</v>
      </c>
      <c r="K232" s="6" t="str">
        <f>"1.200.000,00"</f>
        <v>1.200.000,00</v>
      </c>
      <c r="L232" s="6" t="str">
        <f>"300.000,00"</f>
        <v>300.000,00</v>
      </c>
      <c r="M232" s="6" t="str">
        <f>"1.500.000,00"</f>
        <v>1.500.000,00</v>
      </c>
      <c r="N232" s="7"/>
      <c r="O232" s="7"/>
      <c r="P232" s="6" t="str">
        <f>""</f>
        <v/>
      </c>
      <c r="Q232" s="7"/>
      <c r="R232" s="1"/>
      <c r="S232" s="1" t="str">
        <f>"NOS-3/17"</f>
        <v>NOS-3/17</v>
      </c>
      <c r="T232" s="2" t="s">
        <v>33</v>
      </c>
    </row>
    <row r="233" spans="1:20" ht="76.5" x14ac:dyDescent="0.25">
      <c r="A233" s="1">
        <v>229</v>
      </c>
      <c r="B233" s="1" t="str">
        <f>"2017-368"</f>
        <v>2017-368</v>
      </c>
      <c r="C233" s="2" t="s">
        <v>415</v>
      </c>
      <c r="D233" s="1" t="s">
        <v>416</v>
      </c>
      <c r="E233" s="3" t="str">
        <f>"2017/S 0F2-0007284"</f>
        <v>2017/S 0F2-0007284</v>
      </c>
      <c r="F233" s="2" t="s">
        <v>23</v>
      </c>
      <c r="G233" s="2" t="str">
        <f>CONCATENATE("LKD - 1992 D.O.O.,"," GRAHOROVA 15,"," 10000 ZAGREB,"," OIB: 47798803417",CHAR(10),"ALTOCOMM D.O.O.,"," HRELIĆKA 12,"," 10000 ZAGREB,"," OIB: 80653493587",CHAR(10),"D-INTER D.O.O.,"," FAKULTETSKO DOBRO 6,"," 10000 ZAGREB,"," OIB: 35575038316")</f>
        <v>LKD - 1992 D.O.O., GRAHOROVA 15, 10000 ZAGREB, OIB: 47798803417
ALTOCOMM D.O.O., HRELIĆKA 12, 10000 ZAGREB, OIB: 80653493587
D-INTER D.O.O., FAKULTETSKO DOBRO 6, 10000 ZAGREB, OIB: 35575038316</v>
      </c>
      <c r="H233" s="4"/>
      <c r="I233" s="1" t="s">
        <v>417</v>
      </c>
      <c r="J233" s="1" t="s">
        <v>418</v>
      </c>
      <c r="K233" s="6" t="str">
        <f>"1.250.000,00"</f>
        <v>1.250.000,00</v>
      </c>
      <c r="L233" s="6" t="str">
        <f>"312.500,00"</f>
        <v>312.500,00</v>
      </c>
      <c r="M233" s="6" t="str">
        <f>"1.562.500,00"</f>
        <v>1.562.500,00</v>
      </c>
      <c r="N233" s="7"/>
      <c r="O233" s="7"/>
      <c r="P233" s="6" t="str">
        <f>""</f>
        <v/>
      </c>
      <c r="Q233" s="7"/>
      <c r="R233" s="1"/>
      <c r="S233" s="1" t="str">
        <f>"NOS-4/17"</f>
        <v>NOS-4/17</v>
      </c>
      <c r="T233" s="2" t="s">
        <v>400</v>
      </c>
    </row>
    <row r="234" spans="1:20" ht="89.25" x14ac:dyDescent="0.25">
      <c r="A234" s="1">
        <v>230</v>
      </c>
      <c r="B234" s="1" t="str">
        <f t="shared" ref="B234:B239" si="17">"2017-361"</f>
        <v>2017-361</v>
      </c>
      <c r="C234" s="2" t="s">
        <v>419</v>
      </c>
      <c r="D234" s="1" t="s">
        <v>420</v>
      </c>
      <c r="E234" s="3" t="str">
        <f>"2017/S 0F2-0005230"</f>
        <v>2017/S 0F2-0005230</v>
      </c>
      <c r="F234" s="2" t="s">
        <v>23</v>
      </c>
      <c r="G234" s="2" t="str">
        <f>CONCATENATE("DIV GRUPA  D.O.O. ZA USLUGE,"," BOBOVICA 10/A,"," 10430 SAMOBOR,"," OIB: 33890755814",CHAR(10),"VODOSKOK D.D.,"," ČULINEČKA CESTA 221/C,"," 10040 ZAGREB,"," OIB: 34134218058",CHAR(10),"ELEKTROCENTAR PETEK D.O.O.,"," ETANSKA CESTA 8,"," 10310 IVANIĆ-GRAD,"," OIB: 17491977848")</f>
        <v>DIV GRUPA  D.O.O. ZA USLUGE, BOBOVICA 10/A, 10430 SAMOBOR, OIB: 33890755814
VODOSKOK D.D., ČULINEČKA CESTA 221/C, 10040 ZAGREB, OIB: 34134218058
ELEKTROCENTAR PETEK D.O.O., ETANSKA CESTA 8, 10310 IVANIĆ-GRAD, OIB: 17491977848</v>
      </c>
      <c r="H234" s="4"/>
      <c r="I234" s="1" t="s">
        <v>421</v>
      </c>
      <c r="J234" s="1" t="s">
        <v>422</v>
      </c>
      <c r="K234" s="6" t="str">
        <f>"1.000.000,00"</f>
        <v>1.000.000,00</v>
      </c>
      <c r="L234" s="6" t="str">
        <f>"250.000,00"</f>
        <v>250.000,00</v>
      </c>
      <c r="M234" s="6" t="str">
        <f>"1.250.000,00"</f>
        <v>1.250.000,00</v>
      </c>
      <c r="N234" s="7"/>
      <c r="O234" s="7"/>
      <c r="P234" s="6" t="str">
        <f>""</f>
        <v/>
      </c>
      <c r="Q234" s="7"/>
      <c r="R234" s="1"/>
      <c r="S234" s="1" t="str">
        <f>"NOS-5/17"</f>
        <v>NOS-5/17</v>
      </c>
      <c r="T234" s="2" t="s">
        <v>26</v>
      </c>
    </row>
    <row r="235" spans="1:20" ht="38.25" x14ac:dyDescent="0.25">
      <c r="A235" s="1">
        <v>231</v>
      </c>
      <c r="B235" s="1" t="str">
        <f t="shared" si="17"/>
        <v>2017-361</v>
      </c>
      <c r="C235" s="2" t="s">
        <v>419</v>
      </c>
      <c r="D235" s="1" t="s">
        <v>420</v>
      </c>
      <c r="E235" s="3" t="str">
        <f>""</f>
        <v/>
      </c>
      <c r="F235" s="2" t="s">
        <v>27</v>
      </c>
      <c r="G235" s="2" t="str">
        <f>CONCATENATE("DIV GRUPA  D.O.O. ZA USLUGE,"," BOBOVICA 10/A,"," 10430 SAMOBOR,"," OIB: 33890755814")</f>
        <v>DIV GRUPA  D.O.O. ZA USLUGE, BOBOVICA 10/A, 10430 SAMOBOR, OIB: 33890755814</v>
      </c>
      <c r="H235" s="4"/>
      <c r="I235" s="1" t="s">
        <v>200</v>
      </c>
      <c r="J235" s="1" t="s">
        <v>140</v>
      </c>
      <c r="K235" s="6" t="str">
        <f>"1.890,45"</f>
        <v>1.890,45</v>
      </c>
      <c r="L235" s="6" t="str">
        <f>"472,61"</f>
        <v>472,61</v>
      </c>
      <c r="M235" s="6" t="str">
        <f>"2.363,06"</f>
        <v>2.363,06</v>
      </c>
      <c r="N235" s="5">
        <v>43509</v>
      </c>
      <c r="O235" s="7"/>
      <c r="P235" s="6" t="str">
        <f>"2.230,56"</f>
        <v>2.230,56</v>
      </c>
      <c r="Q235" s="7"/>
      <c r="R235" s="1"/>
      <c r="S235" s="1" t="str">
        <f>"13-18/NOS-5/17"</f>
        <v>13-18/NOS-5/17</v>
      </c>
      <c r="T235" s="2" t="s">
        <v>26</v>
      </c>
    </row>
    <row r="236" spans="1:20" ht="25.5" x14ac:dyDescent="0.25">
      <c r="A236" s="1">
        <v>232</v>
      </c>
      <c r="B236" s="1" t="str">
        <f t="shared" si="17"/>
        <v>2017-361</v>
      </c>
      <c r="C236" s="2" t="s">
        <v>419</v>
      </c>
      <c r="D236" s="1" t="s">
        <v>420</v>
      </c>
      <c r="E236" s="3" t="str">
        <f>""</f>
        <v/>
      </c>
      <c r="F236" s="2" t="s">
        <v>27</v>
      </c>
      <c r="G236" s="2" t="str">
        <f>CONCATENATE("DIV GRUPA  D.O.O. ZA USLUGE,"," BOBOVICA 10/A,"," 10430 SAMOBOR,"," OIB: 33890755814")</f>
        <v>DIV GRUPA  D.O.O. ZA USLUGE, BOBOVICA 10/A, 10430 SAMOBOR, OIB: 33890755814</v>
      </c>
      <c r="H236" s="4"/>
      <c r="I236" s="1" t="s">
        <v>423</v>
      </c>
      <c r="J236" s="1" t="s">
        <v>64</v>
      </c>
      <c r="K236" s="6" t="str">
        <f>"700,00"</f>
        <v>700,00</v>
      </c>
      <c r="L236" s="6" t="str">
        <f>"175,00"</f>
        <v>175,00</v>
      </c>
      <c r="M236" s="6" t="str">
        <f>"875,00"</f>
        <v>875,00</v>
      </c>
      <c r="N236" s="5">
        <v>43544</v>
      </c>
      <c r="O236" s="7"/>
      <c r="P236" s="6" t="str">
        <f>"875,00"</f>
        <v>875,00</v>
      </c>
      <c r="Q236" s="7"/>
      <c r="R236" s="1"/>
      <c r="S236" s="1" t="str">
        <f>"1-19/NOS-5/17"</f>
        <v>1-19/NOS-5/17</v>
      </c>
      <c r="T236" s="2" t="s">
        <v>33</v>
      </c>
    </row>
    <row r="237" spans="1:20" ht="38.25" x14ac:dyDescent="0.25">
      <c r="A237" s="1">
        <v>233</v>
      </c>
      <c r="B237" s="1" t="str">
        <f t="shared" si="17"/>
        <v>2017-361</v>
      </c>
      <c r="C237" s="2" t="s">
        <v>419</v>
      </c>
      <c r="D237" s="1" t="s">
        <v>420</v>
      </c>
      <c r="E237" s="3" t="str">
        <f>""</f>
        <v/>
      </c>
      <c r="F237" s="2" t="s">
        <v>27</v>
      </c>
      <c r="G237" s="2" t="str">
        <f>CONCATENATE("ELEKTROCENTAR PETEK D.O.O.,"," ETANSKA CESTA 8,"," 10310 IVANIĆ-GRAD,"," OIB: 17491977848")</f>
        <v>ELEKTROCENTAR PETEK D.O.O., ETANSKA CESTA 8, 10310 IVANIĆ-GRAD, OIB: 17491977848</v>
      </c>
      <c r="H237" s="4"/>
      <c r="I237" s="1" t="s">
        <v>322</v>
      </c>
      <c r="J237" s="1" t="s">
        <v>355</v>
      </c>
      <c r="K237" s="6" t="str">
        <f>"83.246,96"</f>
        <v>83.246,96</v>
      </c>
      <c r="L237" s="6" t="str">
        <f>"20.811,74"</f>
        <v>20.811,74</v>
      </c>
      <c r="M237" s="6" t="str">
        <f>"104.058,70"</f>
        <v>104.058,70</v>
      </c>
      <c r="N237" s="5">
        <v>43614</v>
      </c>
      <c r="O237" s="7"/>
      <c r="P237" s="6" t="str">
        <f>"104.054,39"</f>
        <v>104.054,39</v>
      </c>
      <c r="Q237" s="7"/>
      <c r="R237" s="1"/>
      <c r="S237" s="1" t="str">
        <f>"2-19/NOS-5/17"</f>
        <v>2-19/NOS-5/17</v>
      </c>
      <c r="T237" s="2" t="s">
        <v>26</v>
      </c>
    </row>
    <row r="238" spans="1:20" ht="38.25" x14ac:dyDescent="0.25">
      <c r="A238" s="1">
        <v>234</v>
      </c>
      <c r="B238" s="1" t="str">
        <f t="shared" si="17"/>
        <v>2017-361</v>
      </c>
      <c r="C238" s="2" t="s">
        <v>419</v>
      </c>
      <c r="D238" s="1" t="s">
        <v>420</v>
      </c>
      <c r="E238" s="3" t="str">
        <f>""</f>
        <v/>
      </c>
      <c r="F238" s="2" t="s">
        <v>27</v>
      </c>
      <c r="G238" s="2" t="str">
        <f>CONCATENATE("DIV GRUPA  D.O.O. ZA USLUGE,"," BOBOVICA 10/A,"," 10430 SAMOBOR,"," OIB: 33890755814")</f>
        <v>DIV GRUPA  D.O.O. ZA USLUGE, BOBOVICA 10/A, 10430 SAMOBOR, OIB: 33890755814</v>
      </c>
      <c r="H238" s="4"/>
      <c r="I238" s="1" t="s">
        <v>32</v>
      </c>
      <c r="J238" s="1" t="s">
        <v>37</v>
      </c>
      <c r="K238" s="6" t="str">
        <f>"3.913,20"</f>
        <v>3.913,20</v>
      </c>
      <c r="L238" s="6" t="str">
        <f>"978,30"</f>
        <v>978,30</v>
      </c>
      <c r="M238" s="6" t="str">
        <f>"4.891,50"</f>
        <v>4.891,50</v>
      </c>
      <c r="N238" s="5">
        <v>43656</v>
      </c>
      <c r="O238" s="7"/>
      <c r="P238" s="6" t="str">
        <f>"496,75"</f>
        <v>496,75</v>
      </c>
      <c r="Q238" s="7"/>
      <c r="R238" s="1"/>
      <c r="S238" s="1" t="str">
        <f>"3-19/NOS-5/17"</f>
        <v>3-19/NOS-5/17</v>
      </c>
      <c r="T238" s="2" t="s">
        <v>26</v>
      </c>
    </row>
    <row r="239" spans="1:20" ht="38.25" x14ac:dyDescent="0.25">
      <c r="A239" s="1">
        <v>235</v>
      </c>
      <c r="B239" s="1" t="str">
        <f t="shared" si="17"/>
        <v>2017-361</v>
      </c>
      <c r="C239" s="2" t="s">
        <v>419</v>
      </c>
      <c r="D239" s="1" t="s">
        <v>420</v>
      </c>
      <c r="E239" s="3" t="str">
        <f>""</f>
        <v/>
      </c>
      <c r="F239" s="2" t="s">
        <v>27</v>
      </c>
      <c r="G239" s="2" t="str">
        <f>CONCATENATE("VODOSKOK D.D.,"," ČULINEČKA CESTA 221/C,"," 10040 ZAGREB,"," OIB: 34134218058")</f>
        <v>VODOSKOK D.D., ČULINEČKA CESTA 221/C, 10040 ZAGREB, OIB: 34134218058</v>
      </c>
      <c r="H239" s="4"/>
      <c r="I239" s="1" t="s">
        <v>424</v>
      </c>
      <c r="J239" s="1" t="s">
        <v>404</v>
      </c>
      <c r="K239" s="6" t="str">
        <f>"36.445,40"</f>
        <v>36.445,40</v>
      </c>
      <c r="L239" s="6" t="str">
        <f>"9.111,35"</f>
        <v>9.111,35</v>
      </c>
      <c r="M239" s="6" t="str">
        <f>"45.556,75"</f>
        <v>45.556,75</v>
      </c>
      <c r="N239" s="5">
        <v>43671</v>
      </c>
      <c r="O239" s="7"/>
      <c r="P239" s="6" t="str">
        <f>"10.951,25"</f>
        <v>10.951,25</v>
      </c>
      <c r="Q239" s="7"/>
      <c r="R239" s="1"/>
      <c r="S239" s="1" t="str">
        <f>"4-19/NOS-5/17"</f>
        <v>4-19/NOS-5/17</v>
      </c>
      <c r="T239" s="2" t="s">
        <v>26</v>
      </c>
    </row>
    <row r="240" spans="1:20" ht="38.25" x14ac:dyDescent="0.25">
      <c r="A240" s="1">
        <v>236</v>
      </c>
      <c r="B240" s="1" t="str">
        <f>"2017-392"</f>
        <v>2017-392</v>
      </c>
      <c r="C240" s="2" t="s">
        <v>425</v>
      </c>
      <c r="D240" s="1" t="s">
        <v>426</v>
      </c>
      <c r="E240" s="3" t="str">
        <f>"2017/S 0F2-0007730"</f>
        <v>2017/S 0F2-0007730</v>
      </c>
      <c r="F240" s="2" t="s">
        <v>23</v>
      </c>
      <c r="G240" s="2" t="str">
        <f t="shared" ref="G240:G262" si="18">CONCATENATE("MBM VRTNI CENTAR D.O.O.,"," DOLENICA 8,"," 10250 LUČKO,"," OIB: 19462674595")</f>
        <v>MBM VRTNI CENTAR D.O.O., DOLENICA 8, 10250 LUČKO, OIB: 19462674595</v>
      </c>
      <c r="H240" s="4"/>
      <c r="I240" s="1" t="s">
        <v>427</v>
      </c>
      <c r="J240" s="1" t="s">
        <v>428</v>
      </c>
      <c r="K240" s="6" t="str">
        <f>"450.000,00"</f>
        <v>450.000,00</v>
      </c>
      <c r="L240" s="6" t="str">
        <f>"112.500,00"</f>
        <v>112.500,00</v>
      </c>
      <c r="M240" s="6" t="str">
        <f>"562.500,00"</f>
        <v>562.500,00</v>
      </c>
      <c r="N240" s="7"/>
      <c r="O240" s="7"/>
      <c r="P240" s="6" t="str">
        <f>""</f>
        <v/>
      </c>
      <c r="Q240" s="7"/>
      <c r="R240" s="1"/>
      <c r="S240" s="1" t="str">
        <f>"NOS-6-A/17"</f>
        <v>NOS-6-A/17</v>
      </c>
      <c r="T240" s="2" t="s">
        <v>33</v>
      </c>
    </row>
    <row r="241" spans="1:20" ht="25.5" x14ac:dyDescent="0.25">
      <c r="A241" s="1">
        <v>237</v>
      </c>
      <c r="B241" s="1" t="str">
        <f>"2017-392"</f>
        <v>2017-392</v>
      </c>
      <c r="C241" s="2" t="s">
        <v>425</v>
      </c>
      <c r="D241" s="1" t="s">
        <v>426</v>
      </c>
      <c r="E241" s="3" t="str">
        <f>""</f>
        <v/>
      </c>
      <c r="F241" s="2" t="s">
        <v>27</v>
      </c>
      <c r="G241" s="2" t="str">
        <f t="shared" si="18"/>
        <v>MBM VRTNI CENTAR D.O.O., DOLENICA 8, 10250 LUČKO, OIB: 19462674595</v>
      </c>
      <c r="H241" s="4"/>
      <c r="I241" s="1" t="s">
        <v>229</v>
      </c>
      <c r="J241" s="1" t="s">
        <v>251</v>
      </c>
      <c r="K241" s="6" t="str">
        <f>"59.844,75"</f>
        <v>59.844,75</v>
      </c>
      <c r="L241" s="6" t="str">
        <f>"16.433,23"</f>
        <v>16.433,23</v>
      </c>
      <c r="M241" s="6" t="str">
        <f>"82.166,13"</f>
        <v>82.166,13</v>
      </c>
      <c r="N241" s="5">
        <v>43531</v>
      </c>
      <c r="O241" s="7"/>
      <c r="P241" s="6" t="str">
        <f>"82.166,12"</f>
        <v>82.166,12</v>
      </c>
      <c r="Q241" s="7"/>
      <c r="R241" s="1"/>
      <c r="S241" s="1" t="str">
        <f>"1-19/NOS-6-A/17"</f>
        <v>1-19/NOS-6-A/17</v>
      </c>
      <c r="T241" s="2" t="s">
        <v>33</v>
      </c>
    </row>
    <row r="242" spans="1:20" ht="38.25" x14ac:dyDescent="0.25">
      <c r="A242" s="1">
        <v>238</v>
      </c>
      <c r="B242" s="1" t="str">
        <f>"2017-392"</f>
        <v>2017-392</v>
      </c>
      <c r="C242" s="2" t="s">
        <v>425</v>
      </c>
      <c r="D242" s="1" t="s">
        <v>426</v>
      </c>
      <c r="E242" s="3" t="str">
        <f>"2017/S 0F2-0007730"</f>
        <v>2017/S 0F2-0007730</v>
      </c>
      <c r="F242" s="2" t="s">
        <v>23</v>
      </c>
      <c r="G242" s="2" t="str">
        <f t="shared" si="18"/>
        <v>MBM VRTNI CENTAR D.O.O., DOLENICA 8, 10250 LUČKO, OIB: 19462674595</v>
      </c>
      <c r="H242" s="4"/>
      <c r="I242" s="1" t="s">
        <v>427</v>
      </c>
      <c r="J242" s="1" t="s">
        <v>428</v>
      </c>
      <c r="K242" s="6" t="str">
        <f>"60.000,00"</f>
        <v>60.000,00</v>
      </c>
      <c r="L242" s="6" t="str">
        <f>"15.000,00"</f>
        <v>15.000,00</v>
      </c>
      <c r="M242" s="6" t="str">
        <f>"75.000,00"</f>
        <v>75.000,00</v>
      </c>
      <c r="N242" s="7"/>
      <c r="O242" s="7"/>
      <c r="P242" s="6" t="str">
        <f>""</f>
        <v/>
      </c>
      <c r="Q242" s="7"/>
      <c r="R242" s="1"/>
      <c r="S242" s="1" t="str">
        <f>"NOS-6-C/17"</f>
        <v>NOS-6-C/17</v>
      </c>
      <c r="T242" s="2" t="s">
        <v>33</v>
      </c>
    </row>
    <row r="243" spans="1:20" ht="38.25" x14ac:dyDescent="0.25">
      <c r="A243" s="1">
        <v>239</v>
      </c>
      <c r="B243" s="1" t="str">
        <f>"2017-392"</f>
        <v>2017-392</v>
      </c>
      <c r="C243" s="2" t="s">
        <v>425</v>
      </c>
      <c r="D243" s="1" t="s">
        <v>426</v>
      </c>
      <c r="E243" s="3" t="str">
        <f>"2017/S 0F2-0007730"</f>
        <v>2017/S 0F2-0007730</v>
      </c>
      <c r="F243" s="2" t="s">
        <v>23</v>
      </c>
      <c r="G243" s="2" t="str">
        <f t="shared" si="18"/>
        <v>MBM VRTNI CENTAR D.O.O., DOLENICA 8, 10250 LUČKO, OIB: 19462674595</v>
      </c>
      <c r="H243" s="4"/>
      <c r="I243" s="1" t="s">
        <v>427</v>
      </c>
      <c r="J243" s="1" t="s">
        <v>428</v>
      </c>
      <c r="K243" s="6" t="str">
        <f>"40.000,00"</f>
        <v>40.000,00</v>
      </c>
      <c r="L243" s="6" t="str">
        <f>"10.000,00"</f>
        <v>10.000,00</v>
      </c>
      <c r="M243" s="6" t="str">
        <f>"50.000,00"</f>
        <v>50.000,00</v>
      </c>
      <c r="N243" s="7"/>
      <c r="O243" s="7"/>
      <c r="P243" s="6" t="str">
        <f>""</f>
        <v/>
      </c>
      <c r="Q243" s="7"/>
      <c r="R243" s="1"/>
      <c r="S243" s="1" t="str">
        <f>"NOS-6-D/17"</f>
        <v>NOS-6-D/17</v>
      </c>
      <c r="T243" s="2" t="s">
        <v>33</v>
      </c>
    </row>
    <row r="244" spans="1:20" ht="38.25" x14ac:dyDescent="0.25">
      <c r="A244" s="1">
        <v>240</v>
      </c>
      <c r="B244" s="1" t="str">
        <f t="shared" ref="B244:B262" si="19">"2017-2478"</f>
        <v>2017-2478</v>
      </c>
      <c r="C244" s="2" t="s">
        <v>429</v>
      </c>
      <c r="D244" s="1" t="s">
        <v>430</v>
      </c>
      <c r="E244" s="3" t="str">
        <f>"2017/S 0F2-0005731"</f>
        <v>2017/S 0F2-0005731</v>
      </c>
      <c r="F244" s="2" t="s">
        <v>23</v>
      </c>
      <c r="G244" s="2" t="str">
        <f t="shared" si="18"/>
        <v>MBM VRTNI CENTAR D.O.O., DOLENICA 8, 10250 LUČKO, OIB: 19462674595</v>
      </c>
      <c r="H244" s="4"/>
      <c r="I244" s="1" t="s">
        <v>427</v>
      </c>
      <c r="J244" s="1" t="s">
        <v>428</v>
      </c>
      <c r="K244" s="6" t="str">
        <f>"700.000,00"</f>
        <v>700.000,00</v>
      </c>
      <c r="L244" s="6" t="str">
        <f>"175.000,00"</f>
        <v>175.000,00</v>
      </c>
      <c r="M244" s="6" t="str">
        <f>"875.000,00"</f>
        <v>875.000,00</v>
      </c>
      <c r="N244" s="7"/>
      <c r="O244" s="7"/>
      <c r="P244" s="6" t="str">
        <f>""</f>
        <v/>
      </c>
      <c r="Q244" s="7"/>
      <c r="R244" s="1"/>
      <c r="S244" s="1" t="str">
        <f>"NOS-7-A/17"</f>
        <v>NOS-7-A/17</v>
      </c>
      <c r="T244" s="2" t="s">
        <v>33</v>
      </c>
    </row>
    <row r="245" spans="1:20" ht="25.5" x14ac:dyDescent="0.25">
      <c r="A245" s="1">
        <v>241</v>
      </c>
      <c r="B245" s="1" t="str">
        <f t="shared" si="19"/>
        <v>2017-2478</v>
      </c>
      <c r="C245" s="2" t="s">
        <v>429</v>
      </c>
      <c r="D245" s="1" t="s">
        <v>430</v>
      </c>
      <c r="E245" s="3" t="str">
        <f>""</f>
        <v/>
      </c>
      <c r="F245" s="2" t="s">
        <v>27</v>
      </c>
      <c r="G245" s="2" t="str">
        <f t="shared" si="18"/>
        <v>MBM VRTNI CENTAR D.O.O., DOLENICA 8, 10250 LUČKO, OIB: 19462674595</v>
      </c>
      <c r="H245" s="4"/>
      <c r="I245" s="1" t="s">
        <v>332</v>
      </c>
      <c r="J245" s="1" t="s">
        <v>251</v>
      </c>
      <c r="K245" s="6" t="str">
        <f>"27.225,00"</f>
        <v>27.225,00</v>
      </c>
      <c r="L245" s="6" t="str">
        <f>"6.806,25"</f>
        <v>6.806,25</v>
      </c>
      <c r="M245" s="6" t="str">
        <f>"34.031,25"</f>
        <v>34.031,25</v>
      </c>
      <c r="N245" s="5">
        <v>43545</v>
      </c>
      <c r="O245" s="7"/>
      <c r="P245" s="6" t="str">
        <f>"34.031,25"</f>
        <v>34.031,25</v>
      </c>
      <c r="Q245" s="7"/>
      <c r="R245" s="1"/>
      <c r="S245" s="1" t="str">
        <f>"1-19/NOS-7-A/17"</f>
        <v>1-19/NOS-7-A/17</v>
      </c>
      <c r="T245" s="2" t="s">
        <v>33</v>
      </c>
    </row>
    <row r="246" spans="1:20" ht="25.5" x14ac:dyDescent="0.25">
      <c r="A246" s="1">
        <v>242</v>
      </c>
      <c r="B246" s="1" t="str">
        <f t="shared" si="19"/>
        <v>2017-2478</v>
      </c>
      <c r="C246" s="2" t="s">
        <v>429</v>
      </c>
      <c r="D246" s="1" t="s">
        <v>430</v>
      </c>
      <c r="E246" s="3" t="str">
        <f>""</f>
        <v/>
      </c>
      <c r="F246" s="2" t="s">
        <v>27</v>
      </c>
      <c r="G246" s="2" t="str">
        <f t="shared" si="18"/>
        <v>MBM VRTNI CENTAR D.O.O., DOLENICA 8, 10250 LUČKO, OIB: 19462674595</v>
      </c>
      <c r="H246" s="4"/>
      <c r="I246" s="1" t="s">
        <v>25</v>
      </c>
      <c r="J246" s="1" t="s">
        <v>251</v>
      </c>
      <c r="K246" s="6" t="str">
        <f>"10.325,00"</f>
        <v>10.325,00</v>
      </c>
      <c r="L246" s="6" t="str">
        <f>"2.581,25"</f>
        <v>2.581,25</v>
      </c>
      <c r="M246" s="6" t="str">
        <f>"12.906,25"</f>
        <v>12.906,25</v>
      </c>
      <c r="N246" s="5">
        <v>43564</v>
      </c>
      <c r="O246" s="7"/>
      <c r="P246" s="6" t="str">
        <f>"12.906,25"</f>
        <v>12.906,25</v>
      </c>
      <c r="Q246" s="7"/>
      <c r="R246" s="1"/>
      <c r="S246" s="1" t="str">
        <f>"2-19/NOS-7-A/17"</f>
        <v>2-19/NOS-7-A/17</v>
      </c>
      <c r="T246" s="2" t="s">
        <v>33</v>
      </c>
    </row>
    <row r="247" spans="1:20" ht="25.5" x14ac:dyDescent="0.25">
      <c r="A247" s="1">
        <v>243</v>
      </c>
      <c r="B247" s="1" t="str">
        <f t="shared" si="19"/>
        <v>2017-2478</v>
      </c>
      <c r="C247" s="2" t="s">
        <v>429</v>
      </c>
      <c r="D247" s="1" t="s">
        <v>430</v>
      </c>
      <c r="E247" s="3" t="str">
        <f>""</f>
        <v/>
      </c>
      <c r="F247" s="2" t="s">
        <v>27</v>
      </c>
      <c r="G247" s="2" t="str">
        <f t="shared" si="18"/>
        <v>MBM VRTNI CENTAR D.O.O., DOLENICA 8, 10250 LUČKO, OIB: 19462674595</v>
      </c>
      <c r="H247" s="4"/>
      <c r="I247" s="1" t="s">
        <v>32</v>
      </c>
      <c r="J247" s="1" t="s">
        <v>251</v>
      </c>
      <c r="K247" s="6" t="str">
        <f>"76.195,00"</f>
        <v>76.195,00</v>
      </c>
      <c r="L247" s="6" t="str">
        <f>"19.048,75"</f>
        <v>19.048,75</v>
      </c>
      <c r="M247" s="6" t="str">
        <f>"95.243,75"</f>
        <v>95.243,75</v>
      </c>
      <c r="N247" s="5">
        <v>43585</v>
      </c>
      <c r="O247" s="7"/>
      <c r="P247" s="6" t="str">
        <f>"95.243,75"</f>
        <v>95.243,75</v>
      </c>
      <c r="Q247" s="7"/>
      <c r="R247" s="1"/>
      <c r="S247" s="1" t="str">
        <f>"3-19/NOS-7-A/17"</f>
        <v>3-19/NOS-7-A/17</v>
      </c>
      <c r="T247" s="2" t="s">
        <v>33</v>
      </c>
    </row>
    <row r="248" spans="1:20" ht="25.5" x14ac:dyDescent="0.25">
      <c r="A248" s="1">
        <v>244</v>
      </c>
      <c r="B248" s="1" t="str">
        <f t="shared" si="19"/>
        <v>2017-2478</v>
      </c>
      <c r="C248" s="2" t="s">
        <v>429</v>
      </c>
      <c r="D248" s="1" t="s">
        <v>430</v>
      </c>
      <c r="E248" s="3" t="str">
        <f>""</f>
        <v/>
      </c>
      <c r="F248" s="2" t="s">
        <v>27</v>
      </c>
      <c r="G248" s="2" t="str">
        <f t="shared" si="18"/>
        <v>MBM VRTNI CENTAR D.O.O., DOLENICA 8, 10250 LUČKO, OIB: 19462674595</v>
      </c>
      <c r="H248" s="4"/>
      <c r="I248" s="1" t="s">
        <v>402</v>
      </c>
      <c r="J248" s="1" t="s">
        <v>251</v>
      </c>
      <c r="K248" s="6" t="str">
        <f>"1.015,00"</f>
        <v>1.015,00</v>
      </c>
      <c r="L248" s="6" t="str">
        <f>"0,00"</f>
        <v>0,00</v>
      </c>
      <c r="M248" s="6" t="str">
        <f>"0,00"</f>
        <v>0,00</v>
      </c>
      <c r="N248" s="1" t="s">
        <v>117</v>
      </c>
      <c r="O248" s="7"/>
      <c r="P248" s="6" t="str">
        <f>"0,00"</f>
        <v>0,00</v>
      </c>
      <c r="Q248" s="7"/>
      <c r="R248" s="1"/>
      <c r="S248" s="1" t="str">
        <f>"4-19/NOS-7-A/17"</f>
        <v>4-19/NOS-7-A/17</v>
      </c>
      <c r="T248" s="2" t="s">
        <v>33</v>
      </c>
    </row>
    <row r="249" spans="1:20" ht="38.25" x14ac:dyDescent="0.25">
      <c r="A249" s="1">
        <v>245</v>
      </c>
      <c r="B249" s="1" t="str">
        <f t="shared" si="19"/>
        <v>2017-2478</v>
      </c>
      <c r="C249" s="2" t="s">
        <v>429</v>
      </c>
      <c r="D249" s="1" t="s">
        <v>430</v>
      </c>
      <c r="E249" s="3" t="str">
        <f>"2017/S 0F2-0005731"</f>
        <v>2017/S 0F2-0005731</v>
      </c>
      <c r="F249" s="2" t="s">
        <v>23</v>
      </c>
      <c r="G249" s="2" t="str">
        <f t="shared" si="18"/>
        <v>MBM VRTNI CENTAR D.O.O., DOLENICA 8, 10250 LUČKO, OIB: 19462674595</v>
      </c>
      <c r="H249" s="4"/>
      <c r="I249" s="1" t="s">
        <v>427</v>
      </c>
      <c r="J249" s="1" t="s">
        <v>428</v>
      </c>
      <c r="K249" s="6" t="str">
        <f>"600.000,00"</f>
        <v>600.000,00</v>
      </c>
      <c r="L249" s="6" t="str">
        <f>"150.000,00"</f>
        <v>150.000,00</v>
      </c>
      <c r="M249" s="6" t="str">
        <f>"750.000,00"</f>
        <v>750.000,00</v>
      </c>
      <c r="N249" s="7"/>
      <c r="O249" s="7"/>
      <c r="P249" s="6" t="str">
        <f>""</f>
        <v/>
      </c>
      <c r="Q249" s="7"/>
      <c r="R249" s="1"/>
      <c r="S249" s="1" t="str">
        <f>"NOS-7-B/17"</f>
        <v>NOS-7-B/17</v>
      </c>
      <c r="T249" s="2" t="s">
        <v>33</v>
      </c>
    </row>
    <row r="250" spans="1:20" ht="25.5" x14ac:dyDescent="0.25">
      <c r="A250" s="1">
        <v>246</v>
      </c>
      <c r="B250" s="1" t="str">
        <f t="shared" si="19"/>
        <v>2017-2478</v>
      </c>
      <c r="C250" s="2" t="s">
        <v>429</v>
      </c>
      <c r="D250" s="1" t="s">
        <v>430</v>
      </c>
      <c r="E250" s="3" t="str">
        <f>""</f>
        <v/>
      </c>
      <c r="F250" s="2" t="s">
        <v>27</v>
      </c>
      <c r="G250" s="2" t="str">
        <f t="shared" si="18"/>
        <v>MBM VRTNI CENTAR D.O.O., DOLENICA 8, 10250 LUČKO, OIB: 19462674595</v>
      </c>
      <c r="H250" s="4"/>
      <c r="I250" s="1" t="s">
        <v>332</v>
      </c>
      <c r="J250" s="1" t="s">
        <v>251</v>
      </c>
      <c r="K250" s="6" t="str">
        <f>"16.940,00"</f>
        <v>16.940,00</v>
      </c>
      <c r="L250" s="6" t="str">
        <f>"4.191,00"</f>
        <v>4.191,00</v>
      </c>
      <c r="M250" s="6" t="str">
        <f>"20.955,00"</f>
        <v>20.955,00</v>
      </c>
      <c r="N250" s="5">
        <v>43559</v>
      </c>
      <c r="O250" s="7"/>
      <c r="P250" s="6" t="str">
        <f>"20.955,00"</f>
        <v>20.955,00</v>
      </c>
      <c r="Q250" s="7"/>
      <c r="R250" s="1"/>
      <c r="S250" s="1" t="str">
        <f>"1-19/NOS-7-B/17"</f>
        <v>1-19/NOS-7-B/17</v>
      </c>
      <c r="T250" s="2" t="s">
        <v>33</v>
      </c>
    </row>
    <row r="251" spans="1:20" ht="25.5" x14ac:dyDescent="0.25">
      <c r="A251" s="1">
        <v>247</v>
      </c>
      <c r="B251" s="1" t="str">
        <f t="shared" si="19"/>
        <v>2017-2478</v>
      </c>
      <c r="C251" s="2" t="s">
        <v>429</v>
      </c>
      <c r="D251" s="1" t="s">
        <v>430</v>
      </c>
      <c r="E251" s="3" t="str">
        <f>""</f>
        <v/>
      </c>
      <c r="F251" s="2" t="s">
        <v>27</v>
      </c>
      <c r="G251" s="2" t="str">
        <f t="shared" si="18"/>
        <v>MBM VRTNI CENTAR D.O.O., DOLENICA 8, 10250 LUČKO, OIB: 19462674595</v>
      </c>
      <c r="H251" s="4"/>
      <c r="I251" s="1" t="s">
        <v>25</v>
      </c>
      <c r="J251" s="1" t="s">
        <v>251</v>
      </c>
      <c r="K251" s="6" t="str">
        <f>"168.922,60"</f>
        <v>168.922,60</v>
      </c>
      <c r="L251" s="6" t="str">
        <f>"30.602,55"</f>
        <v>30.602,55</v>
      </c>
      <c r="M251" s="6" t="str">
        <f>"153.012,75"</f>
        <v>153.012,75</v>
      </c>
      <c r="N251" s="5">
        <v>43573</v>
      </c>
      <c r="O251" s="7"/>
      <c r="P251" s="6" t="str">
        <f>"153.012,75"</f>
        <v>153.012,75</v>
      </c>
      <c r="Q251" s="7"/>
      <c r="R251" s="1"/>
      <c r="S251" s="1" t="str">
        <f>"2-19/NOS-7-B/17"</f>
        <v>2-19/NOS-7-B/17</v>
      </c>
      <c r="T251" s="2" t="s">
        <v>33</v>
      </c>
    </row>
    <row r="252" spans="1:20" ht="25.5" x14ac:dyDescent="0.25">
      <c r="A252" s="1">
        <v>248</v>
      </c>
      <c r="B252" s="1" t="str">
        <f t="shared" si="19"/>
        <v>2017-2478</v>
      </c>
      <c r="C252" s="2" t="s">
        <v>429</v>
      </c>
      <c r="D252" s="1" t="s">
        <v>430</v>
      </c>
      <c r="E252" s="3" t="str">
        <f>""</f>
        <v/>
      </c>
      <c r="F252" s="2" t="s">
        <v>27</v>
      </c>
      <c r="G252" s="2" t="str">
        <f t="shared" si="18"/>
        <v>MBM VRTNI CENTAR D.O.O., DOLENICA 8, 10250 LUČKO, OIB: 19462674595</v>
      </c>
      <c r="H252" s="4"/>
      <c r="I252" s="1" t="s">
        <v>424</v>
      </c>
      <c r="J252" s="1" t="s">
        <v>251</v>
      </c>
      <c r="K252" s="6" t="str">
        <f>"75.504,00"</f>
        <v>75.504,00</v>
      </c>
      <c r="L252" s="6" t="str">
        <f>"18.873,25"</f>
        <v>18.873,25</v>
      </c>
      <c r="M252" s="6" t="str">
        <f>"94.366,25"</f>
        <v>94.366,25</v>
      </c>
      <c r="N252" s="5">
        <v>43609</v>
      </c>
      <c r="O252" s="7"/>
      <c r="P252" s="6" t="str">
        <f>"94.366,25"</f>
        <v>94.366,25</v>
      </c>
      <c r="Q252" s="7"/>
      <c r="R252" s="1"/>
      <c r="S252" s="1" t="str">
        <f>"3-19/NOS-7-B/17"</f>
        <v>3-19/NOS-7-B/17</v>
      </c>
      <c r="T252" s="2" t="s">
        <v>33</v>
      </c>
    </row>
    <row r="253" spans="1:20" ht="38.25" x14ac:dyDescent="0.25">
      <c r="A253" s="1">
        <v>249</v>
      </c>
      <c r="B253" s="1" t="str">
        <f t="shared" si="19"/>
        <v>2017-2478</v>
      </c>
      <c r="C253" s="2" t="s">
        <v>429</v>
      </c>
      <c r="D253" s="1" t="s">
        <v>430</v>
      </c>
      <c r="E253" s="3" t="str">
        <f>"2017/S 0F2-0005731"</f>
        <v>2017/S 0F2-0005731</v>
      </c>
      <c r="F253" s="2" t="s">
        <v>23</v>
      </c>
      <c r="G253" s="2" t="str">
        <f t="shared" si="18"/>
        <v>MBM VRTNI CENTAR D.O.O., DOLENICA 8, 10250 LUČKO, OIB: 19462674595</v>
      </c>
      <c r="H253" s="4"/>
      <c r="I253" s="1" t="s">
        <v>427</v>
      </c>
      <c r="J253" s="1" t="s">
        <v>428</v>
      </c>
      <c r="K253" s="6" t="str">
        <f>"1.500.000,00"</f>
        <v>1.500.000,00</v>
      </c>
      <c r="L253" s="6" t="str">
        <f>"375.000,00"</f>
        <v>375.000,00</v>
      </c>
      <c r="M253" s="6" t="str">
        <f>"1.875.000,00"</f>
        <v>1.875.000,00</v>
      </c>
      <c r="N253" s="7"/>
      <c r="O253" s="7"/>
      <c r="P253" s="6" t="str">
        <f>""</f>
        <v/>
      </c>
      <c r="Q253" s="7"/>
      <c r="R253" s="1"/>
      <c r="S253" s="1" t="str">
        <f>"NOS-7-C/17"</f>
        <v>NOS-7-C/17</v>
      </c>
      <c r="T253" s="2" t="s">
        <v>33</v>
      </c>
    </row>
    <row r="254" spans="1:20" ht="25.5" x14ac:dyDescent="0.25">
      <c r="A254" s="1">
        <v>250</v>
      </c>
      <c r="B254" s="1" t="str">
        <f t="shared" si="19"/>
        <v>2017-2478</v>
      </c>
      <c r="C254" s="2" t="s">
        <v>429</v>
      </c>
      <c r="D254" s="1" t="s">
        <v>430</v>
      </c>
      <c r="E254" s="3" t="str">
        <f>""</f>
        <v/>
      </c>
      <c r="F254" s="2" t="s">
        <v>27</v>
      </c>
      <c r="G254" s="2" t="str">
        <f t="shared" si="18"/>
        <v>MBM VRTNI CENTAR D.O.O., DOLENICA 8, 10250 LUČKO, OIB: 19462674595</v>
      </c>
      <c r="H254" s="4"/>
      <c r="I254" s="1" t="s">
        <v>240</v>
      </c>
      <c r="J254" s="1" t="s">
        <v>251</v>
      </c>
      <c r="K254" s="6" t="str">
        <f>"101.849,00"</f>
        <v>101.849,00</v>
      </c>
      <c r="L254" s="6" t="str">
        <f>"25.759,25"</f>
        <v>25.759,25</v>
      </c>
      <c r="M254" s="6" t="str">
        <f>"128.796,25"</f>
        <v>128.796,25</v>
      </c>
      <c r="N254" s="5">
        <v>43558</v>
      </c>
      <c r="O254" s="7"/>
      <c r="P254" s="6" t="str">
        <f>"128.796,25"</f>
        <v>128.796,25</v>
      </c>
      <c r="Q254" s="7"/>
      <c r="R254" s="1"/>
      <c r="S254" s="1" t="str">
        <f>"1-19/NOS-7-C/17"</f>
        <v>1-19/NOS-7-C/17</v>
      </c>
      <c r="T254" s="2" t="s">
        <v>33</v>
      </c>
    </row>
    <row r="255" spans="1:20" ht="25.5" x14ac:dyDescent="0.25">
      <c r="A255" s="1">
        <v>251</v>
      </c>
      <c r="B255" s="1" t="str">
        <f t="shared" si="19"/>
        <v>2017-2478</v>
      </c>
      <c r="C255" s="2" t="s">
        <v>429</v>
      </c>
      <c r="D255" s="1" t="s">
        <v>430</v>
      </c>
      <c r="E255" s="3" t="str">
        <f>""</f>
        <v/>
      </c>
      <c r="F255" s="2" t="s">
        <v>27</v>
      </c>
      <c r="G255" s="2" t="str">
        <f t="shared" si="18"/>
        <v>MBM VRTNI CENTAR D.O.O., DOLENICA 8, 10250 LUČKO, OIB: 19462674595</v>
      </c>
      <c r="H255" s="4"/>
      <c r="I255" s="1" t="s">
        <v>394</v>
      </c>
      <c r="J255" s="1" t="s">
        <v>251</v>
      </c>
      <c r="K255" s="6" t="str">
        <f>"43.632,60"</f>
        <v>43.632,60</v>
      </c>
      <c r="L255" s="6" t="str">
        <f>"10.908,15"</f>
        <v>10.908,15</v>
      </c>
      <c r="M255" s="6" t="str">
        <f>"54.540,75"</f>
        <v>54.540,75</v>
      </c>
      <c r="N255" s="5">
        <v>43536</v>
      </c>
      <c r="O255" s="7"/>
      <c r="P255" s="6" t="str">
        <f>"54.540,75"</f>
        <v>54.540,75</v>
      </c>
      <c r="Q255" s="7"/>
      <c r="R255" s="1"/>
      <c r="S255" s="1" t="str">
        <f>"2-19/NOS-7-C/17"</f>
        <v>2-19/NOS-7-C/17</v>
      </c>
      <c r="T255" s="2" t="s">
        <v>33</v>
      </c>
    </row>
    <row r="256" spans="1:20" ht="25.5" x14ac:dyDescent="0.25">
      <c r="A256" s="1">
        <v>252</v>
      </c>
      <c r="B256" s="1" t="str">
        <f t="shared" si="19"/>
        <v>2017-2478</v>
      </c>
      <c r="C256" s="2" t="s">
        <v>429</v>
      </c>
      <c r="D256" s="1" t="s">
        <v>430</v>
      </c>
      <c r="E256" s="3" t="str">
        <f>""</f>
        <v/>
      </c>
      <c r="F256" s="2" t="s">
        <v>27</v>
      </c>
      <c r="G256" s="2" t="str">
        <f t="shared" si="18"/>
        <v>MBM VRTNI CENTAR D.O.O., DOLENICA 8, 10250 LUČKO, OIB: 19462674595</v>
      </c>
      <c r="H256" s="4"/>
      <c r="I256" s="1" t="s">
        <v>431</v>
      </c>
      <c r="J256" s="1" t="s">
        <v>251</v>
      </c>
      <c r="K256" s="6" t="str">
        <f>"89.557,60"</f>
        <v>89.557,60</v>
      </c>
      <c r="L256" s="6" t="str">
        <f>"22.389,40"</f>
        <v>22.389,40</v>
      </c>
      <c r="M256" s="6" t="str">
        <f>"111.947,00"</f>
        <v>111.947,00</v>
      </c>
      <c r="N256" s="5">
        <v>43530</v>
      </c>
      <c r="O256" s="7"/>
      <c r="P256" s="6" t="str">
        <f>"111.947,00"</f>
        <v>111.947,00</v>
      </c>
      <c r="Q256" s="7"/>
      <c r="R256" s="1"/>
      <c r="S256" s="1" t="str">
        <f>"3-19/NOS-7-C/17"</f>
        <v>3-19/NOS-7-C/17</v>
      </c>
      <c r="T256" s="2" t="s">
        <v>33</v>
      </c>
    </row>
    <row r="257" spans="1:20" ht="25.5" x14ac:dyDescent="0.25">
      <c r="A257" s="1">
        <v>253</v>
      </c>
      <c r="B257" s="1" t="str">
        <f t="shared" si="19"/>
        <v>2017-2478</v>
      </c>
      <c r="C257" s="2" t="s">
        <v>429</v>
      </c>
      <c r="D257" s="1" t="s">
        <v>430</v>
      </c>
      <c r="E257" s="3" t="str">
        <f>""</f>
        <v/>
      </c>
      <c r="F257" s="2" t="s">
        <v>27</v>
      </c>
      <c r="G257" s="2" t="str">
        <f t="shared" si="18"/>
        <v>MBM VRTNI CENTAR D.O.O., DOLENICA 8, 10250 LUČKO, OIB: 19462674595</v>
      </c>
      <c r="H257" s="4"/>
      <c r="I257" s="1" t="s">
        <v>32</v>
      </c>
      <c r="J257" s="1" t="s">
        <v>251</v>
      </c>
      <c r="K257" s="6" t="str">
        <f>"103.796,00"</f>
        <v>103.796,00</v>
      </c>
      <c r="L257" s="6" t="str">
        <f>"26.167,63"</f>
        <v>26.167,63</v>
      </c>
      <c r="M257" s="6" t="str">
        <f>"130.838,13"</f>
        <v>130.838,13</v>
      </c>
      <c r="N257" s="5">
        <v>43588</v>
      </c>
      <c r="O257" s="7"/>
      <c r="P257" s="6" t="str">
        <f>"130.838,12"</f>
        <v>130.838,12</v>
      </c>
      <c r="Q257" s="7"/>
      <c r="R257" s="1"/>
      <c r="S257" s="1" t="str">
        <f>"4-19/NOS-7-C/17"</f>
        <v>4-19/NOS-7-C/17</v>
      </c>
      <c r="T257" s="2" t="s">
        <v>33</v>
      </c>
    </row>
    <row r="258" spans="1:20" ht="38.25" x14ac:dyDescent="0.25">
      <c r="A258" s="1">
        <v>254</v>
      </c>
      <c r="B258" s="1" t="str">
        <f t="shared" si="19"/>
        <v>2017-2478</v>
      </c>
      <c r="C258" s="2" t="s">
        <v>429</v>
      </c>
      <c r="D258" s="1" t="s">
        <v>430</v>
      </c>
      <c r="E258" s="3" t="str">
        <f>"2017/S 0F2-0005731"</f>
        <v>2017/S 0F2-0005731</v>
      </c>
      <c r="F258" s="2" t="s">
        <v>23</v>
      </c>
      <c r="G258" s="2" t="str">
        <f t="shared" si="18"/>
        <v>MBM VRTNI CENTAR D.O.O., DOLENICA 8, 10250 LUČKO, OIB: 19462674595</v>
      </c>
      <c r="H258" s="4"/>
      <c r="I258" s="1" t="s">
        <v>427</v>
      </c>
      <c r="J258" s="1" t="s">
        <v>428</v>
      </c>
      <c r="K258" s="6" t="str">
        <f>"700.000,00"</f>
        <v>700.000,00</v>
      </c>
      <c r="L258" s="6" t="str">
        <f>"175.000,00"</f>
        <v>175.000,00</v>
      </c>
      <c r="M258" s="6" t="str">
        <f>"875.000,00"</f>
        <v>875.000,00</v>
      </c>
      <c r="N258" s="7"/>
      <c r="O258" s="7"/>
      <c r="P258" s="6" t="str">
        <f>""</f>
        <v/>
      </c>
      <c r="Q258" s="7"/>
      <c r="R258" s="1"/>
      <c r="S258" s="1" t="str">
        <f>"NOS-7-D/17"</f>
        <v>NOS-7-D/17</v>
      </c>
      <c r="T258" s="2" t="s">
        <v>33</v>
      </c>
    </row>
    <row r="259" spans="1:20" ht="25.5" x14ac:dyDescent="0.25">
      <c r="A259" s="1">
        <v>255</v>
      </c>
      <c r="B259" s="1" t="str">
        <f t="shared" si="19"/>
        <v>2017-2478</v>
      </c>
      <c r="C259" s="2" t="s">
        <v>429</v>
      </c>
      <c r="D259" s="1" t="s">
        <v>430</v>
      </c>
      <c r="E259" s="3" t="str">
        <f>""</f>
        <v/>
      </c>
      <c r="F259" s="2" t="s">
        <v>27</v>
      </c>
      <c r="G259" s="2" t="str">
        <f t="shared" si="18"/>
        <v>MBM VRTNI CENTAR D.O.O., DOLENICA 8, 10250 LUČKO, OIB: 19462674595</v>
      </c>
      <c r="H259" s="4"/>
      <c r="I259" s="1" t="s">
        <v>394</v>
      </c>
      <c r="J259" s="1" t="s">
        <v>251</v>
      </c>
      <c r="K259" s="6" t="str">
        <f>"13.700,50"</f>
        <v>13.700,50</v>
      </c>
      <c r="L259" s="6" t="str">
        <f>"3.425,13"</f>
        <v>3.425,13</v>
      </c>
      <c r="M259" s="6" t="str">
        <f>"17.125,63"</f>
        <v>17.125,63</v>
      </c>
      <c r="N259" s="5">
        <v>43535</v>
      </c>
      <c r="O259" s="7"/>
      <c r="P259" s="6" t="str">
        <f>"17.125,62"</f>
        <v>17.125,62</v>
      </c>
      <c r="Q259" s="7"/>
      <c r="R259" s="1"/>
      <c r="S259" s="1" t="str">
        <f>"1-19/NOS-7-D/17"</f>
        <v>1-19/NOS-7-D/17</v>
      </c>
      <c r="T259" s="2" t="s">
        <v>33</v>
      </c>
    </row>
    <row r="260" spans="1:20" ht="25.5" x14ac:dyDescent="0.25">
      <c r="A260" s="1">
        <v>256</v>
      </c>
      <c r="B260" s="1" t="str">
        <f t="shared" si="19"/>
        <v>2017-2478</v>
      </c>
      <c r="C260" s="2" t="s">
        <v>429</v>
      </c>
      <c r="D260" s="1" t="s">
        <v>430</v>
      </c>
      <c r="E260" s="3" t="str">
        <f>""</f>
        <v/>
      </c>
      <c r="F260" s="2" t="s">
        <v>27</v>
      </c>
      <c r="G260" s="2" t="str">
        <f t="shared" si="18"/>
        <v>MBM VRTNI CENTAR D.O.O., DOLENICA 8, 10250 LUČKO, OIB: 19462674595</v>
      </c>
      <c r="H260" s="4"/>
      <c r="I260" s="1" t="s">
        <v>332</v>
      </c>
      <c r="J260" s="1" t="s">
        <v>251</v>
      </c>
      <c r="K260" s="6" t="str">
        <f>"96.091,60"</f>
        <v>96.091,60</v>
      </c>
      <c r="L260" s="6" t="str">
        <f>"24.022,90"</f>
        <v>24.022,90</v>
      </c>
      <c r="M260" s="6" t="str">
        <f>"120.114,50"</f>
        <v>120.114,50</v>
      </c>
      <c r="N260" s="5">
        <v>43559</v>
      </c>
      <c r="O260" s="7"/>
      <c r="P260" s="6" t="str">
        <f>"120.114,50"</f>
        <v>120.114,50</v>
      </c>
      <c r="Q260" s="7"/>
      <c r="R260" s="1"/>
      <c r="S260" s="1" t="str">
        <f>"2-19/NOS-7-D/17"</f>
        <v>2-19/NOS-7-D/17</v>
      </c>
      <c r="T260" s="2" t="s">
        <v>33</v>
      </c>
    </row>
    <row r="261" spans="1:20" ht="25.5" x14ac:dyDescent="0.25">
      <c r="A261" s="1">
        <v>257</v>
      </c>
      <c r="B261" s="1" t="str">
        <f t="shared" si="19"/>
        <v>2017-2478</v>
      </c>
      <c r="C261" s="2" t="s">
        <v>429</v>
      </c>
      <c r="D261" s="1" t="s">
        <v>430</v>
      </c>
      <c r="E261" s="3" t="str">
        <f>""</f>
        <v/>
      </c>
      <c r="F261" s="2" t="s">
        <v>27</v>
      </c>
      <c r="G261" s="2" t="str">
        <f t="shared" si="18"/>
        <v>MBM VRTNI CENTAR D.O.O., DOLENICA 8, 10250 LUČKO, OIB: 19462674595</v>
      </c>
      <c r="H261" s="4"/>
      <c r="I261" s="1" t="s">
        <v>25</v>
      </c>
      <c r="J261" s="1" t="s">
        <v>251</v>
      </c>
      <c r="K261" s="6" t="str">
        <f>"49.812,40"</f>
        <v>49.812,40</v>
      </c>
      <c r="L261" s="6" t="str">
        <f>"24.072,95"</f>
        <v>24.072,95</v>
      </c>
      <c r="M261" s="6" t="str">
        <f>"120.364,75"</f>
        <v>120.364,75</v>
      </c>
      <c r="N261" s="5">
        <v>43571</v>
      </c>
      <c r="O261" s="7"/>
      <c r="P261" s="6" t="str">
        <f>"120.364,75"</f>
        <v>120.364,75</v>
      </c>
      <c r="Q261" s="7"/>
      <c r="R261" s="1"/>
      <c r="S261" s="1" t="str">
        <f>"3-19/NOS-7-D/17"</f>
        <v>3-19/NOS-7-D/17</v>
      </c>
      <c r="T261" s="2" t="s">
        <v>33</v>
      </c>
    </row>
    <row r="262" spans="1:20" ht="38.25" x14ac:dyDescent="0.25">
      <c r="A262" s="1">
        <v>258</v>
      </c>
      <c r="B262" s="1" t="str">
        <f t="shared" si="19"/>
        <v>2017-2478</v>
      </c>
      <c r="C262" s="2" t="s">
        <v>429</v>
      </c>
      <c r="D262" s="1" t="s">
        <v>430</v>
      </c>
      <c r="E262" s="3" t="str">
        <f>"2017/S 0F2-0005731"</f>
        <v>2017/S 0F2-0005731</v>
      </c>
      <c r="F262" s="2" t="s">
        <v>23</v>
      </c>
      <c r="G262" s="2" t="str">
        <f t="shared" si="18"/>
        <v>MBM VRTNI CENTAR D.O.O., DOLENICA 8, 10250 LUČKO, OIB: 19462674595</v>
      </c>
      <c r="H262" s="4"/>
      <c r="I262" s="1" t="s">
        <v>427</v>
      </c>
      <c r="J262" s="1" t="s">
        <v>428</v>
      </c>
      <c r="K262" s="6" t="str">
        <f>"500.000,00"</f>
        <v>500.000,00</v>
      </c>
      <c r="L262" s="6" t="str">
        <f>"125.000,00"</f>
        <v>125.000,00</v>
      </c>
      <c r="M262" s="6" t="str">
        <f>"625.000,00"</f>
        <v>625.000,00</v>
      </c>
      <c r="N262" s="7"/>
      <c r="O262" s="7"/>
      <c r="P262" s="6" t="str">
        <f>""</f>
        <v/>
      </c>
      <c r="Q262" s="7"/>
      <c r="R262" s="1"/>
      <c r="S262" s="1" t="str">
        <f>"NOS-7-E/17"</f>
        <v>NOS-7-E/17</v>
      </c>
      <c r="T262" s="2" t="s">
        <v>33</v>
      </c>
    </row>
    <row r="263" spans="1:20" ht="38.25" x14ac:dyDescent="0.25">
      <c r="A263" s="1">
        <v>259</v>
      </c>
      <c r="B263" s="1" t="str">
        <f>"2017-90"</f>
        <v>2017-90</v>
      </c>
      <c r="C263" s="2" t="s">
        <v>432</v>
      </c>
      <c r="D263" s="1" t="s">
        <v>35</v>
      </c>
      <c r="E263" s="3" t="str">
        <f>"2017/S 0F2-0005695"</f>
        <v>2017/S 0F2-0005695</v>
      </c>
      <c r="F263" s="2" t="s">
        <v>23</v>
      </c>
      <c r="G263" s="2" t="str">
        <f>CONCATENATE("REMETINEC GRADNJA D.O.O.,"," REMETINEC 48,"," 10020 ZAGREB-NOVI ZAGREB,"," OIB: 10311240284")</f>
        <v>REMETINEC GRADNJA D.O.O., REMETINEC 48, 10020 ZAGREB-NOVI ZAGREB, OIB: 10311240284</v>
      </c>
      <c r="H263" s="4"/>
      <c r="I263" s="1" t="s">
        <v>433</v>
      </c>
      <c r="J263" s="1" t="s">
        <v>434</v>
      </c>
      <c r="K263" s="6" t="str">
        <f>"6.000.000,00"</f>
        <v>6.000.000,00</v>
      </c>
      <c r="L263" s="6" t="str">
        <f>"1.500.000,00"</f>
        <v>1.500.000,00</v>
      </c>
      <c r="M263" s="6" t="str">
        <f>"7.500.000,00"</f>
        <v>7.500.000,00</v>
      </c>
      <c r="N263" s="7"/>
      <c r="O263" s="7"/>
      <c r="P263" s="6" t="str">
        <f>""</f>
        <v/>
      </c>
      <c r="Q263" s="7"/>
      <c r="R263" s="1"/>
      <c r="S263" s="1" t="str">
        <f>"NOS-8/17"</f>
        <v>NOS-8/17</v>
      </c>
      <c r="T263" s="2" t="s">
        <v>33</v>
      </c>
    </row>
    <row r="264" spans="1:20" ht="38.25" x14ac:dyDescent="0.25">
      <c r="A264" s="1">
        <v>260</v>
      </c>
      <c r="B264" s="1" t="str">
        <f>"2017-90"</f>
        <v>2017-90</v>
      </c>
      <c r="C264" s="2" t="s">
        <v>432</v>
      </c>
      <c r="D264" s="4"/>
      <c r="E264" s="3" t="str">
        <f>""</f>
        <v/>
      </c>
      <c r="F264" s="2" t="s">
        <v>27</v>
      </c>
      <c r="G264" s="2" t="str">
        <f>CONCATENATE("REMETINEC GRADNJA D.O.O.,"," REMETINEC 48,"," 10020 ZAGREB-NOVI ZAGREB,"," OIB: 10311240284")</f>
        <v>REMETINEC GRADNJA D.O.O., REMETINEC 48, 10020 ZAGREB-NOVI ZAGREB, OIB: 10311240284</v>
      </c>
      <c r="H264" s="4"/>
      <c r="I264" s="1" t="s">
        <v>218</v>
      </c>
      <c r="J264" s="1" t="s">
        <v>42</v>
      </c>
      <c r="K264" s="6" t="str">
        <f>"480.000,00"</f>
        <v>480.000,00</v>
      </c>
      <c r="L264" s="6" t="str">
        <f>"120.000,00"</f>
        <v>120.000,00</v>
      </c>
      <c r="M264" s="6" t="str">
        <f>"600.000,00"</f>
        <v>600.000,00</v>
      </c>
      <c r="N264" s="5">
        <v>43581</v>
      </c>
      <c r="O264" s="7"/>
      <c r="P264" s="6" t="str">
        <f>"659.820,00"</f>
        <v>659.820,00</v>
      </c>
      <c r="Q264" s="7"/>
      <c r="R264" s="1"/>
      <c r="S264" s="1" t="str">
        <f>"4-18/NOS-8/17"</f>
        <v>4-18/NOS-8/17</v>
      </c>
      <c r="T264" s="2" t="s">
        <v>33</v>
      </c>
    </row>
    <row r="265" spans="1:20" ht="38.25" x14ac:dyDescent="0.25">
      <c r="A265" s="1">
        <v>261</v>
      </c>
      <c r="B265" s="1" t="str">
        <f>"2017-90"</f>
        <v>2017-90</v>
      </c>
      <c r="C265" s="2" t="s">
        <v>432</v>
      </c>
      <c r="D265" s="1" t="s">
        <v>35</v>
      </c>
      <c r="E265" s="3" t="str">
        <f>""</f>
        <v/>
      </c>
      <c r="F265" s="2" t="s">
        <v>27</v>
      </c>
      <c r="G265" s="2" t="str">
        <f>CONCATENATE("REMETINEC GRADNJA D.O.O.,"," REMETINEC 48,"," 10020 ZAGREB-NOVI ZAGREB,"," OIB: 10311240284")</f>
        <v>REMETINEC GRADNJA D.O.O., REMETINEC 48, 10020 ZAGREB-NOVI ZAGREB, OIB: 10311240284</v>
      </c>
      <c r="H265" s="4"/>
      <c r="I265" s="1" t="s">
        <v>435</v>
      </c>
      <c r="J265" s="1" t="s">
        <v>436</v>
      </c>
      <c r="K265" s="6" t="str">
        <f>"480.000,00"</f>
        <v>480.000,00</v>
      </c>
      <c r="L265" s="6" t="str">
        <f>"118.836,00"</f>
        <v>118.836,00</v>
      </c>
      <c r="M265" s="6" t="str">
        <f>"594.180,00"</f>
        <v>594.180,00</v>
      </c>
      <c r="N265" s="5">
        <v>43714</v>
      </c>
      <c r="O265" s="7"/>
      <c r="P265" s="6" t="str">
        <f>"594.180,00"</f>
        <v>594.180,00</v>
      </c>
      <c r="Q265" s="7"/>
      <c r="R265" s="1"/>
      <c r="S265" s="1" t="str">
        <f>"1-19/NOS-8/17"</f>
        <v>1-19/NOS-8/17</v>
      </c>
      <c r="T265" s="2" t="s">
        <v>33</v>
      </c>
    </row>
    <row r="266" spans="1:20" ht="63.75" x14ac:dyDescent="0.25">
      <c r="A266" s="1">
        <v>262</v>
      </c>
      <c r="B266" s="1" t="str">
        <f t="shared" ref="B266:B271" si="20">"2017-373"</f>
        <v>2017-373</v>
      </c>
      <c r="C266" s="2" t="s">
        <v>437</v>
      </c>
      <c r="D266" s="1" t="s">
        <v>35</v>
      </c>
      <c r="E266" s="3" t="str">
        <f>"2017/S 0F2-0005027"</f>
        <v>2017/S 0F2-0005027</v>
      </c>
      <c r="F266" s="2" t="s">
        <v>23</v>
      </c>
      <c r="G266" s="2" t="str">
        <f>CONCATENATE("SMIT-COMMERCE D.O.O.,"," GORNJOSTUPNIČKA 9B,"," 10255 GORNJI STUPNIK,"," OIB: 95243482140",CHAR(10),"JAKA D.O.O.,"," OGRIZOVIĆEVA 28/B,","  10 000 ZAGREB,"," OIB: 3770592196")</f>
        <v>SMIT-COMMERCE D.O.O., GORNJOSTUPNIČKA 9B, 10255 GORNJI STUPNIK, OIB: 95243482140
JAKA D.O.O., OGRIZOVIĆEVA 28/B,  10 000 ZAGREB, OIB: 3770592196</v>
      </c>
      <c r="H266" s="4"/>
      <c r="I266" s="1" t="s">
        <v>438</v>
      </c>
      <c r="J266" s="1" t="s">
        <v>439</v>
      </c>
      <c r="K266" s="6" t="str">
        <f>"1.320.000,00"</f>
        <v>1.320.000,00</v>
      </c>
      <c r="L266" s="6" t="str">
        <f>"330.000,00"</f>
        <v>330.000,00</v>
      </c>
      <c r="M266" s="6" t="str">
        <f>"1.650.000,00"</f>
        <v>1.650.000,00</v>
      </c>
      <c r="N266" s="7"/>
      <c r="O266" s="7"/>
      <c r="P266" s="6" t="str">
        <f>""</f>
        <v/>
      </c>
      <c r="Q266" s="7"/>
      <c r="R266" s="1"/>
      <c r="S266" s="1" t="str">
        <f>"NOS-9/17"</f>
        <v>NOS-9/17</v>
      </c>
      <c r="T266" s="2" t="s">
        <v>26</v>
      </c>
    </row>
    <row r="267" spans="1:20" ht="25.5" x14ac:dyDescent="0.25">
      <c r="A267" s="1">
        <v>263</v>
      </c>
      <c r="B267" s="1" t="str">
        <f t="shared" si="20"/>
        <v>2017-373</v>
      </c>
      <c r="C267" s="2" t="s">
        <v>437</v>
      </c>
      <c r="D267" s="1" t="s">
        <v>35</v>
      </c>
      <c r="E267" s="3" t="str">
        <f>""</f>
        <v/>
      </c>
      <c r="F267" s="2" t="s">
        <v>27</v>
      </c>
      <c r="G267" s="2" t="str">
        <f>CONCATENATE("JAKA D.O.O.,"," OGRIZOVIĆEVA 28/B,","  10 000 ZAGREB,"," OIB: 3770592196")</f>
        <v>JAKA D.O.O., OGRIZOVIĆEVA 28/B,  10 000 ZAGREB, OIB: 3770592196</v>
      </c>
      <c r="H267" s="4"/>
      <c r="I267" s="1" t="s">
        <v>71</v>
      </c>
      <c r="J267" s="1" t="s">
        <v>251</v>
      </c>
      <c r="K267" s="6" t="str">
        <f>"8.000,00"</f>
        <v>8.000,00</v>
      </c>
      <c r="L267" s="6" t="str">
        <f>"2.000,00"</f>
        <v>2.000,00</v>
      </c>
      <c r="M267" s="6" t="str">
        <f>"10.000,00"</f>
        <v>10.000,00</v>
      </c>
      <c r="N267" s="5">
        <v>43598</v>
      </c>
      <c r="O267" s="7"/>
      <c r="P267" s="6" t="str">
        <f>"10.000,00"</f>
        <v>10.000,00</v>
      </c>
      <c r="Q267" s="7"/>
      <c r="R267" s="1"/>
      <c r="S267" s="1" t="str">
        <f>"1-19/NOS-9/17"</f>
        <v>1-19/NOS-9/17</v>
      </c>
      <c r="T267" s="2" t="s">
        <v>33</v>
      </c>
    </row>
    <row r="268" spans="1:20" ht="38.25" x14ac:dyDescent="0.25">
      <c r="A268" s="1">
        <v>264</v>
      </c>
      <c r="B268" s="1" t="str">
        <f t="shared" si="20"/>
        <v>2017-373</v>
      </c>
      <c r="C268" s="2" t="s">
        <v>437</v>
      </c>
      <c r="D268" s="1" t="s">
        <v>35</v>
      </c>
      <c r="E268" s="3" t="str">
        <f>""</f>
        <v/>
      </c>
      <c r="F268" s="2" t="s">
        <v>27</v>
      </c>
      <c r="G268" s="2" t="str">
        <f>CONCATENATE("SMIT-COMMERCE D.O.O.,"," GORNJOSTUPNIČKA 9B,"," 10255 GORNJI STUPNIK,"," OIB: 9524348214")</f>
        <v>SMIT-COMMERCE D.O.O., GORNJOSTUPNIČKA 9B, 10255 GORNJI STUPNIK, OIB: 9524348214</v>
      </c>
      <c r="H268" s="4"/>
      <c r="I268" s="1" t="s">
        <v>203</v>
      </c>
      <c r="J268" s="1" t="s">
        <v>251</v>
      </c>
      <c r="K268" s="6" t="str">
        <f>"2.882,10"</f>
        <v>2.882,10</v>
      </c>
      <c r="L268" s="6" t="str">
        <f>"676,33"</f>
        <v>676,33</v>
      </c>
      <c r="M268" s="6" t="str">
        <f>"3.381,66"</f>
        <v>3.381,66</v>
      </c>
      <c r="N268" s="5">
        <v>43560</v>
      </c>
      <c r="O268" s="7"/>
      <c r="P268" s="6" t="str">
        <f>"3.381,66"</f>
        <v>3.381,66</v>
      </c>
      <c r="Q268" s="7"/>
      <c r="R268" s="1"/>
      <c r="S268" s="1" t="str">
        <f>"2-19/NOS-9/17"</f>
        <v>2-19/NOS-9/17</v>
      </c>
      <c r="T268" s="2" t="s">
        <v>29</v>
      </c>
    </row>
    <row r="269" spans="1:20" ht="38.25" x14ac:dyDescent="0.25">
      <c r="A269" s="1">
        <v>265</v>
      </c>
      <c r="B269" s="1" t="str">
        <f t="shared" si="20"/>
        <v>2017-373</v>
      </c>
      <c r="C269" s="2" t="s">
        <v>437</v>
      </c>
      <c r="D269" s="1" t="s">
        <v>35</v>
      </c>
      <c r="E269" s="3" t="str">
        <f>""</f>
        <v/>
      </c>
      <c r="F269" s="2" t="s">
        <v>27</v>
      </c>
      <c r="G269" s="2" t="str">
        <f>CONCATENATE("SMIT-COMMERCE D.O.O.,"," GORNJOSTUPNIČKA 9B,"," 10255 GORNJI STUPNIK,"," OIB: 9524348214")</f>
        <v>SMIT-COMMERCE D.O.O., GORNJOSTUPNIČKA 9B, 10255 GORNJI STUPNIK, OIB: 9524348214</v>
      </c>
      <c r="H269" s="4"/>
      <c r="I269" s="1" t="s">
        <v>440</v>
      </c>
      <c r="J269" s="4"/>
      <c r="K269" s="6" t="str">
        <f>"827,00"</f>
        <v>827,00</v>
      </c>
      <c r="L269" s="6" t="str">
        <f>"206,75"</f>
        <v>206,75</v>
      </c>
      <c r="M269" s="6" t="str">
        <f>"1.033,75"</f>
        <v>1.033,75</v>
      </c>
      <c r="N269" s="5">
        <v>43671</v>
      </c>
      <c r="O269" s="7"/>
      <c r="P269" s="6" t="str">
        <f>"1.033,75"</f>
        <v>1.033,75</v>
      </c>
      <c r="Q269" s="7"/>
      <c r="R269" s="1"/>
      <c r="S269" s="1" t="str">
        <f>"3-19/NOS-9/17"</f>
        <v>3-19/NOS-9/17</v>
      </c>
      <c r="T269" s="2" t="s">
        <v>33</v>
      </c>
    </row>
    <row r="270" spans="1:20" ht="25.5" x14ac:dyDescent="0.25">
      <c r="A270" s="1">
        <v>266</v>
      </c>
      <c r="B270" s="1" t="str">
        <f t="shared" si="20"/>
        <v>2017-373</v>
      </c>
      <c r="C270" s="2" t="s">
        <v>437</v>
      </c>
      <c r="D270" s="1" t="s">
        <v>35</v>
      </c>
      <c r="E270" s="3" t="str">
        <f>""</f>
        <v/>
      </c>
      <c r="F270" s="2" t="s">
        <v>27</v>
      </c>
      <c r="G270" s="2" t="str">
        <f>CONCATENATE("JAKA D.O.O.,"," OGRIZOVIĆEVA 28/B,","  10 000 ZAGREB,"," OIB: 3770592196")</f>
        <v>JAKA D.O.O., OGRIZOVIĆEVA 28/B,  10 000 ZAGREB, OIB: 3770592196</v>
      </c>
      <c r="H270" s="4"/>
      <c r="I270" s="1" t="s">
        <v>424</v>
      </c>
      <c r="J270" s="1" t="s">
        <v>251</v>
      </c>
      <c r="K270" s="6" t="str">
        <f>"195.000,00"</f>
        <v>195.000,00</v>
      </c>
      <c r="L270" s="6" t="str">
        <f>"13.953,13"</f>
        <v>13.953,13</v>
      </c>
      <c r="M270" s="6" t="str">
        <f>"69.765,63"</f>
        <v>69.765,63</v>
      </c>
      <c r="N270" s="5">
        <v>43719</v>
      </c>
      <c r="O270" s="7"/>
      <c r="P270" s="6" t="str">
        <f>"69.765,62"</f>
        <v>69.765,62</v>
      </c>
      <c r="Q270" s="7"/>
      <c r="R270" s="1"/>
      <c r="S270" s="1" t="str">
        <f>"4-19/NOS-9/17"</f>
        <v>4-19/NOS-9/17</v>
      </c>
      <c r="T270" s="2" t="s">
        <v>33</v>
      </c>
    </row>
    <row r="271" spans="1:20" ht="38.25" x14ac:dyDescent="0.25">
      <c r="A271" s="1">
        <v>267</v>
      </c>
      <c r="B271" s="1" t="str">
        <f t="shared" si="20"/>
        <v>2017-373</v>
      </c>
      <c r="C271" s="2" t="s">
        <v>437</v>
      </c>
      <c r="D271" s="1" t="s">
        <v>35</v>
      </c>
      <c r="E271" s="3" t="str">
        <f>""</f>
        <v/>
      </c>
      <c r="F271" s="2" t="s">
        <v>27</v>
      </c>
      <c r="G271" s="2" t="str">
        <f>CONCATENATE("JAKA D.O.O.,"," OGRIZOVIĆEVA 28/B,","  10 000 ZAGREB,"," OIB: 3770592196")</f>
        <v>JAKA D.O.O., OGRIZOVIĆEVA 28/B,  10 000 ZAGREB, OIB: 3770592196</v>
      </c>
      <c r="H271" s="4"/>
      <c r="I271" s="1" t="s">
        <v>441</v>
      </c>
      <c r="J271" s="1" t="s">
        <v>140</v>
      </c>
      <c r="K271" s="6" t="str">
        <f>"87.840,00"</f>
        <v>87.840,00</v>
      </c>
      <c r="L271" s="6" t="str">
        <f>"21.960,00"</f>
        <v>21.960,00</v>
      </c>
      <c r="M271" s="6" t="str">
        <f>"109.800,00"</f>
        <v>109.800,00</v>
      </c>
      <c r="N271" s="5">
        <v>43567</v>
      </c>
      <c r="O271" s="7"/>
      <c r="P271" s="6" t="str">
        <f>"109.812,50"</f>
        <v>109.812,50</v>
      </c>
      <c r="Q271" s="7"/>
      <c r="R271" s="1"/>
      <c r="S271" s="1" t="str">
        <f>"12-18/NOS-9/17"</f>
        <v>12-18/NOS-9/17</v>
      </c>
      <c r="T271" s="2" t="s">
        <v>26</v>
      </c>
    </row>
    <row r="272" spans="1:20" ht="63.75" x14ac:dyDescent="0.25">
      <c r="A272" s="1">
        <v>268</v>
      </c>
      <c r="B272" s="1" t="str">
        <f t="shared" ref="B272:B281" si="21">"2017-363"</f>
        <v>2017-363</v>
      </c>
      <c r="C272" s="2" t="s">
        <v>442</v>
      </c>
      <c r="D272" s="1" t="s">
        <v>443</v>
      </c>
      <c r="E272" s="3" t="str">
        <f>"2017/S 0F2-0005952"</f>
        <v>2017/S 0F2-0005952</v>
      </c>
      <c r="F272" s="2" t="s">
        <v>23</v>
      </c>
      <c r="G272" s="2" t="str">
        <f>CONCATENATE("DIV GRUPA  D.O.O. ZA USLUGE,"," BOBOVICA 10/A,"," 10430 SAMOBOR,"," OIB: 33890755814",CHAR(10),"GRADITELJ SVRATIŠTA D.O.O.,"," IVANA ČESMIČKOG 16,"," 10000 ZAGREB,"," OIB: 5204465757")</f>
        <v>DIV GRUPA  D.O.O. ZA USLUGE, BOBOVICA 10/A, 10430 SAMOBOR, OIB: 33890755814
GRADITELJ SVRATIŠTA D.O.O., IVANA ČESMIČKOG 16, 10000 ZAGREB, OIB: 5204465757</v>
      </c>
      <c r="H272" s="4"/>
      <c r="I272" s="1" t="s">
        <v>444</v>
      </c>
      <c r="J272" s="1" t="s">
        <v>445</v>
      </c>
      <c r="K272" s="6" t="str">
        <f>"840.000,00"</f>
        <v>840.000,00</v>
      </c>
      <c r="L272" s="6" t="str">
        <f>"210.000,00"</f>
        <v>210.000,00</v>
      </c>
      <c r="M272" s="6" t="str">
        <f>"1.050.000,00"</f>
        <v>1.050.000,00</v>
      </c>
      <c r="N272" s="7"/>
      <c r="O272" s="7"/>
      <c r="P272" s="6" t="str">
        <f>""</f>
        <v/>
      </c>
      <c r="Q272" s="7"/>
      <c r="R272" s="1"/>
      <c r="S272" s="1" t="str">
        <f>"NOS-10/17"</f>
        <v>NOS-10/17</v>
      </c>
      <c r="T272" s="2" t="s">
        <v>26</v>
      </c>
    </row>
    <row r="273" spans="1:20" ht="25.5" x14ac:dyDescent="0.25">
      <c r="A273" s="1">
        <v>269</v>
      </c>
      <c r="B273" s="1" t="str">
        <f t="shared" si="21"/>
        <v>2017-363</v>
      </c>
      <c r="C273" s="2" t="s">
        <v>442</v>
      </c>
      <c r="D273" s="1" t="s">
        <v>443</v>
      </c>
      <c r="E273" s="3" t="str">
        <f>""</f>
        <v/>
      </c>
      <c r="F273" s="2" t="s">
        <v>27</v>
      </c>
      <c r="G273" s="2" t="str">
        <f t="shared" ref="G273:G281" si="22">CONCATENATE("DIV GRUPA  D.O.O. ZA USLUGE,"," BOBOVICA 10/A,"," 10430 SAMOBOR,"," OIB: 33890755814")</f>
        <v>DIV GRUPA  D.O.O. ZA USLUGE, BOBOVICA 10/A, 10430 SAMOBOR, OIB: 33890755814</v>
      </c>
      <c r="H273" s="4"/>
      <c r="I273" s="1" t="s">
        <v>194</v>
      </c>
      <c r="J273" s="1" t="s">
        <v>251</v>
      </c>
      <c r="K273" s="6" t="str">
        <f>"8.536,16"</f>
        <v>8.536,16</v>
      </c>
      <c r="L273" s="6" t="str">
        <f t="shared" ref="L273:M281" si="23">"0,00"</f>
        <v>0,00</v>
      </c>
      <c r="M273" s="6" t="str">
        <f t="shared" si="23"/>
        <v>0,00</v>
      </c>
      <c r="N273" s="1" t="s">
        <v>117</v>
      </c>
      <c r="O273" s="7"/>
      <c r="P273" s="6" t="str">
        <f t="shared" ref="P273:P281" si="24">"0,00"</f>
        <v>0,00</v>
      </c>
      <c r="Q273" s="7"/>
      <c r="R273" s="1"/>
      <c r="S273" s="1" t="str">
        <f>"1-19/NOS-10/17"</f>
        <v>1-19/NOS-10/17</v>
      </c>
      <c r="T273" s="2" t="s">
        <v>33</v>
      </c>
    </row>
    <row r="274" spans="1:20" ht="25.5" x14ac:dyDescent="0.25">
      <c r="A274" s="1">
        <v>270</v>
      </c>
      <c r="B274" s="1" t="str">
        <f t="shared" si="21"/>
        <v>2017-363</v>
      </c>
      <c r="C274" s="2" t="s">
        <v>442</v>
      </c>
      <c r="D274" s="1" t="s">
        <v>443</v>
      </c>
      <c r="E274" s="3" t="str">
        <f>""</f>
        <v/>
      </c>
      <c r="F274" s="2" t="s">
        <v>27</v>
      </c>
      <c r="G274" s="2" t="str">
        <f t="shared" si="22"/>
        <v>DIV GRUPA  D.O.O. ZA USLUGE, BOBOVICA 10/A, 10430 SAMOBOR, OIB: 33890755814</v>
      </c>
      <c r="H274" s="4"/>
      <c r="I274" s="1" t="s">
        <v>254</v>
      </c>
      <c r="J274" s="1" t="s">
        <v>251</v>
      </c>
      <c r="K274" s="6" t="str">
        <f>"1.404,00"</f>
        <v>1.404,00</v>
      </c>
      <c r="L274" s="6" t="str">
        <f t="shared" si="23"/>
        <v>0,00</v>
      </c>
      <c r="M274" s="6" t="str">
        <f t="shared" si="23"/>
        <v>0,00</v>
      </c>
      <c r="N274" s="1" t="s">
        <v>117</v>
      </c>
      <c r="O274" s="7"/>
      <c r="P274" s="6" t="str">
        <f t="shared" si="24"/>
        <v>0,00</v>
      </c>
      <c r="Q274" s="7"/>
      <c r="R274" s="1"/>
      <c r="S274" s="1" t="str">
        <f>"2-19/NOS-10/17"</f>
        <v>2-19/NOS-10/17</v>
      </c>
      <c r="T274" s="2" t="s">
        <v>33</v>
      </c>
    </row>
    <row r="275" spans="1:20" ht="25.5" x14ac:dyDescent="0.25">
      <c r="A275" s="1">
        <v>271</v>
      </c>
      <c r="B275" s="1" t="str">
        <f t="shared" si="21"/>
        <v>2017-363</v>
      </c>
      <c r="C275" s="2" t="s">
        <v>442</v>
      </c>
      <c r="D275" s="1" t="s">
        <v>443</v>
      </c>
      <c r="E275" s="3" t="str">
        <f>""</f>
        <v/>
      </c>
      <c r="F275" s="2" t="s">
        <v>27</v>
      </c>
      <c r="G275" s="2" t="str">
        <f t="shared" si="22"/>
        <v>DIV GRUPA  D.O.O. ZA USLUGE, BOBOVICA 10/A, 10430 SAMOBOR, OIB: 33890755814</v>
      </c>
      <c r="H275" s="4"/>
      <c r="I275" s="1" t="s">
        <v>302</v>
      </c>
      <c r="J275" s="1" t="s">
        <v>251</v>
      </c>
      <c r="K275" s="6" t="str">
        <f>"2.282,00"</f>
        <v>2.282,00</v>
      </c>
      <c r="L275" s="6" t="str">
        <f t="shared" si="23"/>
        <v>0,00</v>
      </c>
      <c r="M275" s="6" t="str">
        <f t="shared" si="23"/>
        <v>0,00</v>
      </c>
      <c r="N275" s="1" t="s">
        <v>117</v>
      </c>
      <c r="O275" s="7"/>
      <c r="P275" s="6" t="str">
        <f t="shared" si="24"/>
        <v>0,00</v>
      </c>
      <c r="Q275" s="7"/>
      <c r="R275" s="1"/>
      <c r="S275" s="1" t="str">
        <f>"3-19/NOS-10/17"</f>
        <v>3-19/NOS-10/17</v>
      </c>
      <c r="T275" s="2" t="s">
        <v>29</v>
      </c>
    </row>
    <row r="276" spans="1:20" ht="25.5" x14ac:dyDescent="0.25">
      <c r="A276" s="1">
        <v>272</v>
      </c>
      <c r="B276" s="1" t="str">
        <f t="shared" si="21"/>
        <v>2017-363</v>
      </c>
      <c r="C276" s="2" t="s">
        <v>442</v>
      </c>
      <c r="D276" s="1" t="s">
        <v>443</v>
      </c>
      <c r="E276" s="3" t="str">
        <f>""</f>
        <v/>
      </c>
      <c r="F276" s="2" t="s">
        <v>27</v>
      </c>
      <c r="G276" s="2" t="str">
        <f t="shared" si="22"/>
        <v>DIV GRUPA  D.O.O. ZA USLUGE, BOBOVICA 10/A, 10430 SAMOBOR, OIB: 33890755814</v>
      </c>
      <c r="H276" s="4"/>
      <c r="I276" s="1" t="s">
        <v>343</v>
      </c>
      <c r="J276" s="1" t="s">
        <v>251</v>
      </c>
      <c r="K276" s="6" t="str">
        <f>"1.758,00"</f>
        <v>1.758,00</v>
      </c>
      <c r="L276" s="6" t="str">
        <f t="shared" si="23"/>
        <v>0,00</v>
      </c>
      <c r="M276" s="6" t="str">
        <f t="shared" si="23"/>
        <v>0,00</v>
      </c>
      <c r="N276" s="1" t="s">
        <v>117</v>
      </c>
      <c r="O276" s="7"/>
      <c r="P276" s="6" t="str">
        <f t="shared" si="24"/>
        <v>0,00</v>
      </c>
      <c r="Q276" s="7"/>
      <c r="R276" s="1"/>
      <c r="S276" s="1" t="str">
        <f>"4-19/NOS-10/17"</f>
        <v>4-19/NOS-10/17</v>
      </c>
      <c r="T276" s="2" t="s">
        <v>33</v>
      </c>
    </row>
    <row r="277" spans="1:20" ht="25.5" x14ac:dyDescent="0.25">
      <c r="A277" s="1">
        <v>273</v>
      </c>
      <c r="B277" s="1" t="str">
        <f t="shared" si="21"/>
        <v>2017-363</v>
      </c>
      <c r="C277" s="2" t="s">
        <v>442</v>
      </c>
      <c r="D277" s="1" t="s">
        <v>443</v>
      </c>
      <c r="E277" s="3" t="str">
        <f>""</f>
        <v/>
      </c>
      <c r="F277" s="2" t="s">
        <v>27</v>
      </c>
      <c r="G277" s="2" t="str">
        <f t="shared" si="22"/>
        <v>DIV GRUPA  D.O.O. ZA USLUGE, BOBOVICA 10/A, 10430 SAMOBOR, OIB: 33890755814</v>
      </c>
      <c r="H277" s="4"/>
      <c r="I277" s="1" t="s">
        <v>446</v>
      </c>
      <c r="J277" s="1" t="s">
        <v>251</v>
      </c>
      <c r="K277" s="6" t="str">
        <f>"1.692,50"</f>
        <v>1.692,50</v>
      </c>
      <c r="L277" s="6" t="str">
        <f t="shared" si="23"/>
        <v>0,00</v>
      </c>
      <c r="M277" s="6" t="str">
        <f t="shared" si="23"/>
        <v>0,00</v>
      </c>
      <c r="N277" s="1" t="s">
        <v>117</v>
      </c>
      <c r="O277" s="7"/>
      <c r="P277" s="6" t="str">
        <f t="shared" si="24"/>
        <v>0,00</v>
      </c>
      <c r="Q277" s="7"/>
      <c r="R277" s="1"/>
      <c r="S277" s="1" t="str">
        <f>"5-19/NOS-10/17"</f>
        <v>5-19/NOS-10/17</v>
      </c>
      <c r="T277" s="2" t="s">
        <v>33</v>
      </c>
    </row>
    <row r="278" spans="1:20" ht="25.5" x14ac:dyDescent="0.25">
      <c r="A278" s="1">
        <v>274</v>
      </c>
      <c r="B278" s="1" t="str">
        <f t="shared" si="21"/>
        <v>2017-363</v>
      </c>
      <c r="C278" s="2" t="s">
        <v>442</v>
      </c>
      <c r="D278" s="1" t="s">
        <v>443</v>
      </c>
      <c r="E278" s="3" t="str">
        <f>""</f>
        <v/>
      </c>
      <c r="F278" s="2" t="s">
        <v>27</v>
      </c>
      <c r="G278" s="2" t="str">
        <f t="shared" si="22"/>
        <v>DIV GRUPA  D.O.O. ZA USLUGE, BOBOVICA 10/A, 10430 SAMOBOR, OIB: 33890755814</v>
      </c>
      <c r="H278" s="4"/>
      <c r="I278" s="1" t="s">
        <v>25</v>
      </c>
      <c r="J278" s="1" t="s">
        <v>251</v>
      </c>
      <c r="K278" s="6" t="str">
        <f>"1.423,60"</f>
        <v>1.423,60</v>
      </c>
      <c r="L278" s="6" t="str">
        <f t="shared" si="23"/>
        <v>0,00</v>
      </c>
      <c r="M278" s="6" t="str">
        <f t="shared" si="23"/>
        <v>0,00</v>
      </c>
      <c r="N278" s="1" t="s">
        <v>117</v>
      </c>
      <c r="O278" s="7"/>
      <c r="P278" s="6" t="str">
        <f t="shared" si="24"/>
        <v>0,00</v>
      </c>
      <c r="Q278" s="7"/>
      <c r="R278" s="1"/>
      <c r="S278" s="1" t="str">
        <f>"6-19/NOS-10/17"</f>
        <v>6-19/NOS-10/17</v>
      </c>
      <c r="T278" s="2" t="s">
        <v>33</v>
      </c>
    </row>
    <row r="279" spans="1:20" ht="25.5" x14ac:dyDescent="0.25">
      <c r="A279" s="1">
        <v>275</v>
      </c>
      <c r="B279" s="1" t="str">
        <f t="shared" si="21"/>
        <v>2017-363</v>
      </c>
      <c r="C279" s="2" t="s">
        <v>442</v>
      </c>
      <c r="D279" s="1" t="s">
        <v>443</v>
      </c>
      <c r="E279" s="3" t="str">
        <f>""</f>
        <v/>
      </c>
      <c r="F279" s="2" t="s">
        <v>27</v>
      </c>
      <c r="G279" s="2" t="str">
        <f t="shared" si="22"/>
        <v>DIV GRUPA  D.O.O. ZA USLUGE, BOBOVICA 10/A, 10430 SAMOBOR, OIB: 33890755814</v>
      </c>
      <c r="H279" s="4"/>
      <c r="I279" s="1" t="s">
        <v>361</v>
      </c>
      <c r="J279" s="1" t="s">
        <v>251</v>
      </c>
      <c r="K279" s="6" t="str">
        <f>"6.515,83"</f>
        <v>6.515,83</v>
      </c>
      <c r="L279" s="6" t="str">
        <f t="shared" si="23"/>
        <v>0,00</v>
      </c>
      <c r="M279" s="6" t="str">
        <f t="shared" si="23"/>
        <v>0,00</v>
      </c>
      <c r="N279" s="1" t="s">
        <v>117</v>
      </c>
      <c r="O279" s="7"/>
      <c r="P279" s="6" t="str">
        <f t="shared" si="24"/>
        <v>0,00</v>
      </c>
      <c r="Q279" s="7"/>
      <c r="R279" s="1"/>
      <c r="S279" s="1" t="str">
        <f>"7-19/NOS-10/17"</f>
        <v>7-19/NOS-10/17</v>
      </c>
      <c r="T279" s="2" t="s">
        <v>33</v>
      </c>
    </row>
    <row r="280" spans="1:20" ht="25.5" x14ac:dyDescent="0.25">
      <c r="A280" s="1">
        <v>276</v>
      </c>
      <c r="B280" s="1" t="str">
        <f t="shared" si="21"/>
        <v>2017-363</v>
      </c>
      <c r="C280" s="2" t="s">
        <v>442</v>
      </c>
      <c r="D280" s="1" t="s">
        <v>443</v>
      </c>
      <c r="E280" s="3" t="str">
        <f>""</f>
        <v/>
      </c>
      <c r="F280" s="2" t="s">
        <v>27</v>
      </c>
      <c r="G280" s="2" t="str">
        <f t="shared" si="22"/>
        <v>DIV GRUPA  D.O.O. ZA USLUGE, BOBOVICA 10/A, 10430 SAMOBOR, OIB: 33890755814</v>
      </c>
      <c r="H280" s="4"/>
      <c r="I280" s="1" t="s">
        <v>374</v>
      </c>
      <c r="J280" s="1" t="s">
        <v>242</v>
      </c>
      <c r="K280" s="6" t="str">
        <f>"450,00"</f>
        <v>450,00</v>
      </c>
      <c r="L280" s="6" t="str">
        <f t="shared" si="23"/>
        <v>0,00</v>
      </c>
      <c r="M280" s="6" t="str">
        <f t="shared" si="23"/>
        <v>0,00</v>
      </c>
      <c r="N280" s="1" t="s">
        <v>117</v>
      </c>
      <c r="O280" s="7"/>
      <c r="P280" s="6" t="str">
        <f t="shared" si="24"/>
        <v>0,00</v>
      </c>
      <c r="Q280" s="7"/>
      <c r="R280" s="1"/>
      <c r="S280" s="1" t="str">
        <f>"8-19/NOS-10/17"</f>
        <v>8-19/NOS-10/17</v>
      </c>
      <c r="T280" s="2" t="s">
        <v>33</v>
      </c>
    </row>
    <row r="281" spans="1:20" ht="25.5" x14ac:dyDescent="0.25">
      <c r="A281" s="1">
        <v>277</v>
      </c>
      <c r="B281" s="1" t="str">
        <f t="shared" si="21"/>
        <v>2017-363</v>
      </c>
      <c r="C281" s="2" t="s">
        <v>442</v>
      </c>
      <c r="D281" s="1" t="s">
        <v>443</v>
      </c>
      <c r="E281" s="3" t="str">
        <f>""</f>
        <v/>
      </c>
      <c r="F281" s="2" t="s">
        <v>27</v>
      </c>
      <c r="G281" s="2" t="str">
        <f t="shared" si="22"/>
        <v>DIV GRUPA  D.O.O. ZA USLUGE, BOBOVICA 10/A, 10430 SAMOBOR, OIB: 33890755814</v>
      </c>
      <c r="H281" s="4"/>
      <c r="I281" s="1" t="s">
        <v>424</v>
      </c>
      <c r="J281" s="1" t="s">
        <v>251</v>
      </c>
      <c r="K281" s="6" t="str">
        <f>"540,00"</f>
        <v>540,00</v>
      </c>
      <c r="L281" s="6" t="str">
        <f t="shared" si="23"/>
        <v>0,00</v>
      </c>
      <c r="M281" s="6" t="str">
        <f t="shared" si="23"/>
        <v>0,00</v>
      </c>
      <c r="N281" s="1" t="s">
        <v>117</v>
      </c>
      <c r="O281" s="7"/>
      <c r="P281" s="6" t="str">
        <f t="shared" si="24"/>
        <v>0,00</v>
      </c>
      <c r="Q281" s="7"/>
      <c r="R281" s="1"/>
      <c r="S281" s="1" t="str">
        <f>"9-19/NOS-10/17"</f>
        <v>9-19/NOS-10/17</v>
      </c>
      <c r="T281" s="2" t="s">
        <v>33</v>
      </c>
    </row>
    <row r="282" spans="1:20" ht="89.25" x14ac:dyDescent="0.25">
      <c r="A282" s="1">
        <v>278</v>
      </c>
      <c r="B282" s="1" t="str">
        <f>"2017-375"</f>
        <v>2017-375</v>
      </c>
      <c r="C282" s="2" t="s">
        <v>447</v>
      </c>
      <c r="D282" s="1" t="s">
        <v>448</v>
      </c>
      <c r="E282" s="3" t="str">
        <f>"2017/S 0F2-0005235"</f>
        <v>2017/S 0F2-0005235</v>
      </c>
      <c r="F282" s="2" t="s">
        <v>23</v>
      </c>
      <c r="G282" s="2" t="str">
        <f>CONCATENATE("CROATIA TENIS D.O.O.,"," TRG SPORTOVA 10,"," 10000 ZAGREB,"," OIB: 17676811829",CHAR(10),"TOME D.O.O.,"," PRIKEŠTE 14,"," 51513 OMIŠALJ,"," OIB: 26823450720",CHAR(10),"SPORT NET INŽENJERING J.D.O.O.,"," LAVOSLAVA RUŽIČKOG 3,"," 10000 ZAGREB,"," OIB: 51831093168")</f>
        <v>CROATIA TENIS D.O.O., TRG SPORTOVA 10, 10000 ZAGREB, OIB: 17676811829
TOME D.O.O., PRIKEŠTE 14, 51513 OMIŠALJ, OIB: 26823450720
SPORT NET INŽENJERING J.D.O.O., LAVOSLAVA RUŽIČKOG 3, 10000 ZAGREB, OIB: 51831093168</v>
      </c>
      <c r="H282" s="4"/>
      <c r="I282" s="1" t="s">
        <v>449</v>
      </c>
      <c r="J282" s="1" t="s">
        <v>450</v>
      </c>
      <c r="K282" s="6" t="str">
        <f>"900.000,00"</f>
        <v>900.000,00</v>
      </c>
      <c r="L282" s="6" t="str">
        <f>"225.000,00"</f>
        <v>225.000,00</v>
      </c>
      <c r="M282" s="6" t="str">
        <f>"1.125.000,00"</f>
        <v>1.125.000,00</v>
      </c>
      <c r="N282" s="7"/>
      <c r="O282" s="7"/>
      <c r="P282" s="6" t="str">
        <f>""</f>
        <v/>
      </c>
      <c r="Q282" s="7"/>
      <c r="R282" s="1"/>
      <c r="S282" s="1" t="str">
        <f>"NOS-11/17"</f>
        <v>NOS-11/17</v>
      </c>
      <c r="T282" s="2" t="s">
        <v>33</v>
      </c>
    </row>
    <row r="283" spans="1:20" ht="38.25" x14ac:dyDescent="0.25">
      <c r="A283" s="1">
        <v>279</v>
      </c>
      <c r="B283" s="1" t="str">
        <f>"2017-375"</f>
        <v>2017-375</v>
      </c>
      <c r="C283" s="2" t="s">
        <v>447</v>
      </c>
      <c r="D283" s="1" t="s">
        <v>448</v>
      </c>
      <c r="E283" s="3" t="str">
        <f>""</f>
        <v/>
      </c>
      <c r="F283" s="2" t="s">
        <v>27</v>
      </c>
      <c r="G283" s="2" t="str">
        <f>CONCATENATE("SPORT NET INŽENJERING J.D.O.O.,"," LAVOSLAVA RUŽIČKOG 3,"," 10000 ZAGREB,"," OIB: 51831093168")</f>
        <v>SPORT NET INŽENJERING J.D.O.O., LAVOSLAVA RUŽIČKOG 3, 10000 ZAGREB, OIB: 51831093168</v>
      </c>
      <c r="H283" s="4"/>
      <c r="I283" s="1" t="s">
        <v>451</v>
      </c>
      <c r="J283" s="1" t="s">
        <v>74</v>
      </c>
      <c r="K283" s="6" t="str">
        <f>"102.624,00"</f>
        <v>102.624,00</v>
      </c>
      <c r="L283" s="6" t="str">
        <f>"25.656,00"</f>
        <v>25.656,00</v>
      </c>
      <c r="M283" s="6" t="str">
        <f>"128.280,00"</f>
        <v>128.280,00</v>
      </c>
      <c r="N283" s="5">
        <v>43514</v>
      </c>
      <c r="O283" s="7"/>
      <c r="P283" s="6" t="str">
        <f>"128.280,00"</f>
        <v>128.280,00</v>
      </c>
      <c r="Q283" s="7"/>
      <c r="R283" s="1"/>
      <c r="S283" s="1" t="str">
        <f>"12-18/NOS-11/17"</f>
        <v>12-18/NOS-11/17</v>
      </c>
      <c r="T283" s="2" t="s">
        <v>33</v>
      </c>
    </row>
    <row r="284" spans="1:20" ht="25.5" x14ac:dyDescent="0.25">
      <c r="A284" s="1">
        <v>280</v>
      </c>
      <c r="B284" s="1" t="str">
        <f>"2017-375"</f>
        <v>2017-375</v>
      </c>
      <c r="C284" s="2" t="s">
        <v>447</v>
      </c>
      <c r="D284" s="1" t="s">
        <v>448</v>
      </c>
      <c r="E284" s="3" t="str">
        <f>""</f>
        <v/>
      </c>
      <c r="F284" s="2" t="s">
        <v>27</v>
      </c>
      <c r="G284" s="2" t="str">
        <f>CONCATENATE("TOME D.O.O.,"," PRIKEŠTE 14,"," 51513 OMIŠALJ,"," OIB: 2682345072")</f>
        <v>TOME D.O.O., PRIKEŠTE 14, 51513 OMIŠALJ, OIB: 2682345072</v>
      </c>
      <c r="H284" s="4"/>
      <c r="I284" s="1" t="s">
        <v>301</v>
      </c>
      <c r="J284" s="1" t="s">
        <v>64</v>
      </c>
      <c r="K284" s="6" t="str">
        <f>"11.075,00"</f>
        <v>11.075,00</v>
      </c>
      <c r="L284" s="6" t="str">
        <f>"2.768,75"</f>
        <v>2.768,75</v>
      </c>
      <c r="M284" s="6" t="str">
        <f>"13.843,75"</f>
        <v>13.843,75</v>
      </c>
      <c r="N284" s="5">
        <v>43566</v>
      </c>
      <c r="O284" s="7"/>
      <c r="P284" s="6" t="str">
        <f>"13.843,75"</f>
        <v>13.843,75</v>
      </c>
      <c r="Q284" s="7"/>
      <c r="R284" s="1"/>
      <c r="S284" s="1" t="str">
        <f>"3-19/NOS-11/17"</f>
        <v>3-19/NOS-11/17</v>
      </c>
      <c r="T284" s="2" t="s">
        <v>33</v>
      </c>
    </row>
    <row r="285" spans="1:20" ht="25.5" x14ac:dyDescent="0.25">
      <c r="A285" s="1">
        <v>281</v>
      </c>
      <c r="B285" s="1" t="str">
        <f>"2017-375"</f>
        <v>2017-375</v>
      </c>
      <c r="C285" s="2" t="s">
        <v>447</v>
      </c>
      <c r="D285" s="1" t="s">
        <v>448</v>
      </c>
      <c r="E285" s="3" t="str">
        <f>""</f>
        <v/>
      </c>
      <c r="F285" s="2" t="s">
        <v>27</v>
      </c>
      <c r="G285" s="2" t="str">
        <f>CONCATENATE("CROATIA TENIS D.O.O.,"," TRG SPORTOVA 10,"," 10000 ZAGREB,"," OIB: 17676811829")</f>
        <v>CROATIA TENIS D.O.O., TRG SPORTOVA 10, 10000 ZAGREB, OIB: 17676811829</v>
      </c>
      <c r="H285" s="4"/>
      <c r="I285" s="1" t="s">
        <v>32</v>
      </c>
      <c r="J285" s="1" t="s">
        <v>37</v>
      </c>
      <c r="K285" s="6" t="str">
        <f>"18.259,00"</f>
        <v>18.259,00</v>
      </c>
      <c r="L285" s="6" t="str">
        <f>"4.564,75"</f>
        <v>4.564,75</v>
      </c>
      <c r="M285" s="6" t="str">
        <f>"22.823,75"</f>
        <v>22.823,75</v>
      </c>
      <c r="N285" s="5">
        <v>43628</v>
      </c>
      <c r="O285" s="7"/>
      <c r="P285" s="6" t="str">
        <f>"22.823,75"</f>
        <v>22.823,75</v>
      </c>
      <c r="Q285" s="7"/>
      <c r="R285" s="1"/>
      <c r="S285" s="1" t="str">
        <f>"4-19/NOS-11/17"</f>
        <v>4-19/NOS-11/17</v>
      </c>
      <c r="T285" s="2" t="s">
        <v>33</v>
      </c>
    </row>
    <row r="286" spans="1:20" ht="38.25" x14ac:dyDescent="0.25">
      <c r="A286" s="1">
        <v>282</v>
      </c>
      <c r="B286" s="1" t="str">
        <f>"2017-375"</f>
        <v>2017-375</v>
      </c>
      <c r="C286" s="2" t="s">
        <v>447</v>
      </c>
      <c r="D286" s="1" t="s">
        <v>448</v>
      </c>
      <c r="E286" s="3" t="str">
        <f>""</f>
        <v/>
      </c>
      <c r="F286" s="2" t="s">
        <v>27</v>
      </c>
      <c r="G286" s="2" t="str">
        <f>CONCATENATE("SPORT NET INŽENJERING J.D.O.O.,"," LAVOSLAVA RUŽIČKOG 3,"," 10000 ZAGREB,"," OIB: 51831093168")</f>
        <v>SPORT NET INŽENJERING J.D.O.O., LAVOSLAVA RUŽIČKOG 3, 10000 ZAGREB, OIB: 51831093168</v>
      </c>
      <c r="H286" s="4"/>
      <c r="I286" s="1" t="s">
        <v>414</v>
      </c>
      <c r="J286" s="1" t="s">
        <v>404</v>
      </c>
      <c r="K286" s="6" t="str">
        <f>"128.484,00"</f>
        <v>128.484,00</v>
      </c>
      <c r="L286" s="6" t="str">
        <f>"32.121,00"</f>
        <v>32.121,00</v>
      </c>
      <c r="M286" s="6" t="str">
        <f>"160.605,00"</f>
        <v>160.605,00</v>
      </c>
      <c r="N286" s="5">
        <v>43647</v>
      </c>
      <c r="O286" s="7"/>
      <c r="P286" s="6" t="str">
        <f>"160.605,00"</f>
        <v>160.605,00</v>
      </c>
      <c r="Q286" s="7"/>
      <c r="R286" s="1"/>
      <c r="S286" s="1" t="str">
        <f>"5-19/NOS-11/17"</f>
        <v>5-19/NOS-11/17</v>
      </c>
      <c r="T286" s="2" t="s">
        <v>33</v>
      </c>
    </row>
    <row r="287" spans="1:20" ht="63.75" x14ac:dyDescent="0.25">
      <c r="A287" s="1">
        <v>283</v>
      </c>
      <c r="B287" s="1" t="str">
        <f t="shared" ref="B287:B293" si="25">"2017-366"</f>
        <v>2017-366</v>
      </c>
      <c r="C287" s="2" t="s">
        <v>452</v>
      </c>
      <c r="D287" s="1" t="s">
        <v>453</v>
      </c>
      <c r="E287" s="3" t="str">
        <f>"2017/S 0F2-0006253"</f>
        <v>2017/S 0F2-0006253</v>
      </c>
      <c r="F287" s="2" t="s">
        <v>23</v>
      </c>
      <c r="G287" s="2" t="str">
        <f t="shared" ref="G287:G293" si="26">CONCATENATE("JULIUS MEINL BONFANTI D.O.O.,"," LJUBLJANSKA ULICA 4,"," 10431 SVETA NEDELJA,"," OIB: 39546130894")</f>
        <v>JULIUS MEINL BONFANTI D.O.O., LJUBLJANSKA ULICA 4, 10431 SVETA NEDELJA, OIB: 39546130894</v>
      </c>
      <c r="H287" s="4"/>
      <c r="I287" s="1" t="s">
        <v>365</v>
      </c>
      <c r="J287" s="1" t="s">
        <v>366</v>
      </c>
      <c r="K287" s="6" t="str">
        <f>"712.000,00"</f>
        <v>712.000,00</v>
      </c>
      <c r="L287" s="6" t="str">
        <f>"178.000,00"</f>
        <v>178.000,00</v>
      </c>
      <c r="M287" s="6" t="str">
        <f>"890.000,00"</f>
        <v>890.000,00</v>
      </c>
      <c r="N287" s="7"/>
      <c r="O287" s="7"/>
      <c r="P287" s="6" t="str">
        <f>""</f>
        <v/>
      </c>
      <c r="Q287" s="7"/>
      <c r="R287" s="1"/>
      <c r="S287" s="1" t="str">
        <f>"NOS-12/17"</f>
        <v>NOS-12/17</v>
      </c>
      <c r="T287" s="2" t="s">
        <v>79</v>
      </c>
    </row>
    <row r="288" spans="1:20" ht="38.25" x14ac:dyDescent="0.25">
      <c r="A288" s="1">
        <v>284</v>
      </c>
      <c r="B288" s="1" t="str">
        <f t="shared" si="25"/>
        <v>2017-366</v>
      </c>
      <c r="C288" s="2" t="s">
        <v>452</v>
      </c>
      <c r="D288" s="1" t="s">
        <v>453</v>
      </c>
      <c r="E288" s="3" t="str">
        <f>""</f>
        <v/>
      </c>
      <c r="F288" s="2" t="s">
        <v>27</v>
      </c>
      <c r="G288" s="2" t="str">
        <f t="shared" si="26"/>
        <v>JULIUS MEINL BONFANTI D.O.O., LJUBLJANSKA ULICA 4, 10431 SVETA NEDELJA, OIB: 39546130894</v>
      </c>
      <c r="H288" s="4"/>
      <c r="I288" s="1" t="s">
        <v>454</v>
      </c>
      <c r="J288" s="1" t="s">
        <v>114</v>
      </c>
      <c r="K288" s="6" t="str">
        <f>"85.495,00"</f>
        <v>85.495,00</v>
      </c>
      <c r="L288" s="6" t="str">
        <f>"21.373,75"</f>
        <v>21.373,75</v>
      </c>
      <c r="M288" s="6" t="str">
        <f>"106.868,75"</f>
        <v>106.868,75</v>
      </c>
      <c r="N288" s="5">
        <v>43644</v>
      </c>
      <c r="O288" s="7"/>
      <c r="P288" s="6" t="str">
        <f>"84.192,45"</f>
        <v>84.192,45</v>
      </c>
      <c r="Q288" s="7"/>
      <c r="R288" s="1"/>
      <c r="S288" s="1" t="str">
        <f>"7-18/NOS-12/17"</f>
        <v>7-18/NOS-12/17</v>
      </c>
      <c r="T288" s="2" t="s">
        <v>33</v>
      </c>
    </row>
    <row r="289" spans="1:20" ht="38.25" x14ac:dyDescent="0.25">
      <c r="A289" s="1">
        <v>285</v>
      </c>
      <c r="B289" s="1" t="str">
        <f t="shared" si="25"/>
        <v>2017-366</v>
      </c>
      <c r="C289" s="2" t="s">
        <v>452</v>
      </c>
      <c r="D289" s="1" t="s">
        <v>453</v>
      </c>
      <c r="E289" s="3" t="str">
        <f>""</f>
        <v/>
      </c>
      <c r="F289" s="2" t="s">
        <v>27</v>
      </c>
      <c r="G289" s="2" t="str">
        <f t="shared" si="26"/>
        <v>JULIUS MEINL BONFANTI D.O.O., LJUBLJANSKA ULICA 4, 10431 SVETA NEDELJA, OIB: 39546130894</v>
      </c>
      <c r="H289" s="4"/>
      <c r="I289" s="1" t="s">
        <v>398</v>
      </c>
      <c r="J289" s="1" t="s">
        <v>140</v>
      </c>
      <c r="K289" s="6" t="str">
        <f>"674,40"</f>
        <v>674,40</v>
      </c>
      <c r="L289" s="6" t="str">
        <f>"168,60"</f>
        <v>168,60</v>
      </c>
      <c r="M289" s="6" t="str">
        <f>"843,00"</f>
        <v>843,00</v>
      </c>
      <c r="N289" s="5">
        <v>43517</v>
      </c>
      <c r="O289" s="7"/>
      <c r="P289" s="6" t="str">
        <f>"843,00"</f>
        <v>843,00</v>
      </c>
      <c r="Q289" s="7"/>
      <c r="R289" s="1"/>
      <c r="S289" s="1" t="str">
        <f>"13-18/NOS-12/17"</f>
        <v>13-18/NOS-12/17</v>
      </c>
      <c r="T289" s="2" t="s">
        <v>167</v>
      </c>
    </row>
    <row r="290" spans="1:20" ht="38.25" x14ac:dyDescent="0.25">
      <c r="A290" s="1">
        <v>286</v>
      </c>
      <c r="B290" s="1" t="str">
        <f t="shared" si="25"/>
        <v>2017-366</v>
      </c>
      <c r="C290" s="2" t="s">
        <v>452</v>
      </c>
      <c r="D290" s="1" t="s">
        <v>453</v>
      </c>
      <c r="E290" s="3" t="str">
        <f>""</f>
        <v/>
      </c>
      <c r="F290" s="2" t="s">
        <v>27</v>
      </c>
      <c r="G290" s="2" t="str">
        <f t="shared" si="26"/>
        <v>JULIUS MEINL BONFANTI D.O.O., LJUBLJANSKA ULICA 4, 10431 SVETA NEDELJA, OIB: 39546130894</v>
      </c>
      <c r="H290" s="4"/>
      <c r="I290" s="1" t="s">
        <v>293</v>
      </c>
      <c r="J290" s="1" t="s">
        <v>64</v>
      </c>
      <c r="K290" s="6" t="str">
        <f>"5.662,00"</f>
        <v>5.662,00</v>
      </c>
      <c r="L290" s="6" t="str">
        <f>"1.415,50"</f>
        <v>1.415,50</v>
      </c>
      <c r="M290" s="6" t="str">
        <f>"7.077,50"</f>
        <v>7.077,50</v>
      </c>
      <c r="N290" s="5">
        <v>43549</v>
      </c>
      <c r="O290" s="7"/>
      <c r="P290" s="6" t="str">
        <f>"6.796,25"</f>
        <v>6.796,25</v>
      </c>
      <c r="Q290" s="7"/>
      <c r="R290" s="1"/>
      <c r="S290" s="1" t="str">
        <f>"1-19/NOS-12/17"</f>
        <v>1-19/NOS-12/17</v>
      </c>
      <c r="T290" s="2" t="s">
        <v>33</v>
      </c>
    </row>
    <row r="291" spans="1:20" ht="38.25" x14ac:dyDescent="0.25">
      <c r="A291" s="1">
        <v>287</v>
      </c>
      <c r="B291" s="1" t="str">
        <f t="shared" si="25"/>
        <v>2017-366</v>
      </c>
      <c r="C291" s="2" t="s">
        <v>452</v>
      </c>
      <c r="D291" s="1" t="s">
        <v>453</v>
      </c>
      <c r="E291" s="3" t="str">
        <f>""</f>
        <v/>
      </c>
      <c r="F291" s="2" t="s">
        <v>27</v>
      </c>
      <c r="G291" s="2" t="str">
        <f t="shared" si="26"/>
        <v>JULIUS MEINL BONFANTI D.O.O., LJUBLJANSKA ULICA 4, 10431 SVETA NEDELJA, OIB: 39546130894</v>
      </c>
      <c r="H291" s="4"/>
      <c r="I291" s="1" t="s">
        <v>220</v>
      </c>
      <c r="J291" s="1" t="s">
        <v>455</v>
      </c>
      <c r="K291" s="6" t="str">
        <f>"9.180,00"</f>
        <v>9.180,00</v>
      </c>
      <c r="L291" s="6" t="str">
        <f>"2.295,00"</f>
        <v>2.295,00</v>
      </c>
      <c r="M291" s="6" t="str">
        <f>"11.475,00"</f>
        <v>11.475,00</v>
      </c>
      <c r="N291" s="5">
        <v>43556</v>
      </c>
      <c r="O291" s="7"/>
      <c r="P291" s="6" t="str">
        <f>"11.475,00"</f>
        <v>11.475,00</v>
      </c>
      <c r="Q291" s="7"/>
      <c r="R291" s="1"/>
      <c r="S291" s="1" t="str">
        <f>"3-19/NOS-12/17"</f>
        <v>3-19/NOS-12/17</v>
      </c>
      <c r="T291" s="2" t="s">
        <v>29</v>
      </c>
    </row>
    <row r="292" spans="1:20" ht="38.25" x14ac:dyDescent="0.25">
      <c r="A292" s="1">
        <v>288</v>
      </c>
      <c r="B292" s="1" t="str">
        <f t="shared" si="25"/>
        <v>2017-366</v>
      </c>
      <c r="C292" s="2" t="s">
        <v>452</v>
      </c>
      <c r="D292" s="1" t="s">
        <v>453</v>
      </c>
      <c r="E292" s="3" t="str">
        <f>""</f>
        <v/>
      </c>
      <c r="F292" s="2" t="s">
        <v>27</v>
      </c>
      <c r="G292" s="2" t="str">
        <f t="shared" si="26"/>
        <v>JULIUS MEINL BONFANTI D.O.O., LJUBLJANSKA ULICA 4, 10431 SVETA NEDELJA, OIB: 39546130894</v>
      </c>
      <c r="H292" s="4"/>
      <c r="I292" s="1" t="s">
        <v>334</v>
      </c>
      <c r="J292" s="1" t="s">
        <v>456</v>
      </c>
      <c r="K292" s="6" t="str">
        <f>"6.480,00"</f>
        <v>6.480,00</v>
      </c>
      <c r="L292" s="6" t="str">
        <f>"1.620,00"</f>
        <v>1.620,00</v>
      </c>
      <c r="M292" s="6" t="str">
        <f>"8.100,00"</f>
        <v>8.100,00</v>
      </c>
      <c r="N292" s="5">
        <v>43607</v>
      </c>
      <c r="O292" s="7"/>
      <c r="P292" s="6" t="str">
        <f>"8.100,00"</f>
        <v>8.100,00</v>
      </c>
      <c r="Q292" s="7"/>
      <c r="R292" s="1"/>
      <c r="S292" s="1" t="str">
        <f>"4-19/NOS-12/17"</f>
        <v>4-19/NOS-12/17</v>
      </c>
      <c r="T292" s="2" t="s">
        <v>33</v>
      </c>
    </row>
    <row r="293" spans="1:20" ht="51" x14ac:dyDescent="0.25">
      <c r="A293" s="1">
        <v>289</v>
      </c>
      <c r="B293" s="1" t="str">
        <f t="shared" si="25"/>
        <v>2017-366</v>
      </c>
      <c r="C293" s="2" t="s">
        <v>452</v>
      </c>
      <c r="D293" s="1" t="s">
        <v>453</v>
      </c>
      <c r="E293" s="3" t="str">
        <f>""</f>
        <v/>
      </c>
      <c r="F293" s="2" t="s">
        <v>27</v>
      </c>
      <c r="G293" s="2" t="str">
        <f t="shared" si="26"/>
        <v>JULIUS MEINL BONFANTI D.O.O., LJUBLJANSKA ULICA 4, 10431 SVETA NEDELJA, OIB: 39546130894</v>
      </c>
      <c r="H293" s="4"/>
      <c r="I293" s="1" t="s">
        <v>162</v>
      </c>
      <c r="J293" s="1" t="s">
        <v>457</v>
      </c>
      <c r="K293" s="6" t="str">
        <f>"35.950,00"</f>
        <v>35.950,00</v>
      </c>
      <c r="L293" s="6" t="str">
        <f>"8.987,50"</f>
        <v>8.987,50</v>
      </c>
      <c r="M293" s="6" t="str">
        <f>"44.937,50"</f>
        <v>44.937,50</v>
      </c>
      <c r="N293" s="5">
        <v>43626</v>
      </c>
      <c r="O293" s="7"/>
      <c r="P293" s="6" t="str">
        <f>"8.662,50"</f>
        <v>8.662,50</v>
      </c>
      <c r="Q293" s="7"/>
      <c r="R293" s="1"/>
      <c r="S293" s="1" t="str">
        <f>"5-19/NOS-12/17"</f>
        <v>5-19/NOS-12/17</v>
      </c>
      <c r="T293" s="2" t="s">
        <v>458</v>
      </c>
    </row>
    <row r="294" spans="1:20" ht="63.75" x14ac:dyDescent="0.25">
      <c r="A294" s="1">
        <v>290</v>
      </c>
      <c r="B294" s="1" t="str">
        <f t="shared" ref="B294:B302" si="27">"2017-441"</f>
        <v>2017-441</v>
      </c>
      <c r="C294" s="2" t="s">
        <v>459</v>
      </c>
      <c r="D294" s="1" t="s">
        <v>184</v>
      </c>
      <c r="E294" s="3" t="str">
        <f>"2017/S 0F2-0007091"</f>
        <v>2017/S 0F2-0007091</v>
      </c>
      <c r="F294" s="2" t="s">
        <v>23</v>
      </c>
      <c r="G294" s="2" t="str">
        <f>CONCATENATE("AUTO HRVATSKA PRODAJNO SERVISNI CENTRI D.O.O.,"," ZASTAVNICE 25/C,"," 10251 HRVATSKI LESKOVAC,"," OIB: 87682591133",CHAR(10),"PURIĆ D.O.O.,"," ANDRIJE HEBRANGA 54,"," 10430 SAMOBOR,"," OIB: 56717147376")</f>
        <v>AUTO HRVATSKA PRODAJNO SERVISNI CENTRI D.O.O., ZASTAVNICE 25/C, 10251 HRVATSKI LESKOVAC, OIB: 87682591133
PURIĆ D.O.O., ANDRIJE HEBRANGA 54, 10430 SAMOBOR, OIB: 56717147376</v>
      </c>
      <c r="H294" s="4"/>
      <c r="I294" s="1" t="s">
        <v>370</v>
      </c>
      <c r="J294" s="1" t="s">
        <v>460</v>
      </c>
      <c r="K294" s="6" t="str">
        <f>"1.590.000,00"</f>
        <v>1.590.000,00</v>
      </c>
      <c r="L294" s="6" t="str">
        <f>"397.500,00"</f>
        <v>397.500,00</v>
      </c>
      <c r="M294" s="6" t="str">
        <f>"1.987.500,00"</f>
        <v>1.987.500,00</v>
      </c>
      <c r="N294" s="7"/>
      <c r="O294" s="7"/>
      <c r="P294" s="6" t="str">
        <f>""</f>
        <v/>
      </c>
      <c r="Q294" s="7"/>
      <c r="R294" s="1"/>
      <c r="S294" s="1" t="str">
        <f>"NOS-13/17"</f>
        <v>NOS-13/17</v>
      </c>
      <c r="T294" s="2" t="s">
        <v>26</v>
      </c>
    </row>
    <row r="295" spans="1:20" ht="25.5" x14ac:dyDescent="0.25">
      <c r="A295" s="1">
        <v>291</v>
      </c>
      <c r="B295" s="1" t="str">
        <f t="shared" si="27"/>
        <v>2017-441</v>
      </c>
      <c r="C295" s="2" t="s">
        <v>459</v>
      </c>
      <c r="D295" s="1" t="s">
        <v>184</v>
      </c>
      <c r="E295" s="3" t="str">
        <f>""</f>
        <v/>
      </c>
      <c r="F295" s="2" t="s">
        <v>27</v>
      </c>
      <c r="G295" s="2" t="str">
        <f t="shared" ref="G295:G302" si="28">CONCATENATE("PURIĆ D.O.O.,"," ANDRIJE HEBRANGA 54,"," 10430 SAMOBOR,"," OIB: 56717147376")</f>
        <v>PURIĆ D.O.O., ANDRIJE HEBRANGA 54, 10430 SAMOBOR, OIB: 56717147376</v>
      </c>
      <c r="H295" s="4"/>
      <c r="I295" s="1" t="s">
        <v>461</v>
      </c>
      <c r="J295" s="1" t="s">
        <v>47</v>
      </c>
      <c r="K295" s="6" t="str">
        <f>"407,00"</f>
        <v>407,00</v>
      </c>
      <c r="L295" s="6" t="str">
        <f>"101,75"</f>
        <v>101,75</v>
      </c>
      <c r="M295" s="6" t="str">
        <f>"508,75"</f>
        <v>508,75</v>
      </c>
      <c r="N295" s="5">
        <v>43566</v>
      </c>
      <c r="O295" s="7"/>
      <c r="P295" s="6" t="str">
        <f>"508,75"</f>
        <v>508,75</v>
      </c>
      <c r="Q295" s="7"/>
      <c r="R295" s="1"/>
      <c r="S295" s="1" t="str">
        <f>"1-19/NOS-13/17"</f>
        <v>1-19/NOS-13/17</v>
      </c>
      <c r="T295" s="2" t="s">
        <v>33</v>
      </c>
    </row>
    <row r="296" spans="1:20" ht="25.5" x14ac:dyDescent="0.25">
      <c r="A296" s="1">
        <v>292</v>
      </c>
      <c r="B296" s="1" t="str">
        <f t="shared" si="27"/>
        <v>2017-441</v>
      </c>
      <c r="C296" s="2" t="s">
        <v>459</v>
      </c>
      <c r="D296" s="1" t="s">
        <v>184</v>
      </c>
      <c r="E296" s="3" t="str">
        <f>""</f>
        <v/>
      </c>
      <c r="F296" s="2" t="s">
        <v>27</v>
      </c>
      <c r="G296" s="2" t="str">
        <f t="shared" si="28"/>
        <v>PURIĆ D.O.O., ANDRIJE HEBRANGA 54, 10430 SAMOBOR, OIB: 56717147376</v>
      </c>
      <c r="H296" s="4"/>
      <c r="I296" s="1" t="s">
        <v>462</v>
      </c>
      <c r="J296" s="1" t="s">
        <v>47</v>
      </c>
      <c r="K296" s="6" t="str">
        <f>"4.275,80"</f>
        <v>4.275,80</v>
      </c>
      <c r="L296" s="6" t="str">
        <f>"1.068,95"</f>
        <v>1.068,95</v>
      </c>
      <c r="M296" s="6" t="str">
        <f>"5.344,75"</f>
        <v>5.344,75</v>
      </c>
      <c r="N296" s="5">
        <v>43517</v>
      </c>
      <c r="O296" s="7"/>
      <c r="P296" s="6" t="str">
        <f>"5.344,75"</f>
        <v>5.344,75</v>
      </c>
      <c r="Q296" s="7"/>
      <c r="R296" s="1"/>
      <c r="S296" s="1" t="str">
        <f>"2-19/NOS-13/17"</f>
        <v>2-19/NOS-13/17</v>
      </c>
      <c r="T296" s="2" t="s">
        <v>33</v>
      </c>
    </row>
    <row r="297" spans="1:20" ht="25.5" x14ac:dyDescent="0.25">
      <c r="A297" s="1">
        <v>293</v>
      </c>
      <c r="B297" s="1" t="str">
        <f t="shared" si="27"/>
        <v>2017-441</v>
      </c>
      <c r="C297" s="2" t="s">
        <v>459</v>
      </c>
      <c r="D297" s="1" t="s">
        <v>184</v>
      </c>
      <c r="E297" s="3" t="str">
        <f>""</f>
        <v/>
      </c>
      <c r="F297" s="2" t="s">
        <v>27</v>
      </c>
      <c r="G297" s="2" t="str">
        <f t="shared" si="28"/>
        <v>PURIĆ D.O.O., ANDRIJE HEBRANGA 54, 10430 SAMOBOR, OIB: 56717147376</v>
      </c>
      <c r="H297" s="4"/>
      <c r="I297" s="1" t="s">
        <v>463</v>
      </c>
      <c r="J297" s="1" t="s">
        <v>47</v>
      </c>
      <c r="K297" s="6" t="str">
        <f>"6.599,00"</f>
        <v>6.599,00</v>
      </c>
      <c r="L297" s="6" t="str">
        <f>"1.649,75"</f>
        <v>1.649,75</v>
      </c>
      <c r="M297" s="6" t="str">
        <f>"8.248,75"</f>
        <v>8.248,75</v>
      </c>
      <c r="N297" s="5">
        <v>43553</v>
      </c>
      <c r="O297" s="7"/>
      <c r="P297" s="6" t="str">
        <f>"8.248,75"</f>
        <v>8.248,75</v>
      </c>
      <c r="Q297" s="7"/>
      <c r="R297" s="1"/>
      <c r="S297" s="1" t="str">
        <f>"3-19/NOS-13/17"</f>
        <v>3-19/NOS-13/17</v>
      </c>
      <c r="T297" s="2" t="s">
        <v>33</v>
      </c>
    </row>
    <row r="298" spans="1:20" ht="25.5" x14ac:dyDescent="0.25">
      <c r="A298" s="1">
        <v>294</v>
      </c>
      <c r="B298" s="1" t="str">
        <f t="shared" si="27"/>
        <v>2017-441</v>
      </c>
      <c r="C298" s="2" t="s">
        <v>459</v>
      </c>
      <c r="D298" s="1" t="s">
        <v>184</v>
      </c>
      <c r="E298" s="3" t="str">
        <f>""</f>
        <v/>
      </c>
      <c r="F298" s="2" t="s">
        <v>27</v>
      </c>
      <c r="G298" s="2" t="str">
        <f t="shared" si="28"/>
        <v>PURIĆ D.O.O., ANDRIJE HEBRANGA 54, 10430 SAMOBOR, OIB: 56717147376</v>
      </c>
      <c r="H298" s="4"/>
      <c r="I298" s="1" t="s">
        <v>30</v>
      </c>
      <c r="J298" s="1" t="s">
        <v>47</v>
      </c>
      <c r="K298" s="6" t="str">
        <f>"2.289,40"</f>
        <v>2.289,40</v>
      </c>
      <c r="L298" s="6" t="str">
        <f>"572,35"</f>
        <v>572,35</v>
      </c>
      <c r="M298" s="6" t="str">
        <f>"2.861,75"</f>
        <v>2.861,75</v>
      </c>
      <c r="N298" s="5">
        <v>43579</v>
      </c>
      <c r="O298" s="7"/>
      <c r="P298" s="6" t="str">
        <f>"2.861,75"</f>
        <v>2.861,75</v>
      </c>
      <c r="Q298" s="7"/>
      <c r="R298" s="1"/>
      <c r="S298" s="1" t="str">
        <f>"4-19/NOS-13/17"</f>
        <v>4-19/NOS-13/17</v>
      </c>
      <c r="T298" s="2" t="s">
        <v>33</v>
      </c>
    </row>
    <row r="299" spans="1:20" ht="25.5" x14ac:dyDescent="0.25">
      <c r="A299" s="1">
        <v>295</v>
      </c>
      <c r="B299" s="1" t="str">
        <f t="shared" si="27"/>
        <v>2017-441</v>
      </c>
      <c r="C299" s="2" t="s">
        <v>459</v>
      </c>
      <c r="D299" s="1" t="s">
        <v>184</v>
      </c>
      <c r="E299" s="3" t="str">
        <f>""</f>
        <v/>
      </c>
      <c r="F299" s="2" t="s">
        <v>27</v>
      </c>
      <c r="G299" s="2" t="str">
        <f t="shared" si="28"/>
        <v>PURIĆ D.O.O., ANDRIJE HEBRANGA 54, 10430 SAMOBOR, OIB: 56717147376</v>
      </c>
      <c r="H299" s="4"/>
      <c r="I299" s="1" t="s">
        <v>464</v>
      </c>
      <c r="J299" s="1" t="s">
        <v>47</v>
      </c>
      <c r="K299" s="6" t="str">
        <f>"7.379,64"</f>
        <v>7.379,64</v>
      </c>
      <c r="L299" s="6" t="str">
        <f>"1.844,91"</f>
        <v>1.844,91</v>
      </c>
      <c r="M299" s="6" t="str">
        <f>"9.224,55"</f>
        <v>9.224,55</v>
      </c>
      <c r="N299" s="5">
        <v>43599</v>
      </c>
      <c r="O299" s="7"/>
      <c r="P299" s="6" t="str">
        <f>"9.224,55"</f>
        <v>9.224,55</v>
      </c>
      <c r="Q299" s="7"/>
      <c r="R299" s="1"/>
      <c r="S299" s="1" t="str">
        <f>"5-19/NOS-13/17"</f>
        <v>5-19/NOS-13/17</v>
      </c>
      <c r="T299" s="2" t="s">
        <v>33</v>
      </c>
    </row>
    <row r="300" spans="1:20" ht="25.5" x14ac:dyDescent="0.25">
      <c r="A300" s="1">
        <v>296</v>
      </c>
      <c r="B300" s="1" t="str">
        <f t="shared" si="27"/>
        <v>2017-441</v>
      </c>
      <c r="C300" s="2" t="s">
        <v>459</v>
      </c>
      <c r="D300" s="1" t="s">
        <v>184</v>
      </c>
      <c r="E300" s="3" t="str">
        <f>""</f>
        <v/>
      </c>
      <c r="F300" s="2" t="s">
        <v>27</v>
      </c>
      <c r="G300" s="2" t="str">
        <f t="shared" si="28"/>
        <v>PURIĆ D.O.O., ANDRIJE HEBRANGA 54, 10430 SAMOBOR, OIB: 56717147376</v>
      </c>
      <c r="H300" s="4"/>
      <c r="I300" s="1" t="s">
        <v>355</v>
      </c>
      <c r="J300" s="1" t="s">
        <v>47</v>
      </c>
      <c r="K300" s="6" t="str">
        <f>"9.888,88"</f>
        <v>9.888,88</v>
      </c>
      <c r="L300" s="6" t="str">
        <f>"2.472,22"</f>
        <v>2.472,22</v>
      </c>
      <c r="M300" s="6" t="str">
        <f>"12.361,10"</f>
        <v>12.361,10</v>
      </c>
      <c r="N300" s="5">
        <v>43602</v>
      </c>
      <c r="O300" s="7"/>
      <c r="P300" s="6" t="str">
        <f>"12.361,10"</f>
        <v>12.361,10</v>
      </c>
      <c r="Q300" s="7"/>
      <c r="R300" s="1"/>
      <c r="S300" s="1" t="str">
        <f>"6-19/NOS-13/17"</f>
        <v>6-19/NOS-13/17</v>
      </c>
      <c r="T300" s="2" t="s">
        <v>33</v>
      </c>
    </row>
    <row r="301" spans="1:20" ht="25.5" x14ac:dyDescent="0.25">
      <c r="A301" s="1">
        <v>297</v>
      </c>
      <c r="B301" s="1" t="str">
        <f t="shared" si="27"/>
        <v>2017-441</v>
      </c>
      <c r="C301" s="2" t="s">
        <v>459</v>
      </c>
      <c r="D301" s="1" t="s">
        <v>184</v>
      </c>
      <c r="E301" s="3" t="str">
        <f>""</f>
        <v/>
      </c>
      <c r="F301" s="2" t="s">
        <v>27</v>
      </c>
      <c r="G301" s="2" t="str">
        <f t="shared" si="28"/>
        <v>PURIĆ D.O.O., ANDRIJE HEBRANGA 54, 10430 SAMOBOR, OIB: 56717147376</v>
      </c>
      <c r="H301" s="4"/>
      <c r="I301" s="1" t="s">
        <v>361</v>
      </c>
      <c r="J301" s="1" t="s">
        <v>47</v>
      </c>
      <c r="K301" s="6" t="str">
        <f>"13.339,87"</f>
        <v>13.339,87</v>
      </c>
      <c r="L301" s="6" t="str">
        <f>"3.334,97"</f>
        <v>3.334,97</v>
      </c>
      <c r="M301" s="6" t="str">
        <f>"16.674,84"</f>
        <v>16.674,84</v>
      </c>
      <c r="N301" s="5">
        <v>43614</v>
      </c>
      <c r="O301" s="7"/>
      <c r="P301" s="6" t="str">
        <f>"16.674,84"</f>
        <v>16.674,84</v>
      </c>
      <c r="Q301" s="7"/>
      <c r="R301" s="1"/>
      <c r="S301" s="1" t="str">
        <f>"7-19/NOS-13/17"</f>
        <v>7-19/NOS-13/17</v>
      </c>
      <c r="T301" s="2" t="s">
        <v>33</v>
      </c>
    </row>
    <row r="302" spans="1:20" ht="25.5" x14ac:dyDescent="0.25">
      <c r="A302" s="1">
        <v>298</v>
      </c>
      <c r="B302" s="1" t="str">
        <f t="shared" si="27"/>
        <v>2017-441</v>
      </c>
      <c r="C302" s="2" t="s">
        <v>459</v>
      </c>
      <c r="D302" s="1" t="s">
        <v>184</v>
      </c>
      <c r="E302" s="3" t="str">
        <f>""</f>
        <v/>
      </c>
      <c r="F302" s="2" t="s">
        <v>27</v>
      </c>
      <c r="G302" s="2" t="str">
        <f t="shared" si="28"/>
        <v>PURIĆ D.O.O., ANDRIJE HEBRANGA 54, 10430 SAMOBOR, OIB: 56717147376</v>
      </c>
      <c r="H302" s="4"/>
      <c r="I302" s="1" t="s">
        <v>424</v>
      </c>
      <c r="J302" s="1" t="s">
        <v>47</v>
      </c>
      <c r="K302" s="6" t="str">
        <f>"10.012,00"</f>
        <v>10.012,00</v>
      </c>
      <c r="L302" s="6" t="str">
        <f>"2.503,00"</f>
        <v>2.503,00</v>
      </c>
      <c r="M302" s="6" t="str">
        <f>"12.515,00"</f>
        <v>12.515,00</v>
      </c>
      <c r="N302" s="5">
        <v>43644</v>
      </c>
      <c r="O302" s="7"/>
      <c r="P302" s="6" t="str">
        <f>"12.515,00"</f>
        <v>12.515,00</v>
      </c>
      <c r="Q302" s="7"/>
      <c r="R302" s="1"/>
      <c r="S302" s="1" t="str">
        <f>"8-19/NOS-13/17"</f>
        <v>8-19/NOS-13/17</v>
      </c>
      <c r="T302" s="2" t="s">
        <v>33</v>
      </c>
    </row>
    <row r="303" spans="1:20" ht="76.5" x14ac:dyDescent="0.25">
      <c r="A303" s="1">
        <v>299</v>
      </c>
      <c r="B303" s="1" t="str">
        <f>"2017-377"</f>
        <v>2017-377</v>
      </c>
      <c r="C303" s="2" t="s">
        <v>465</v>
      </c>
      <c r="D303" s="1" t="s">
        <v>466</v>
      </c>
      <c r="E303" s="3" t="str">
        <f>"2017/S 0F2-0006745"</f>
        <v>2017/S 0F2-0006745</v>
      </c>
      <c r="F303" s="2" t="s">
        <v>23</v>
      </c>
      <c r="G303" s="2" t="str">
        <f>CONCATENATE("KOPLAST D.O.O.,"," BRAJKOVIĆI 1G,"," 52000 PAZIN,"," OIB: 99721015226",CHAR(10),"MBM VRTNI CENTAR D.O.O.,"," DOLENICA 8,"," 10250 LUČKO,"," OIB: 19462674595",CHAR(10),"TIMM D.O.O.,"," IVEKOVIĆEVA 2,"," 10000 ZAGREB,"," OIB: 33059613362")</f>
        <v>KOPLAST D.O.O., BRAJKOVIĆI 1G, 52000 PAZIN, OIB: 99721015226
MBM VRTNI CENTAR D.O.O., DOLENICA 8, 10250 LUČKO, OIB: 19462674595
TIMM D.O.O., IVEKOVIĆEVA 2, 10000 ZAGREB, OIB: 33059613362</v>
      </c>
      <c r="H303" s="4"/>
      <c r="I303" s="1" t="s">
        <v>467</v>
      </c>
      <c r="J303" s="1" t="s">
        <v>468</v>
      </c>
      <c r="K303" s="6" t="str">
        <f>"800.000,00"</f>
        <v>800.000,00</v>
      </c>
      <c r="L303" s="6" t="str">
        <f>"200.000,00"</f>
        <v>200.000,00</v>
      </c>
      <c r="M303" s="6" t="str">
        <f>"1.000.000,00"</f>
        <v>1.000.000,00</v>
      </c>
      <c r="N303" s="7"/>
      <c r="O303" s="7"/>
      <c r="P303" s="6" t="str">
        <f>""</f>
        <v/>
      </c>
      <c r="Q303" s="7"/>
      <c r="R303" s="1"/>
      <c r="S303" s="1" t="str">
        <f>"NOS-15/17"</f>
        <v>NOS-15/17</v>
      </c>
      <c r="T303" s="2" t="s">
        <v>33</v>
      </c>
    </row>
    <row r="304" spans="1:20" ht="25.5" x14ac:dyDescent="0.25">
      <c r="A304" s="1">
        <v>300</v>
      </c>
      <c r="B304" s="1" t="str">
        <f>"2017-377"</f>
        <v>2017-377</v>
      </c>
      <c r="C304" s="2" t="s">
        <v>465</v>
      </c>
      <c r="D304" s="1" t="s">
        <v>466</v>
      </c>
      <c r="E304" s="3" t="str">
        <f>""</f>
        <v/>
      </c>
      <c r="F304" s="2" t="s">
        <v>27</v>
      </c>
      <c r="G304" s="2" t="str">
        <f>CONCATENATE("TIMM D.O.O.,"," IVEKOVIĆEVA 2,"," 10000 ZAGREB,"," OIB: 33059613362")</f>
        <v>TIMM D.O.O., IVEKOVIĆEVA 2, 10000 ZAGREB, OIB: 33059613362</v>
      </c>
      <c r="H304" s="4"/>
      <c r="I304" s="1" t="s">
        <v>423</v>
      </c>
      <c r="J304" s="1" t="s">
        <v>469</v>
      </c>
      <c r="K304" s="6" t="str">
        <f>"37.500,00"</f>
        <v>37.500,00</v>
      </c>
      <c r="L304" s="6" t="str">
        <f>"10.125,00"</f>
        <v>10.125,00</v>
      </c>
      <c r="M304" s="6" t="str">
        <f>"50.625,00"</f>
        <v>50.625,00</v>
      </c>
      <c r="N304" s="5">
        <v>43581</v>
      </c>
      <c r="O304" s="7"/>
      <c r="P304" s="6" t="str">
        <f>"50.625,00"</f>
        <v>50.625,00</v>
      </c>
      <c r="Q304" s="7"/>
      <c r="R304" s="1"/>
      <c r="S304" s="1" t="str">
        <f>"1-19/NOS-15/17"</f>
        <v>1-19/NOS-15/17</v>
      </c>
      <c r="T304" s="2" t="s">
        <v>33</v>
      </c>
    </row>
    <row r="305" spans="1:20" ht="25.5" x14ac:dyDescent="0.25">
      <c r="A305" s="1">
        <v>301</v>
      </c>
      <c r="B305" s="1" t="str">
        <f>"2017-377"</f>
        <v>2017-377</v>
      </c>
      <c r="C305" s="2" t="s">
        <v>465</v>
      </c>
      <c r="D305" s="1" t="s">
        <v>466</v>
      </c>
      <c r="E305" s="3" t="str">
        <f>""</f>
        <v/>
      </c>
      <c r="F305" s="2" t="s">
        <v>27</v>
      </c>
      <c r="G305" s="2" t="str">
        <f>CONCATENATE("TIMM D.O.O.,"," IVEKOVIĆEVA 2,"," 10000 ZAGREB,"," OIB: 33059613362")</f>
        <v>TIMM D.O.O., IVEKOVIĆEVA 2, 10000 ZAGREB, OIB: 33059613362</v>
      </c>
      <c r="H305" s="4"/>
      <c r="I305" s="1" t="s">
        <v>470</v>
      </c>
      <c r="J305" s="1" t="s">
        <v>469</v>
      </c>
      <c r="K305" s="6" t="str">
        <f>"7.300,00"</f>
        <v>7.300,00</v>
      </c>
      <c r="L305" s="6" t="str">
        <f>"0,00"</f>
        <v>0,00</v>
      </c>
      <c r="M305" s="6" t="str">
        <f>"0,00"</f>
        <v>0,00</v>
      </c>
      <c r="N305" s="1" t="s">
        <v>117</v>
      </c>
      <c r="O305" s="7"/>
      <c r="P305" s="6" t="str">
        <f>"0,00"</f>
        <v>0,00</v>
      </c>
      <c r="Q305" s="7"/>
      <c r="R305" s="1"/>
      <c r="S305" s="1" t="str">
        <f>"2-19/NOS-15/17"</f>
        <v>2-19/NOS-15/17</v>
      </c>
      <c r="T305" s="2" t="s">
        <v>33</v>
      </c>
    </row>
    <row r="306" spans="1:20" ht="76.5" x14ac:dyDescent="0.25">
      <c r="A306" s="1">
        <v>302</v>
      </c>
      <c r="B306" s="1" t="str">
        <f t="shared" ref="B306:B311" si="29">"2017-385"</f>
        <v>2017-385</v>
      </c>
      <c r="C306" s="2" t="s">
        <v>471</v>
      </c>
      <c r="D306" s="1" t="s">
        <v>472</v>
      </c>
      <c r="E306" s="3" t="str">
        <f>"2017/S 0F2-0006171"</f>
        <v>2017/S 0F2-0006171</v>
      </c>
      <c r="F306" s="2" t="s">
        <v>23</v>
      </c>
      <c r="G306" s="2" t="str">
        <f>CONCATENATE("PRIMAT-RD D.O.O.,"," ZASTAVNICE 11,"," 10251 HRVATSKI LESKOVAC,"," OIB: 03868412563",CHAR(10),"JAKA D.O.O.,"," OGRIZOVIĆEVA 28/B,","  10 000 ZAGREB,"," OIB: 37705921960",CHAR(10),"ELCON D.O.O.,"," MEĐIMURSKA 2,"," 42000 VARAŽDIN,"," OIB: 69554624078")</f>
        <v>PRIMAT-RD D.O.O., ZASTAVNICE 11, 10251 HRVATSKI LESKOVAC, OIB: 03868412563
JAKA D.O.O., OGRIZOVIĆEVA 28/B,  10 000 ZAGREB, OIB: 37705921960
ELCON D.O.O., MEĐIMURSKA 2, 42000 VARAŽDIN, OIB: 69554624078</v>
      </c>
      <c r="H306" s="4"/>
      <c r="I306" s="1" t="s">
        <v>473</v>
      </c>
      <c r="J306" s="1" t="s">
        <v>284</v>
      </c>
      <c r="K306" s="6" t="str">
        <f>"930.000,00"</f>
        <v>930.000,00</v>
      </c>
      <c r="L306" s="6" t="str">
        <f>"232.500,00"</f>
        <v>232.500,00</v>
      </c>
      <c r="M306" s="6" t="str">
        <f>"1.162.500,00"</f>
        <v>1.162.500,00</v>
      </c>
      <c r="N306" s="7"/>
      <c r="O306" s="7"/>
      <c r="P306" s="6" t="str">
        <f>""</f>
        <v/>
      </c>
      <c r="Q306" s="7"/>
      <c r="R306" s="1"/>
      <c r="S306" s="1" t="str">
        <f>"NOS-16/17"</f>
        <v>NOS-16/17</v>
      </c>
      <c r="T306" s="2" t="s">
        <v>26</v>
      </c>
    </row>
    <row r="307" spans="1:20" ht="25.5" x14ac:dyDescent="0.25">
      <c r="A307" s="1">
        <v>303</v>
      </c>
      <c r="B307" s="1" t="str">
        <f t="shared" si="29"/>
        <v>2017-385</v>
      </c>
      <c r="C307" s="2" t="s">
        <v>471</v>
      </c>
      <c r="D307" s="1" t="s">
        <v>472</v>
      </c>
      <c r="E307" s="3" t="str">
        <f>""</f>
        <v/>
      </c>
      <c r="F307" s="2" t="s">
        <v>27</v>
      </c>
      <c r="G307" s="2" t="str">
        <f>CONCATENATE("ELCON D.O.O.,"," MEĐIMURSKA 2,"," 42000 VARAŽDIN,"," OIB: 69554624078")</f>
        <v>ELCON D.O.O., MEĐIMURSKA 2, 42000 VARAŽDIN, OIB: 69554624078</v>
      </c>
      <c r="H307" s="4"/>
      <c r="I307" s="1" t="s">
        <v>474</v>
      </c>
      <c r="J307" s="1" t="s">
        <v>140</v>
      </c>
      <c r="K307" s="6" t="str">
        <f>"359,55"</f>
        <v>359,55</v>
      </c>
      <c r="L307" s="6" t="str">
        <f>"89,89"</f>
        <v>89,89</v>
      </c>
      <c r="M307" s="6" t="str">
        <f>"449,44"</f>
        <v>449,44</v>
      </c>
      <c r="N307" s="5">
        <v>43483</v>
      </c>
      <c r="O307" s="7"/>
      <c r="P307" s="6" t="str">
        <f>"449,44"</f>
        <v>449,44</v>
      </c>
      <c r="Q307" s="7"/>
      <c r="R307" s="1"/>
      <c r="S307" s="1" t="str">
        <f>"10-18/NOS-16/17"</f>
        <v>10-18/NOS-16/17</v>
      </c>
      <c r="T307" s="2" t="s">
        <v>33</v>
      </c>
    </row>
    <row r="308" spans="1:20" ht="25.5" x14ac:dyDescent="0.25">
      <c r="A308" s="1">
        <v>304</v>
      </c>
      <c r="B308" s="1" t="str">
        <f t="shared" si="29"/>
        <v>2017-385</v>
      </c>
      <c r="C308" s="2" t="s">
        <v>471</v>
      </c>
      <c r="D308" s="1" t="s">
        <v>472</v>
      </c>
      <c r="E308" s="3" t="str">
        <f>""</f>
        <v/>
      </c>
      <c r="F308" s="2" t="s">
        <v>27</v>
      </c>
      <c r="G308" s="2" t="str">
        <f>CONCATENATE("ELCON D.O.O.,"," MEĐIMURSKA 2,"," 42000 VARAŽDIN,"," OIB: 69554624078")</f>
        <v>ELCON D.O.O., MEĐIMURSKA 2, 42000 VARAŽDIN, OIB: 69554624078</v>
      </c>
      <c r="H308" s="4"/>
      <c r="I308" s="1" t="s">
        <v>373</v>
      </c>
      <c r="J308" s="1" t="s">
        <v>64</v>
      </c>
      <c r="K308" s="6" t="str">
        <f>"12.685,10"</f>
        <v>12.685,10</v>
      </c>
      <c r="L308" s="6" t="str">
        <f>"3.171,28"</f>
        <v>3.171,28</v>
      </c>
      <c r="M308" s="6" t="str">
        <f>"15.856,38"</f>
        <v>15.856,38</v>
      </c>
      <c r="N308" s="5">
        <v>43551</v>
      </c>
      <c r="O308" s="7"/>
      <c r="P308" s="6" t="str">
        <f>"15.856,38"</f>
        <v>15.856,38</v>
      </c>
      <c r="Q308" s="7"/>
      <c r="R308" s="1"/>
      <c r="S308" s="1" t="str">
        <f>"1-19/NOS-16/17"</f>
        <v>1-19/NOS-16/17</v>
      </c>
      <c r="T308" s="2" t="s">
        <v>33</v>
      </c>
    </row>
    <row r="309" spans="1:20" ht="25.5" x14ac:dyDescent="0.25">
      <c r="A309" s="1">
        <v>305</v>
      </c>
      <c r="B309" s="1" t="str">
        <f t="shared" si="29"/>
        <v>2017-385</v>
      </c>
      <c r="C309" s="2" t="s">
        <v>471</v>
      </c>
      <c r="D309" s="1" t="s">
        <v>472</v>
      </c>
      <c r="E309" s="3" t="str">
        <f>""</f>
        <v/>
      </c>
      <c r="F309" s="2" t="s">
        <v>27</v>
      </c>
      <c r="G309" s="2" t="str">
        <f>CONCATENATE("ELCON D.O.O.,"," MEĐIMURSKA 2,"," 42000 VARAŽDIN,"," OIB: 69554624078")</f>
        <v>ELCON D.O.O., MEĐIMURSKA 2, 42000 VARAŽDIN, OIB: 69554624078</v>
      </c>
      <c r="H309" s="4"/>
      <c r="I309" s="1" t="s">
        <v>220</v>
      </c>
      <c r="J309" s="1" t="s">
        <v>355</v>
      </c>
      <c r="K309" s="6" t="str">
        <f>"4.714,10"</f>
        <v>4.714,10</v>
      </c>
      <c r="L309" s="6" t="str">
        <f>"1.178,53"</f>
        <v>1.178,53</v>
      </c>
      <c r="M309" s="6" t="str">
        <f>"5.892,63"</f>
        <v>5.892,63</v>
      </c>
      <c r="N309" s="5">
        <v>43608</v>
      </c>
      <c r="O309" s="7"/>
      <c r="P309" s="6" t="str">
        <f>"5.892,62"</f>
        <v>5.892,62</v>
      </c>
      <c r="Q309" s="7"/>
      <c r="R309" s="1"/>
      <c r="S309" s="1" t="str">
        <f>"2-19/NOS-16/17"</f>
        <v>2-19/NOS-16/17</v>
      </c>
      <c r="T309" s="2" t="s">
        <v>33</v>
      </c>
    </row>
    <row r="310" spans="1:20" ht="25.5" x14ac:dyDescent="0.25">
      <c r="A310" s="1">
        <v>306</v>
      </c>
      <c r="B310" s="1" t="str">
        <f t="shared" si="29"/>
        <v>2017-385</v>
      </c>
      <c r="C310" s="2" t="s">
        <v>471</v>
      </c>
      <c r="D310" s="1" t="s">
        <v>472</v>
      </c>
      <c r="E310" s="3" t="str">
        <f>""</f>
        <v/>
      </c>
      <c r="F310" s="2" t="s">
        <v>27</v>
      </c>
      <c r="G310" s="2" t="str">
        <f>CONCATENATE("ELCON D.O.O.,"," MEĐIMURSKA 2,"," 42000 VARAŽDIN,"," OIB: 69554624078")</f>
        <v>ELCON D.O.O., MEĐIMURSKA 2, 42000 VARAŽDIN, OIB: 69554624078</v>
      </c>
      <c r="H310" s="4"/>
      <c r="I310" s="1" t="s">
        <v>475</v>
      </c>
      <c r="J310" s="1" t="s">
        <v>37</v>
      </c>
      <c r="K310" s="6" t="str">
        <f>"3.971,20"</f>
        <v>3.971,20</v>
      </c>
      <c r="L310" s="6" t="str">
        <f>"992,80"</f>
        <v>992,80</v>
      </c>
      <c r="M310" s="6" t="str">
        <f>"4.964,00"</f>
        <v>4.964,00</v>
      </c>
      <c r="N310" s="5">
        <v>43615</v>
      </c>
      <c r="O310" s="7"/>
      <c r="P310" s="6" t="str">
        <f>"3.360,00"</f>
        <v>3.360,00</v>
      </c>
      <c r="Q310" s="7"/>
      <c r="R310" s="1"/>
      <c r="S310" s="1" t="str">
        <f>"3-19/NOS-16/17"</f>
        <v>3-19/NOS-16/17</v>
      </c>
      <c r="T310" s="2" t="s">
        <v>33</v>
      </c>
    </row>
    <row r="311" spans="1:20" ht="25.5" x14ac:dyDescent="0.25">
      <c r="A311" s="1">
        <v>307</v>
      </c>
      <c r="B311" s="1" t="str">
        <f t="shared" si="29"/>
        <v>2017-385</v>
      </c>
      <c r="C311" s="2" t="s">
        <v>471</v>
      </c>
      <c r="D311" s="1" t="s">
        <v>472</v>
      </c>
      <c r="E311" s="3" t="str">
        <f>""</f>
        <v/>
      </c>
      <c r="F311" s="2" t="s">
        <v>27</v>
      </c>
      <c r="G311" s="2" t="str">
        <f>CONCATENATE("ELCON D.O.O.,"," MEĐIMURSKA 2,"," 42000 VARAŽDIN,"," OIB: 69554624078")</f>
        <v>ELCON D.O.O., MEĐIMURSKA 2, 42000 VARAŽDIN, OIB: 69554624078</v>
      </c>
      <c r="H311" s="4"/>
      <c r="I311" s="1" t="s">
        <v>269</v>
      </c>
      <c r="J311" s="1" t="s">
        <v>404</v>
      </c>
      <c r="K311" s="6" t="str">
        <f>"1.440,85"</f>
        <v>1.440,85</v>
      </c>
      <c r="L311" s="6" t="str">
        <f>"360,21"</f>
        <v>360,21</v>
      </c>
      <c r="M311" s="6" t="str">
        <f>"1.801,06"</f>
        <v>1.801,06</v>
      </c>
      <c r="N311" s="5">
        <v>43662</v>
      </c>
      <c r="O311" s="7"/>
      <c r="P311" s="6" t="str">
        <f>"1.801,06"</f>
        <v>1.801,06</v>
      </c>
      <c r="Q311" s="7"/>
      <c r="R311" s="1"/>
      <c r="S311" s="1" t="str">
        <f>"4-19/NOS-16/17"</f>
        <v>4-19/NOS-16/17</v>
      </c>
      <c r="T311" s="2" t="s">
        <v>33</v>
      </c>
    </row>
    <row r="312" spans="1:20" ht="38.25" x14ac:dyDescent="0.25">
      <c r="A312" s="1">
        <v>308</v>
      </c>
      <c r="B312" s="1" t="str">
        <f>"2017-374"</f>
        <v>2017-374</v>
      </c>
      <c r="C312" s="2" t="s">
        <v>476</v>
      </c>
      <c r="D312" s="1" t="s">
        <v>369</v>
      </c>
      <c r="E312" s="3" t="str">
        <f>"2017/S 0F2-0008297"</f>
        <v>2017/S 0F2-0008297</v>
      </c>
      <c r="F312" s="2" t="s">
        <v>23</v>
      </c>
      <c r="G312" s="2" t="str">
        <f>CONCATENATE("VELEKEM D.D.,"," UL.KNEZA LJUDEVITA POSAVSKOG 13,"," 10360 SESVETE,"," OIB: 62347407589")</f>
        <v>VELEKEM D.D., UL.KNEZA LJUDEVITA POSAVSKOG 13, 10360 SESVETE, OIB: 62347407589</v>
      </c>
      <c r="H312" s="4"/>
      <c r="I312" s="1" t="s">
        <v>444</v>
      </c>
      <c r="J312" s="1" t="s">
        <v>445</v>
      </c>
      <c r="K312" s="6" t="str">
        <f>"600.000,00"</f>
        <v>600.000,00</v>
      </c>
      <c r="L312" s="6" t="str">
        <f>"150.000,00"</f>
        <v>150.000,00</v>
      </c>
      <c r="M312" s="6" t="str">
        <f>"750.000,00"</f>
        <v>750.000,00</v>
      </c>
      <c r="N312" s="7"/>
      <c r="O312" s="7"/>
      <c r="P312" s="6" t="str">
        <f>""</f>
        <v/>
      </c>
      <c r="Q312" s="7"/>
      <c r="R312" s="1"/>
      <c r="S312" s="1" t="str">
        <f>"NOS-17/17"</f>
        <v>NOS-17/17</v>
      </c>
      <c r="T312" s="2" t="s">
        <v>33</v>
      </c>
    </row>
    <row r="313" spans="1:20" ht="63.75" x14ac:dyDescent="0.25">
      <c r="A313" s="1">
        <v>309</v>
      </c>
      <c r="B313" s="1" t="str">
        <f t="shared" ref="B313:B318" si="30">"2017-351"</f>
        <v>2017-351</v>
      </c>
      <c r="C313" s="2" t="s">
        <v>477</v>
      </c>
      <c r="D313" s="1" t="s">
        <v>478</v>
      </c>
      <c r="E313" s="3" t="str">
        <f>"2017/S 0F2-0007692"</f>
        <v>2017/S 0F2-0007692</v>
      </c>
      <c r="F313" s="2" t="s">
        <v>23</v>
      </c>
      <c r="G313" s="2" t="str">
        <f>CONCATENATE("JAKA D.O.O.,"," OGRIZOVIĆEVA 28/B,","  10 000 ZAGREB,"," OIB: 37705921960",CHAR(10),"ELEKTRO-KOMUNIKACIJE D.O.O.,"," 14. PODBREŽJE 4,"," 10000 ZAGREB,"," OIB: 76412373309")</f>
        <v>JAKA D.O.O., OGRIZOVIĆEVA 28/B,  10 000 ZAGREB, OIB: 37705921960
ELEKTRO-KOMUNIKACIJE D.O.O., 14. PODBREŽJE 4, 10000 ZAGREB, OIB: 76412373309</v>
      </c>
      <c r="H313" s="4"/>
      <c r="I313" s="1" t="s">
        <v>370</v>
      </c>
      <c r="J313" s="1" t="s">
        <v>371</v>
      </c>
      <c r="K313" s="6" t="str">
        <f>"800.000,00"</f>
        <v>800.000,00</v>
      </c>
      <c r="L313" s="6" t="str">
        <f>"200.000,00"</f>
        <v>200.000,00</v>
      </c>
      <c r="M313" s="6" t="str">
        <f>"1.000.000,00"</f>
        <v>1.000.000,00</v>
      </c>
      <c r="N313" s="7"/>
      <c r="O313" s="7"/>
      <c r="P313" s="6" t="str">
        <f>""</f>
        <v/>
      </c>
      <c r="Q313" s="7"/>
      <c r="R313" s="1"/>
      <c r="S313" s="1" t="str">
        <f>"NOS-18/17"</f>
        <v>NOS-18/17</v>
      </c>
      <c r="T313" s="2" t="s">
        <v>33</v>
      </c>
    </row>
    <row r="314" spans="1:20" ht="25.5" x14ac:dyDescent="0.25">
      <c r="A314" s="1">
        <v>310</v>
      </c>
      <c r="B314" s="1" t="str">
        <f t="shared" si="30"/>
        <v>2017-351</v>
      </c>
      <c r="C314" s="2" t="s">
        <v>477</v>
      </c>
      <c r="D314" s="1" t="s">
        <v>478</v>
      </c>
      <c r="E314" s="3" t="str">
        <f>""</f>
        <v/>
      </c>
      <c r="F314" s="2" t="s">
        <v>27</v>
      </c>
      <c r="G314" s="2" t="str">
        <f>CONCATENATE("JAKA D.O.O.,"," OGRIZOVIĆEVA 28/B,","  10 000 ZAGREB,"," OIB: 3770592196")</f>
        <v>JAKA D.O.O., OGRIZOVIĆEVA 28/B,  10 000 ZAGREB, OIB: 3770592196</v>
      </c>
      <c r="H314" s="4"/>
      <c r="I314" s="1" t="s">
        <v>479</v>
      </c>
      <c r="J314" s="1" t="s">
        <v>469</v>
      </c>
      <c r="K314" s="6" t="str">
        <f>"36.000,00"</f>
        <v>36.000,00</v>
      </c>
      <c r="L314" s="6" t="str">
        <f>"9.000,00"</f>
        <v>9.000,00</v>
      </c>
      <c r="M314" s="6" t="str">
        <f>"45.000,00"</f>
        <v>45.000,00</v>
      </c>
      <c r="N314" s="5">
        <v>43532</v>
      </c>
      <c r="O314" s="7"/>
      <c r="P314" s="6" t="str">
        <f>"45.000,00"</f>
        <v>45.000,00</v>
      </c>
      <c r="Q314" s="7"/>
      <c r="R314" s="1"/>
      <c r="S314" s="1" t="str">
        <f>"1-19/NOS-18/17"</f>
        <v>1-19/NOS-18/17</v>
      </c>
      <c r="T314" s="2" t="s">
        <v>33</v>
      </c>
    </row>
    <row r="315" spans="1:20" ht="25.5" x14ac:dyDescent="0.25">
      <c r="A315" s="1">
        <v>311</v>
      </c>
      <c r="B315" s="1" t="str">
        <f t="shared" si="30"/>
        <v>2017-351</v>
      </c>
      <c r="C315" s="2" t="s">
        <v>477</v>
      </c>
      <c r="D315" s="1" t="s">
        <v>478</v>
      </c>
      <c r="E315" s="3" t="str">
        <f>""</f>
        <v/>
      </c>
      <c r="F315" s="2" t="s">
        <v>27</v>
      </c>
      <c r="G315" s="2" t="str">
        <f>CONCATENATE("JAKA D.O.O.,"," OGRIZOVIĆEVA 28/B,","  10 000 ZAGREB,"," OIB: 3770592196")</f>
        <v>JAKA D.O.O., OGRIZOVIĆEVA 28/B,  10 000 ZAGREB, OIB: 3770592196</v>
      </c>
      <c r="H315" s="4"/>
      <c r="I315" s="1" t="s">
        <v>480</v>
      </c>
      <c r="J315" s="1" t="s">
        <v>469</v>
      </c>
      <c r="K315" s="6" t="str">
        <f>"16.000,00"</f>
        <v>16.000,00</v>
      </c>
      <c r="L315" s="6" t="str">
        <f>"4.000,00"</f>
        <v>4.000,00</v>
      </c>
      <c r="M315" s="6" t="str">
        <f>"20.000,00"</f>
        <v>20.000,00</v>
      </c>
      <c r="N315" s="5">
        <v>43593</v>
      </c>
      <c r="O315" s="7"/>
      <c r="P315" s="6" t="str">
        <f>"20.000,00"</f>
        <v>20.000,00</v>
      </c>
      <c r="Q315" s="7"/>
      <c r="R315" s="1"/>
      <c r="S315" s="1" t="str">
        <f>"2-19/NOS-18/17"</f>
        <v>2-19/NOS-18/17</v>
      </c>
      <c r="T315" s="2" t="s">
        <v>33</v>
      </c>
    </row>
    <row r="316" spans="1:20" ht="25.5" x14ac:dyDescent="0.25">
      <c r="A316" s="1">
        <v>312</v>
      </c>
      <c r="B316" s="1" t="str">
        <f t="shared" si="30"/>
        <v>2017-351</v>
      </c>
      <c r="C316" s="2" t="s">
        <v>477</v>
      </c>
      <c r="D316" s="1" t="s">
        <v>478</v>
      </c>
      <c r="E316" s="3" t="str">
        <f>""</f>
        <v/>
      </c>
      <c r="F316" s="2" t="s">
        <v>27</v>
      </c>
      <c r="G316" s="2" t="str">
        <f>CONCATENATE("JAKA D.O.O.,"," OGRIZOVIĆEVA 28/B,","  10 000 ZAGREB,"," OIB: 3770592196")</f>
        <v>JAKA D.O.O., OGRIZOVIĆEVA 28/B,  10 000 ZAGREB, OIB: 3770592196</v>
      </c>
      <c r="H316" s="4"/>
      <c r="I316" s="1" t="s">
        <v>481</v>
      </c>
      <c r="J316" s="1" t="s">
        <v>469</v>
      </c>
      <c r="K316" s="6" t="str">
        <f>"6.900,00"</f>
        <v>6.900,00</v>
      </c>
      <c r="L316" s="6" t="str">
        <f>"1.725,00"</f>
        <v>1.725,00</v>
      </c>
      <c r="M316" s="6" t="str">
        <f>"8.625,00"</f>
        <v>8.625,00</v>
      </c>
      <c r="N316" s="5">
        <v>43599</v>
      </c>
      <c r="O316" s="7"/>
      <c r="P316" s="6" t="str">
        <f>"8.625,00"</f>
        <v>8.625,00</v>
      </c>
      <c r="Q316" s="7"/>
      <c r="R316" s="1"/>
      <c r="S316" s="1" t="str">
        <f>"3-19/NOS-18/17"</f>
        <v>3-19/NOS-18/17</v>
      </c>
      <c r="T316" s="2" t="s">
        <v>33</v>
      </c>
    </row>
    <row r="317" spans="1:20" ht="25.5" x14ac:dyDescent="0.25">
      <c r="A317" s="1">
        <v>313</v>
      </c>
      <c r="B317" s="1" t="str">
        <f t="shared" si="30"/>
        <v>2017-351</v>
      </c>
      <c r="C317" s="2" t="s">
        <v>477</v>
      </c>
      <c r="D317" s="1" t="s">
        <v>478</v>
      </c>
      <c r="E317" s="3" t="str">
        <f>""</f>
        <v/>
      </c>
      <c r="F317" s="2" t="s">
        <v>27</v>
      </c>
      <c r="G317" s="2" t="str">
        <f>CONCATENATE("JAKA D.O.O.,"," OGRIZOVIĆEVA 28/B,","  10 000 ZAGREB,"," OIB: 3770592196")</f>
        <v>JAKA D.O.O., OGRIZOVIĆEVA 28/B,  10 000 ZAGREB, OIB: 3770592196</v>
      </c>
      <c r="H317" s="4"/>
      <c r="I317" s="1" t="s">
        <v>74</v>
      </c>
      <c r="J317" s="1" t="s">
        <v>37</v>
      </c>
      <c r="K317" s="6" t="str">
        <f>"88.650,00"</f>
        <v>88.650,00</v>
      </c>
      <c r="L317" s="6" t="str">
        <f>"22.162,50"</f>
        <v>22.162,50</v>
      </c>
      <c r="M317" s="6" t="str">
        <f>"110.812,50"</f>
        <v>110.812,50</v>
      </c>
      <c r="N317" s="5">
        <v>43649</v>
      </c>
      <c r="O317" s="7"/>
      <c r="P317" s="6" t="str">
        <f>"117.012,50"</f>
        <v>117.012,50</v>
      </c>
      <c r="Q317" s="7"/>
      <c r="R317" s="1"/>
      <c r="S317" s="1" t="str">
        <f>"5-19/NOS-18/17"</f>
        <v>5-19/NOS-18/17</v>
      </c>
      <c r="T317" s="2" t="s">
        <v>33</v>
      </c>
    </row>
    <row r="318" spans="1:20" ht="25.5" x14ac:dyDescent="0.25">
      <c r="A318" s="1">
        <v>314</v>
      </c>
      <c r="B318" s="1" t="str">
        <f t="shared" si="30"/>
        <v>2017-351</v>
      </c>
      <c r="C318" s="2" t="s">
        <v>477</v>
      </c>
      <c r="D318" s="1" t="s">
        <v>478</v>
      </c>
      <c r="E318" s="3" t="str">
        <f>""</f>
        <v/>
      </c>
      <c r="F318" s="2" t="s">
        <v>27</v>
      </c>
      <c r="G318" s="2" t="str">
        <f>CONCATENATE("JAKA D.O.O.,"," OGRIZOVIĆEVA 28/B,","  10 000 ZAGREB,"," OIB: 3770592196")</f>
        <v>JAKA D.O.O., OGRIZOVIĆEVA 28/B,  10 000 ZAGREB, OIB: 3770592196</v>
      </c>
      <c r="H318" s="4"/>
      <c r="I318" s="1" t="s">
        <v>269</v>
      </c>
      <c r="J318" s="1" t="s">
        <v>404</v>
      </c>
      <c r="K318" s="6" t="str">
        <f>"16.100,00"</f>
        <v>16.100,00</v>
      </c>
      <c r="L318" s="6" t="str">
        <f>"4.025,00"</f>
        <v>4.025,00</v>
      </c>
      <c r="M318" s="6" t="str">
        <f>"20.125,00"</f>
        <v>20.125,00</v>
      </c>
      <c r="N318" s="5">
        <v>43642</v>
      </c>
      <c r="O318" s="7"/>
      <c r="P318" s="6" t="str">
        <f>"20.125,00"</f>
        <v>20.125,00</v>
      </c>
      <c r="Q318" s="7"/>
      <c r="R318" s="1"/>
      <c r="S318" s="1" t="str">
        <f>"6-19/NOS-18/17"</f>
        <v>6-19/NOS-18/17</v>
      </c>
      <c r="T318" s="2" t="s">
        <v>33</v>
      </c>
    </row>
    <row r="319" spans="1:20" ht="76.5" x14ac:dyDescent="0.25">
      <c r="A319" s="1">
        <v>315</v>
      </c>
      <c r="B319" s="1" t="str">
        <f t="shared" ref="B319:B325" si="31">"2017-1"</f>
        <v>2017-1</v>
      </c>
      <c r="C319" s="2" t="s">
        <v>482</v>
      </c>
      <c r="D319" s="1" t="s">
        <v>483</v>
      </c>
      <c r="E319" s="3" t="str">
        <f>"2017/S 0F2-0004355"</f>
        <v>2017/S 0F2-0004355</v>
      </c>
      <c r="F319" s="2" t="s">
        <v>23</v>
      </c>
      <c r="G319" s="2"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H319" s="4"/>
      <c r="I319" s="1" t="s">
        <v>389</v>
      </c>
      <c r="J319" s="1" t="s">
        <v>484</v>
      </c>
      <c r="K319" s="6" t="str">
        <f>"10.108.000,00"</f>
        <v>10.108.000,00</v>
      </c>
      <c r="L319" s="6" t="str">
        <f>"2.527.000,00"</f>
        <v>2.527.000,00</v>
      </c>
      <c r="M319" s="6" t="str">
        <f>"12.635.000,00"</f>
        <v>12.635.000,00</v>
      </c>
      <c r="N319" s="7"/>
      <c r="O319" s="7"/>
      <c r="P319" s="6" t="str">
        <f>""</f>
        <v/>
      </c>
      <c r="Q319" s="7"/>
      <c r="R319" s="1"/>
      <c r="S319" s="1" t="str">
        <f>"NOS-19-A/17"</f>
        <v>NOS-19-A/17</v>
      </c>
      <c r="T319" s="2" t="s">
        <v>33</v>
      </c>
    </row>
    <row r="320" spans="1:20" ht="25.5" x14ac:dyDescent="0.25">
      <c r="A320" s="1">
        <v>316</v>
      </c>
      <c r="B320" s="1" t="str">
        <f t="shared" si="31"/>
        <v>2017-1</v>
      </c>
      <c r="C320" s="2" t="s">
        <v>482</v>
      </c>
      <c r="D320" s="4"/>
      <c r="E320" s="3" t="str">
        <f>""</f>
        <v/>
      </c>
      <c r="F320" s="2" t="s">
        <v>27</v>
      </c>
      <c r="G320" s="2" t="str">
        <f>CONCATENATE("GRADATIN D.O.O.,"," LIVADARSKI PUT 19,"," 10360 SESVETE,"," OIB: 79147056526")</f>
        <v>GRADATIN D.O.O., LIVADARSKI PUT 19, 10360 SESVETE, OIB: 79147056526</v>
      </c>
      <c r="H320" s="4"/>
      <c r="I320" s="1" t="s">
        <v>470</v>
      </c>
      <c r="J320" s="1" t="s">
        <v>45</v>
      </c>
      <c r="K320" s="6" t="str">
        <f>"1.940.000,00"</f>
        <v>1.940.000,00</v>
      </c>
      <c r="L320" s="6" t="str">
        <f>"485.000,00"</f>
        <v>485.000,00</v>
      </c>
      <c r="M320" s="6" t="str">
        <f>"2.425.000,00"</f>
        <v>2.425.000,00</v>
      </c>
      <c r="N320" s="5">
        <v>43602</v>
      </c>
      <c r="O320" s="7"/>
      <c r="P320" s="6" t="str">
        <f>"485.000,00"</f>
        <v>485.000,00</v>
      </c>
      <c r="Q320" s="7"/>
      <c r="R320" s="1"/>
      <c r="S320" s="1" t="str">
        <f>"1-19/NOS-19-A/17"</f>
        <v>1-19/NOS-19-A/17</v>
      </c>
      <c r="T320" s="2" t="s">
        <v>33</v>
      </c>
    </row>
    <row r="321" spans="1:20" ht="76.5" x14ac:dyDescent="0.25">
      <c r="A321" s="1">
        <v>317</v>
      </c>
      <c r="B321" s="1" t="str">
        <f t="shared" si="31"/>
        <v>2017-1</v>
      </c>
      <c r="C321" s="2" t="s">
        <v>482</v>
      </c>
      <c r="D321" s="1" t="s">
        <v>483</v>
      </c>
      <c r="E321" s="3" t="str">
        <f>"2017/S 0F2-0004355"</f>
        <v>2017/S 0F2-0004355</v>
      </c>
      <c r="F321" s="2" t="s">
        <v>23</v>
      </c>
      <c r="G321" s="2"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H321" s="4"/>
      <c r="I321" s="1" t="s">
        <v>438</v>
      </c>
      <c r="J321" s="1" t="s">
        <v>485</v>
      </c>
      <c r="K321" s="6" t="str">
        <f>"13.240.000,00"</f>
        <v>13.240.000,00</v>
      </c>
      <c r="L321" s="6" t="str">
        <f>"3.310.000,00"</f>
        <v>3.310.000,00</v>
      </c>
      <c r="M321" s="6" t="str">
        <f>"16.550.000,00"</f>
        <v>16.550.000,00</v>
      </c>
      <c r="N321" s="7"/>
      <c r="O321" s="7"/>
      <c r="P321" s="6" t="str">
        <f>""</f>
        <v/>
      </c>
      <c r="Q321" s="7"/>
      <c r="R321" s="1"/>
      <c r="S321" s="1" t="str">
        <f>"NOS-19-B/17"</f>
        <v>NOS-19-B/17</v>
      </c>
      <c r="T321" s="2" t="s">
        <v>33</v>
      </c>
    </row>
    <row r="322" spans="1:20" ht="25.5" x14ac:dyDescent="0.25">
      <c r="A322" s="1">
        <v>318</v>
      </c>
      <c r="B322" s="1" t="str">
        <f t="shared" si="31"/>
        <v>2017-1</v>
      </c>
      <c r="C322" s="2" t="s">
        <v>482</v>
      </c>
      <c r="D322" s="4"/>
      <c r="E322" s="3" t="str">
        <f>""</f>
        <v/>
      </c>
      <c r="F322" s="2" t="s">
        <v>27</v>
      </c>
      <c r="G322" s="2" t="str">
        <f>CONCATENATE("VODOSKOK D.D.,"," ČULINEČKA CESTA 221/C,"," 10040 ZAGREB,"," OIB: 34134218058")</f>
        <v>VODOSKOK D.D., ČULINEČKA CESTA 221/C, 10040 ZAGREB, OIB: 34134218058</v>
      </c>
      <c r="H322" s="4"/>
      <c r="I322" s="1" t="s">
        <v>172</v>
      </c>
      <c r="J322" s="1" t="s">
        <v>42</v>
      </c>
      <c r="K322" s="6" t="str">
        <f>"293.400,00"</f>
        <v>293.400,00</v>
      </c>
      <c r="L322" s="6" t="str">
        <f>"73.350,00"</f>
        <v>73.350,00</v>
      </c>
      <c r="M322" s="6" t="str">
        <f>"366.750,00"</f>
        <v>366.750,00</v>
      </c>
      <c r="N322" s="5">
        <v>43558</v>
      </c>
      <c r="O322" s="7"/>
      <c r="P322" s="6" t="str">
        <f>"366.750,00"</f>
        <v>366.750,00</v>
      </c>
      <c r="Q322" s="7"/>
      <c r="R322" s="1"/>
      <c r="S322" s="1" t="str">
        <f>"2-18/NOS-19-B/17"</f>
        <v>2-18/NOS-19-B/17</v>
      </c>
      <c r="T322" s="2" t="s">
        <v>33</v>
      </c>
    </row>
    <row r="323" spans="1:20" ht="76.5" x14ac:dyDescent="0.25">
      <c r="A323" s="1">
        <v>319</v>
      </c>
      <c r="B323" s="1" t="str">
        <f t="shared" si="31"/>
        <v>2017-1</v>
      </c>
      <c r="C323" s="2" t="s">
        <v>482</v>
      </c>
      <c r="D323" s="1" t="s">
        <v>483</v>
      </c>
      <c r="E323" s="3" t="str">
        <f>"2017/S 0F2-0004355"</f>
        <v>2017/S 0F2-0004355</v>
      </c>
      <c r="F323" s="2" t="s">
        <v>23</v>
      </c>
      <c r="G323" s="2"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H323" s="4"/>
      <c r="I323" s="1" t="s">
        <v>438</v>
      </c>
      <c r="J323" s="1" t="s">
        <v>485</v>
      </c>
      <c r="K323" s="6" t="str">
        <f>"258.000,00"</f>
        <v>258.000,00</v>
      </c>
      <c r="L323" s="6" t="str">
        <f>"64.500,00"</f>
        <v>64.500,00</v>
      </c>
      <c r="M323" s="6" t="str">
        <f>"322.500,00"</f>
        <v>322.500,00</v>
      </c>
      <c r="N323" s="7"/>
      <c r="O323" s="7"/>
      <c r="P323" s="6" t="str">
        <f>""</f>
        <v/>
      </c>
      <c r="Q323" s="7"/>
      <c r="R323" s="1"/>
      <c r="S323" s="1" t="str">
        <f>"NOS-19-C/17"</f>
        <v>NOS-19-C/17</v>
      </c>
      <c r="T323" s="2" t="s">
        <v>33</v>
      </c>
    </row>
    <row r="324" spans="1:20" ht="76.5" x14ac:dyDescent="0.25">
      <c r="A324" s="1">
        <v>320</v>
      </c>
      <c r="B324" s="1" t="str">
        <f t="shared" si="31"/>
        <v>2017-1</v>
      </c>
      <c r="C324" s="2" t="s">
        <v>482</v>
      </c>
      <c r="D324" s="1" t="s">
        <v>483</v>
      </c>
      <c r="E324" s="3" t="str">
        <f>"2017/S 0F2-0004355"</f>
        <v>2017/S 0F2-0004355</v>
      </c>
      <c r="F324" s="2" t="s">
        <v>23</v>
      </c>
      <c r="G324" s="2"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H324" s="4"/>
      <c r="I324" s="1" t="s">
        <v>438</v>
      </c>
      <c r="J324" s="1" t="s">
        <v>485</v>
      </c>
      <c r="K324" s="6" t="str">
        <f>"112.000,00"</f>
        <v>112.000,00</v>
      </c>
      <c r="L324" s="6" t="str">
        <f>"28.000,00"</f>
        <v>28.000,00</v>
      </c>
      <c r="M324" s="6" t="str">
        <f>"140.000,00"</f>
        <v>140.000,00</v>
      </c>
      <c r="N324" s="7"/>
      <c r="O324" s="7"/>
      <c r="P324" s="6" t="str">
        <f>""</f>
        <v/>
      </c>
      <c r="Q324" s="7"/>
      <c r="R324" s="1"/>
      <c r="S324" s="1" t="str">
        <f>"NOS-19-D/17"</f>
        <v>NOS-19-D/17</v>
      </c>
      <c r="T324" s="2" t="s">
        <v>33</v>
      </c>
    </row>
    <row r="325" spans="1:20" ht="76.5" x14ac:dyDescent="0.25">
      <c r="A325" s="1">
        <v>321</v>
      </c>
      <c r="B325" s="1" t="str">
        <f t="shared" si="31"/>
        <v>2017-1</v>
      </c>
      <c r="C325" s="2" t="s">
        <v>482</v>
      </c>
      <c r="D325" s="1" t="s">
        <v>483</v>
      </c>
      <c r="E325" s="3" t="str">
        <f>"2017/S 0F2-0004355"</f>
        <v>2017/S 0F2-0004355</v>
      </c>
      <c r="F325" s="2" t="s">
        <v>23</v>
      </c>
      <c r="G325" s="2" t="str">
        <f>CONCATENATE("GRADATIN D.O.O.,"," LIVADARSKI PUT 19,"," 10360 SESVETE,"," OIB: 79147056526",CHAR(10),"VODOSKOK D.D.,"," ČULINEČKA CESTA 221/C,"," 10040 ZAGREB,"," OIB: 34134218058",CHAR(10),"ESE GMBH,"," FRIEDRICH-BUCKLING-STR. 8,"," 16816 NEURUPPIN,"," OIB: 05210803388")</f>
        <v>GRADATIN D.O.O., LIVADARSKI PUT 19, 10360 SESVETE, OIB: 79147056526
VODOSKOK D.D., ČULINEČKA CESTA 221/C, 10040 ZAGREB, OIB: 34134218058
ESE GMBH, FRIEDRICH-BUCKLING-STR. 8, 16816 NEURUPPIN, OIB: 05210803388</v>
      </c>
      <c r="H325" s="4"/>
      <c r="I325" s="1" t="s">
        <v>438</v>
      </c>
      <c r="J325" s="1" t="s">
        <v>485</v>
      </c>
      <c r="K325" s="6" t="str">
        <f>"94.000,00"</f>
        <v>94.000,00</v>
      </c>
      <c r="L325" s="6" t="str">
        <f>"23.500,00"</f>
        <v>23.500,00</v>
      </c>
      <c r="M325" s="6" t="str">
        <f>"117.500,00"</f>
        <v>117.500,00</v>
      </c>
      <c r="N325" s="7"/>
      <c r="O325" s="7"/>
      <c r="P325" s="6" t="str">
        <f>""</f>
        <v/>
      </c>
      <c r="Q325" s="7"/>
      <c r="R325" s="1"/>
      <c r="S325" s="1" t="str">
        <f>"NOS-19-E/17"</f>
        <v>NOS-19-E/17</v>
      </c>
      <c r="T325" s="2" t="s">
        <v>33</v>
      </c>
    </row>
    <row r="326" spans="1:20" ht="102" x14ac:dyDescent="0.25">
      <c r="A326" s="1">
        <v>322</v>
      </c>
      <c r="B326" s="1" t="str">
        <f t="shared" ref="B326:B338" si="32">"2017-442"</f>
        <v>2017-442</v>
      </c>
      <c r="C326" s="2" t="s">
        <v>486</v>
      </c>
      <c r="D326" s="1" t="s">
        <v>487</v>
      </c>
      <c r="E326" s="3" t="str">
        <f>"2017/S 0F2-0008115"</f>
        <v>2017/S 0F2-0008115</v>
      </c>
      <c r="F326" s="2" t="s">
        <v>23</v>
      </c>
      <c r="G326" s="2" t="str">
        <f t="shared" ref="G326:G338" si="33">CONCATENATE("URIHO - ZAGREB,"," AVENIJA MARINA DRŽIĆA 1,"," 10000 ZAGREB,"," OIB: 77931216562")</f>
        <v>URIHO - ZAGREB, AVENIJA MARINA DRŽIĆA 1, 10000 ZAGREB, OIB: 77931216562</v>
      </c>
      <c r="H326" s="4"/>
      <c r="I326" s="1" t="s">
        <v>488</v>
      </c>
      <c r="J326" s="1" t="s">
        <v>489</v>
      </c>
      <c r="K326" s="6" t="str">
        <f>"18.100.000,00"</f>
        <v>18.100.000,00</v>
      </c>
      <c r="L326" s="6" t="str">
        <f>"4.525.000,00"</f>
        <v>4.525.000,00</v>
      </c>
      <c r="M326" s="6" t="str">
        <f>"22.625.000,00"</f>
        <v>22.625.000,00</v>
      </c>
      <c r="N326" s="7"/>
      <c r="O326" s="7"/>
      <c r="P326" s="6" t="str">
        <f>""</f>
        <v/>
      </c>
      <c r="Q326" s="7"/>
      <c r="R326" s="1"/>
      <c r="S326" s="1" t="str">
        <f>"NOS-20/17"</f>
        <v>NOS-20/17</v>
      </c>
      <c r="T326" s="2" t="s">
        <v>145</v>
      </c>
    </row>
    <row r="327" spans="1:20" ht="25.5" x14ac:dyDescent="0.25">
      <c r="A327" s="1">
        <v>323</v>
      </c>
      <c r="B327" s="1" t="str">
        <f t="shared" si="32"/>
        <v>2017-442</v>
      </c>
      <c r="C327" s="2" t="s">
        <v>486</v>
      </c>
      <c r="D327" s="4"/>
      <c r="E327" s="3" t="str">
        <f>""</f>
        <v/>
      </c>
      <c r="F327" s="2" t="s">
        <v>27</v>
      </c>
      <c r="G327" s="2" t="str">
        <f t="shared" si="33"/>
        <v>URIHO - ZAGREB, AVENIJA MARINA DRŽIĆA 1, 10000 ZAGREB, OIB: 77931216562</v>
      </c>
      <c r="H327" s="4"/>
      <c r="I327" s="1" t="s">
        <v>115</v>
      </c>
      <c r="J327" s="1" t="s">
        <v>42</v>
      </c>
      <c r="K327" s="6" t="str">
        <f>"175.840,00"</f>
        <v>175.840,00</v>
      </c>
      <c r="L327" s="6" t="str">
        <f>"43.960,00"</f>
        <v>43.960,00</v>
      </c>
      <c r="M327" s="6" t="str">
        <f>"219.800,00"</f>
        <v>219.800,00</v>
      </c>
      <c r="N327" s="5">
        <v>43567</v>
      </c>
      <c r="O327" s="7"/>
      <c r="P327" s="6" t="str">
        <f>"219.800,00"</f>
        <v>219.800,00</v>
      </c>
      <c r="Q327" s="7"/>
      <c r="R327" s="1"/>
      <c r="S327" s="1" t="str">
        <f>"30-18/NOS-20/17"</f>
        <v>30-18/NOS-20/17</v>
      </c>
      <c r="T327" s="2" t="s">
        <v>60</v>
      </c>
    </row>
    <row r="328" spans="1:20" ht="25.5" x14ac:dyDescent="0.25">
      <c r="A328" s="1">
        <v>324</v>
      </c>
      <c r="B328" s="1" t="str">
        <f t="shared" si="32"/>
        <v>2017-442</v>
      </c>
      <c r="C328" s="2" t="s">
        <v>486</v>
      </c>
      <c r="D328" s="1" t="s">
        <v>487</v>
      </c>
      <c r="E328" s="3" t="str">
        <f>""</f>
        <v/>
      </c>
      <c r="F328" s="2" t="s">
        <v>27</v>
      </c>
      <c r="G328" s="2" t="str">
        <f t="shared" si="33"/>
        <v>URIHO - ZAGREB, AVENIJA MARINA DRŽIĆA 1, 10000 ZAGREB, OIB: 77931216562</v>
      </c>
      <c r="H328" s="4"/>
      <c r="I328" s="1" t="s">
        <v>463</v>
      </c>
      <c r="J328" s="1" t="s">
        <v>28</v>
      </c>
      <c r="K328" s="6" t="str">
        <f>"334.954,00"</f>
        <v>334.954,00</v>
      </c>
      <c r="L328" s="6" t="str">
        <f>"83.738,50"</f>
        <v>83.738,50</v>
      </c>
      <c r="M328" s="6" t="str">
        <f>"418.692,50"</f>
        <v>418.692,50</v>
      </c>
      <c r="N328" s="5">
        <v>43616</v>
      </c>
      <c r="O328" s="7"/>
      <c r="P328" s="6" t="str">
        <f>"1.185,00"</f>
        <v>1.185,00</v>
      </c>
      <c r="Q328" s="7"/>
      <c r="R328" s="1"/>
      <c r="S328" s="1" t="str">
        <f>"37-18/NOS-20/17"</f>
        <v>37-18/NOS-20/17</v>
      </c>
      <c r="T328" s="2" t="s">
        <v>112</v>
      </c>
    </row>
    <row r="329" spans="1:20" ht="51" x14ac:dyDescent="0.25">
      <c r="A329" s="1">
        <v>325</v>
      </c>
      <c r="B329" s="1" t="str">
        <f t="shared" si="32"/>
        <v>2017-442</v>
      </c>
      <c r="C329" s="2" t="s">
        <v>490</v>
      </c>
      <c r="D329" s="4"/>
      <c r="E329" s="3" t="str">
        <f>""</f>
        <v/>
      </c>
      <c r="F329" s="2" t="s">
        <v>52</v>
      </c>
      <c r="G329" s="2" t="str">
        <f t="shared" si="33"/>
        <v>URIHO - ZAGREB, AVENIJA MARINA DRŽIĆA 1, 10000 ZAGREB, OIB: 77931216562</v>
      </c>
      <c r="H329" s="4"/>
      <c r="I329" s="1" t="s">
        <v>491</v>
      </c>
      <c r="J329" s="1" t="s">
        <v>42</v>
      </c>
      <c r="K329" s="6" t="str">
        <f>"14.661,00"</f>
        <v>14.661,00</v>
      </c>
      <c r="L329" s="6" t="str">
        <f>"3.665,25"</f>
        <v>3.665,25</v>
      </c>
      <c r="M329" s="6" t="str">
        <f>"18.326,25"</f>
        <v>18.326,25</v>
      </c>
      <c r="N329" s="5">
        <v>43462</v>
      </c>
      <c r="O329" s="7"/>
      <c r="P329" s="6" t="str">
        <f>"16.026,88"</f>
        <v>16.026,88</v>
      </c>
      <c r="Q329" s="7"/>
      <c r="R329" s="1"/>
      <c r="S329" s="1" t="str">
        <f>"30-18/NOS-20/17#1"</f>
        <v>30-18/NOS-20/17#1</v>
      </c>
      <c r="T329" s="2" t="s">
        <v>60</v>
      </c>
    </row>
    <row r="330" spans="1:20" ht="25.5" x14ac:dyDescent="0.25">
      <c r="A330" s="1">
        <v>326</v>
      </c>
      <c r="B330" s="1" t="str">
        <f t="shared" si="32"/>
        <v>2017-442</v>
      </c>
      <c r="C330" s="2" t="s">
        <v>486</v>
      </c>
      <c r="D330" s="1" t="s">
        <v>487</v>
      </c>
      <c r="E330" s="3" t="str">
        <f>""</f>
        <v/>
      </c>
      <c r="F330" s="2" t="s">
        <v>27</v>
      </c>
      <c r="G330" s="2" t="str">
        <f t="shared" si="33"/>
        <v>URIHO - ZAGREB, AVENIJA MARINA DRŽIĆA 1, 10000 ZAGREB, OIB: 77931216562</v>
      </c>
      <c r="H330" s="4"/>
      <c r="I330" s="1" t="s">
        <v>162</v>
      </c>
      <c r="J330" s="1" t="s">
        <v>436</v>
      </c>
      <c r="K330" s="6" t="str">
        <f>"253.005,00"</f>
        <v>253.005,00</v>
      </c>
      <c r="L330" s="6" t="str">
        <f>"63.251,25"</f>
        <v>63.251,25</v>
      </c>
      <c r="M330" s="6" t="str">
        <f>"316.256,25"</f>
        <v>316.256,25</v>
      </c>
      <c r="N330" s="5">
        <v>43720</v>
      </c>
      <c r="O330" s="7"/>
      <c r="P330" s="6" t="str">
        <f>"316.256,25"</f>
        <v>316.256,25</v>
      </c>
      <c r="Q330" s="7"/>
      <c r="R330" s="1"/>
      <c r="S330" s="1" t="str">
        <f>"6-19/NOS-20/17"</f>
        <v>6-19/NOS-20/17</v>
      </c>
      <c r="T330" s="2" t="s">
        <v>33</v>
      </c>
    </row>
    <row r="331" spans="1:20" ht="51" x14ac:dyDescent="0.25">
      <c r="A331" s="1">
        <v>327</v>
      </c>
      <c r="B331" s="1" t="str">
        <f t="shared" si="32"/>
        <v>2017-442</v>
      </c>
      <c r="C331" s="2" t="s">
        <v>490</v>
      </c>
      <c r="D331" s="1" t="s">
        <v>487</v>
      </c>
      <c r="E331" s="3" t="str">
        <f>""</f>
        <v/>
      </c>
      <c r="F331" s="2" t="s">
        <v>52</v>
      </c>
      <c r="G331" s="2" t="str">
        <f t="shared" si="33"/>
        <v>URIHO - ZAGREB, AVENIJA MARINA DRŽIĆA 1, 10000 ZAGREB, OIB: 77931216562</v>
      </c>
      <c r="H331" s="4"/>
      <c r="I331" s="1" t="s">
        <v>440</v>
      </c>
      <c r="J331" s="1" t="s">
        <v>492</v>
      </c>
      <c r="K331" s="6" t="str">
        <f>"9.000,00"</f>
        <v>9.000,00</v>
      </c>
      <c r="L331" s="6" t="str">
        <f>"2.250,00"</f>
        <v>2.250,00</v>
      </c>
      <c r="M331" s="6" t="str">
        <f>"11.250,00"</f>
        <v>11.250,00</v>
      </c>
      <c r="N331" s="5">
        <v>43646</v>
      </c>
      <c r="O331" s="7"/>
      <c r="P331" s="6" t="str">
        <f>"11.250,00"</f>
        <v>11.250,00</v>
      </c>
      <c r="Q331" s="7"/>
      <c r="R331" s="1"/>
      <c r="S331" s="1" t="str">
        <f>"6-19/NOS-20/17-1"</f>
        <v>6-19/NOS-20/17-1</v>
      </c>
      <c r="T331" s="2" t="s">
        <v>33</v>
      </c>
    </row>
    <row r="332" spans="1:20" ht="38.25" x14ac:dyDescent="0.25">
      <c r="A332" s="1">
        <v>328</v>
      </c>
      <c r="B332" s="1" t="str">
        <f t="shared" si="32"/>
        <v>2017-442</v>
      </c>
      <c r="C332" s="2" t="s">
        <v>486</v>
      </c>
      <c r="D332" s="1" t="s">
        <v>487</v>
      </c>
      <c r="E332" s="3" t="str">
        <f>""</f>
        <v/>
      </c>
      <c r="F332" s="2" t="s">
        <v>27</v>
      </c>
      <c r="G332" s="2" t="str">
        <f t="shared" si="33"/>
        <v>URIHO - ZAGREB, AVENIJA MARINA DRŽIĆA 1, 10000 ZAGREB, OIB: 77931216562</v>
      </c>
      <c r="H332" s="4"/>
      <c r="I332" s="1" t="s">
        <v>398</v>
      </c>
      <c r="J332" s="1" t="s">
        <v>140</v>
      </c>
      <c r="K332" s="6" t="str">
        <f>"20.069,93"</f>
        <v>20.069,93</v>
      </c>
      <c r="L332" s="6" t="str">
        <f>"5.017,48"</f>
        <v>5.017,48</v>
      </c>
      <c r="M332" s="6" t="str">
        <f>"25.087,41"</f>
        <v>25.087,41</v>
      </c>
      <c r="N332" s="5">
        <v>43630</v>
      </c>
      <c r="O332" s="7"/>
      <c r="P332" s="6" t="str">
        <f>"22.887,41"</f>
        <v>22.887,41</v>
      </c>
      <c r="Q332" s="7"/>
      <c r="R332" s="1"/>
      <c r="S332" s="1" t="str">
        <f>"35-18/NOS-20/17"</f>
        <v>35-18/NOS-20/17</v>
      </c>
      <c r="T332" s="2" t="s">
        <v>26</v>
      </c>
    </row>
    <row r="333" spans="1:20" ht="38.25" x14ac:dyDescent="0.25">
      <c r="A333" s="1">
        <v>329</v>
      </c>
      <c r="B333" s="1" t="str">
        <f t="shared" si="32"/>
        <v>2017-442</v>
      </c>
      <c r="C333" s="2" t="s">
        <v>486</v>
      </c>
      <c r="D333" s="1" t="s">
        <v>487</v>
      </c>
      <c r="E333" s="3" t="str">
        <f>""</f>
        <v/>
      </c>
      <c r="F333" s="2" t="s">
        <v>27</v>
      </c>
      <c r="G333" s="2" t="str">
        <f t="shared" si="33"/>
        <v>URIHO - ZAGREB, AVENIJA MARINA DRŽIĆA 1, 10000 ZAGREB, OIB: 77931216562</v>
      </c>
      <c r="H333" s="4"/>
      <c r="I333" s="1" t="s">
        <v>71</v>
      </c>
      <c r="J333" s="1" t="s">
        <v>64</v>
      </c>
      <c r="K333" s="6" t="str">
        <f>"356.639,00"</f>
        <v>356.639,00</v>
      </c>
      <c r="L333" s="6" t="str">
        <f>"89.159,75"</f>
        <v>89.159,75</v>
      </c>
      <c r="M333" s="6" t="str">
        <f>"445.798,75"</f>
        <v>445.798,75</v>
      </c>
      <c r="N333" s="5">
        <v>43676</v>
      </c>
      <c r="O333" s="7"/>
      <c r="P333" s="6" t="str">
        <f>"355.878,75"</f>
        <v>355.878,75</v>
      </c>
      <c r="Q333" s="7"/>
      <c r="R333" s="1"/>
      <c r="S333" s="1" t="str">
        <f>"1-19/NOS-20/17"</f>
        <v>1-19/NOS-20/17</v>
      </c>
      <c r="T333" s="2" t="s">
        <v>167</v>
      </c>
    </row>
    <row r="334" spans="1:20" ht="63.75" x14ac:dyDescent="0.25">
      <c r="A334" s="1">
        <v>330</v>
      </c>
      <c r="B334" s="1" t="str">
        <f t="shared" si="32"/>
        <v>2017-442</v>
      </c>
      <c r="C334" s="2" t="s">
        <v>486</v>
      </c>
      <c r="D334" s="1" t="s">
        <v>487</v>
      </c>
      <c r="E334" s="3" t="str">
        <f>""</f>
        <v/>
      </c>
      <c r="F334" s="2" t="s">
        <v>27</v>
      </c>
      <c r="G334" s="2" t="str">
        <f t="shared" si="33"/>
        <v>URIHO - ZAGREB, AVENIJA MARINA DRŽIĆA 1, 10000 ZAGREB, OIB: 77931216562</v>
      </c>
      <c r="H334" s="4"/>
      <c r="I334" s="1" t="s">
        <v>493</v>
      </c>
      <c r="J334" s="1" t="s">
        <v>355</v>
      </c>
      <c r="K334" s="6" t="str">
        <f>"103.290,00"</f>
        <v>103.290,00</v>
      </c>
      <c r="L334" s="6" t="str">
        <f>"25.822,50"</f>
        <v>25.822,50</v>
      </c>
      <c r="M334" s="6" t="str">
        <f>"129.112,50"</f>
        <v>129.112,50</v>
      </c>
      <c r="N334" s="5">
        <v>43616</v>
      </c>
      <c r="O334" s="7"/>
      <c r="P334" s="6" t="str">
        <f>"126.612,50"</f>
        <v>126.612,50</v>
      </c>
      <c r="Q334" s="7"/>
      <c r="R334" s="1"/>
      <c r="S334" s="1" t="str">
        <f>"2-19/NOS-20/17"</f>
        <v>2-19/NOS-20/17</v>
      </c>
      <c r="T334" s="2" t="s">
        <v>79</v>
      </c>
    </row>
    <row r="335" spans="1:20" ht="63.75" x14ac:dyDescent="0.25">
      <c r="A335" s="1">
        <v>331</v>
      </c>
      <c r="B335" s="1" t="str">
        <f t="shared" si="32"/>
        <v>2017-442</v>
      </c>
      <c r="C335" s="2" t="s">
        <v>486</v>
      </c>
      <c r="D335" s="1" t="s">
        <v>487</v>
      </c>
      <c r="E335" s="3" t="str">
        <f>""</f>
        <v/>
      </c>
      <c r="F335" s="2" t="s">
        <v>27</v>
      </c>
      <c r="G335" s="2" t="str">
        <f t="shared" si="33"/>
        <v>URIHO - ZAGREB, AVENIJA MARINA DRŽIĆA 1, 10000 ZAGREB, OIB: 77931216562</v>
      </c>
      <c r="H335" s="4"/>
      <c r="I335" s="1" t="s">
        <v>494</v>
      </c>
      <c r="J335" s="1" t="s">
        <v>456</v>
      </c>
      <c r="K335" s="6" t="str">
        <f>"66.662,00"</f>
        <v>66.662,00</v>
      </c>
      <c r="L335" s="6" t="str">
        <f>"16.665,50"</f>
        <v>16.665,50</v>
      </c>
      <c r="M335" s="6" t="str">
        <f>"83.327,50"</f>
        <v>83.327,50</v>
      </c>
      <c r="N335" s="5">
        <v>43657</v>
      </c>
      <c r="O335" s="7"/>
      <c r="P335" s="6" t="str">
        <f>"83.327,50"</f>
        <v>83.327,50</v>
      </c>
      <c r="Q335" s="7"/>
      <c r="R335" s="1"/>
      <c r="S335" s="1" t="str">
        <f>"3-19/NOS-20/17"</f>
        <v>3-19/NOS-20/17</v>
      </c>
      <c r="T335" s="2" t="s">
        <v>79</v>
      </c>
    </row>
    <row r="336" spans="1:20" ht="63.75" x14ac:dyDescent="0.25">
      <c r="A336" s="1">
        <v>332</v>
      </c>
      <c r="B336" s="1" t="str">
        <f t="shared" si="32"/>
        <v>2017-442</v>
      </c>
      <c r="C336" s="2" t="s">
        <v>486</v>
      </c>
      <c r="D336" s="1" t="s">
        <v>487</v>
      </c>
      <c r="E336" s="3" t="str">
        <f>""</f>
        <v/>
      </c>
      <c r="F336" s="2" t="s">
        <v>27</v>
      </c>
      <c r="G336" s="2" t="str">
        <f t="shared" si="33"/>
        <v>URIHO - ZAGREB, AVENIJA MARINA DRŽIĆA 1, 10000 ZAGREB, OIB: 77931216562</v>
      </c>
      <c r="H336" s="4"/>
      <c r="I336" s="1" t="s">
        <v>435</v>
      </c>
      <c r="J336" s="1" t="s">
        <v>457</v>
      </c>
      <c r="K336" s="6" t="str">
        <f>"91.719,93"</f>
        <v>91.719,93</v>
      </c>
      <c r="L336" s="6" t="str">
        <f>"22.929,98"</f>
        <v>22.929,98</v>
      </c>
      <c r="M336" s="6" t="str">
        <f>"114.649,91"</f>
        <v>114.649,91</v>
      </c>
      <c r="N336" s="5">
        <v>43664</v>
      </c>
      <c r="O336" s="7"/>
      <c r="P336" s="6" t="str">
        <f>"109.899,91"</f>
        <v>109.899,91</v>
      </c>
      <c r="Q336" s="7"/>
      <c r="R336" s="1"/>
      <c r="S336" s="1" t="str">
        <f>"4-19/NOS-20/17"</f>
        <v>4-19/NOS-20/17</v>
      </c>
      <c r="T336" s="2" t="s">
        <v>79</v>
      </c>
    </row>
    <row r="337" spans="1:20" ht="51" x14ac:dyDescent="0.25">
      <c r="A337" s="1">
        <v>333</v>
      </c>
      <c r="B337" s="1" t="str">
        <f t="shared" si="32"/>
        <v>2017-442</v>
      </c>
      <c r="C337" s="2" t="s">
        <v>490</v>
      </c>
      <c r="D337" s="1" t="s">
        <v>487</v>
      </c>
      <c r="E337" s="3" t="str">
        <f>""</f>
        <v/>
      </c>
      <c r="F337" s="2" t="s">
        <v>52</v>
      </c>
      <c r="G337" s="2" t="str">
        <f t="shared" si="33"/>
        <v>URIHO - ZAGREB, AVENIJA MARINA DRŽIĆA 1, 10000 ZAGREB, OIB: 77931216562</v>
      </c>
      <c r="H337" s="4"/>
      <c r="I337" s="1" t="s">
        <v>440</v>
      </c>
      <c r="J337" s="1" t="s">
        <v>495</v>
      </c>
      <c r="K337" s="6" t="str">
        <f>""</f>
        <v/>
      </c>
      <c r="L337" s="6" t="str">
        <f>"0,00"</f>
        <v>0,00</v>
      </c>
      <c r="M337" s="6" t="str">
        <f>"0,00"</f>
        <v>0,00</v>
      </c>
      <c r="N337" s="1" t="s">
        <v>117</v>
      </c>
      <c r="O337" s="7"/>
      <c r="P337" s="6" t="str">
        <f>""</f>
        <v/>
      </c>
      <c r="Q337" s="7"/>
      <c r="R337" s="1"/>
      <c r="S337" s="1" t="str">
        <f>"4-19/NOS-20/17#1"</f>
        <v>4-19/NOS-20/17#1</v>
      </c>
      <c r="T337" s="2" t="s">
        <v>60</v>
      </c>
    </row>
    <row r="338" spans="1:20" ht="63.75" x14ac:dyDescent="0.25">
      <c r="A338" s="1">
        <v>334</v>
      </c>
      <c r="B338" s="1" t="str">
        <f t="shared" si="32"/>
        <v>2017-442</v>
      </c>
      <c r="C338" s="2" t="s">
        <v>486</v>
      </c>
      <c r="D338" s="1" t="s">
        <v>487</v>
      </c>
      <c r="E338" s="3" t="str">
        <f>""</f>
        <v/>
      </c>
      <c r="F338" s="2" t="s">
        <v>27</v>
      </c>
      <c r="G338" s="2" t="str">
        <f t="shared" si="33"/>
        <v>URIHO - ZAGREB, AVENIJA MARINA DRŽIĆA 1, 10000 ZAGREB, OIB: 77931216562</v>
      </c>
      <c r="H338" s="4"/>
      <c r="I338" s="1" t="s">
        <v>269</v>
      </c>
      <c r="J338" s="1" t="s">
        <v>404</v>
      </c>
      <c r="K338" s="6" t="str">
        <f>"49.600,00"</f>
        <v>49.600,00</v>
      </c>
      <c r="L338" s="6" t="str">
        <f>"12.400,00"</f>
        <v>12.400,00</v>
      </c>
      <c r="M338" s="6" t="str">
        <f>"62.000,00"</f>
        <v>62.000,00</v>
      </c>
      <c r="N338" s="5">
        <v>43675</v>
      </c>
      <c r="O338" s="7"/>
      <c r="P338" s="6" t="str">
        <f>"62.000,00"</f>
        <v>62.000,00</v>
      </c>
      <c r="Q338" s="7"/>
      <c r="R338" s="1"/>
      <c r="S338" s="1" t="str">
        <f>"5-19/NOS-20/17"</f>
        <v>5-19/NOS-20/17</v>
      </c>
      <c r="T338" s="2" t="s">
        <v>79</v>
      </c>
    </row>
    <row r="339" spans="1:20" ht="38.25" x14ac:dyDescent="0.25">
      <c r="A339" s="1">
        <v>335</v>
      </c>
      <c r="B339" s="1" t="str">
        <f t="shared" ref="B339:B357" si="34">"2017-386"</f>
        <v>2017-386</v>
      </c>
      <c r="C339" s="2" t="s">
        <v>496</v>
      </c>
      <c r="D339" s="1" t="s">
        <v>497</v>
      </c>
      <c r="E339" s="3" t="str">
        <f>"2017/S 0F2-0011835"</f>
        <v>2017/S 0F2-0011835</v>
      </c>
      <c r="F339" s="2" t="s">
        <v>23</v>
      </c>
      <c r="G339" s="2" t="str">
        <f t="shared" ref="G339:G357" si="35">CONCATENATE("MBM VRTNI CENTAR D.O.O.,"," DOLENICA 8,"," 10250 LUČKO,"," OIB: 19462674595")</f>
        <v>MBM VRTNI CENTAR D.O.O., DOLENICA 8, 10250 LUČKO, OIB: 19462674595</v>
      </c>
      <c r="H339" s="4"/>
      <c r="I339" s="1" t="s">
        <v>473</v>
      </c>
      <c r="J339" s="1" t="s">
        <v>284</v>
      </c>
      <c r="K339" s="6" t="str">
        <f>"450.000,00"</f>
        <v>450.000,00</v>
      </c>
      <c r="L339" s="6" t="str">
        <f>"112.500,00"</f>
        <v>112.500,00</v>
      </c>
      <c r="M339" s="6" t="str">
        <f>"562.500,00"</f>
        <v>562.500,00</v>
      </c>
      <c r="N339" s="7"/>
      <c r="O339" s="7"/>
      <c r="P339" s="6" t="str">
        <f>""</f>
        <v/>
      </c>
      <c r="Q339" s="7"/>
      <c r="R339" s="1"/>
      <c r="S339" s="1" t="str">
        <f>"NOS-22-A/17"</f>
        <v>NOS-22-A/17</v>
      </c>
      <c r="T339" s="2" t="s">
        <v>33</v>
      </c>
    </row>
    <row r="340" spans="1:20" ht="25.5" x14ac:dyDescent="0.25">
      <c r="A340" s="1">
        <v>336</v>
      </c>
      <c r="B340" s="1" t="str">
        <f t="shared" si="34"/>
        <v>2017-386</v>
      </c>
      <c r="C340" s="2" t="s">
        <v>496</v>
      </c>
      <c r="D340" s="1" t="s">
        <v>497</v>
      </c>
      <c r="E340" s="3" t="str">
        <f>""</f>
        <v/>
      </c>
      <c r="F340" s="2" t="s">
        <v>27</v>
      </c>
      <c r="G340" s="2" t="str">
        <f t="shared" si="35"/>
        <v>MBM VRTNI CENTAR D.O.O., DOLENICA 8, 10250 LUČKO, OIB: 19462674595</v>
      </c>
      <c r="H340" s="4"/>
      <c r="I340" s="1" t="s">
        <v>498</v>
      </c>
      <c r="J340" s="1" t="s">
        <v>251</v>
      </c>
      <c r="K340" s="6" t="str">
        <f>"71.680,00"</f>
        <v>71.680,00</v>
      </c>
      <c r="L340" s="6" t="str">
        <f>"17.920,00"</f>
        <v>17.920,00</v>
      </c>
      <c r="M340" s="6" t="str">
        <f>"89.600,00"</f>
        <v>89.600,00</v>
      </c>
      <c r="N340" s="5">
        <v>43529</v>
      </c>
      <c r="O340" s="7"/>
      <c r="P340" s="6" t="str">
        <f>"89.600,00"</f>
        <v>89.600,00</v>
      </c>
      <c r="Q340" s="7"/>
      <c r="R340" s="1"/>
      <c r="S340" s="1" t="str">
        <f>"1-19/NOS-22-A/17"</f>
        <v>1-19/NOS-22-A/17</v>
      </c>
      <c r="T340" s="2" t="s">
        <v>33</v>
      </c>
    </row>
    <row r="341" spans="1:20" ht="25.5" x14ac:dyDescent="0.25">
      <c r="A341" s="1">
        <v>337</v>
      </c>
      <c r="B341" s="1" t="str">
        <f t="shared" si="34"/>
        <v>2017-386</v>
      </c>
      <c r="C341" s="2" t="s">
        <v>496</v>
      </c>
      <c r="D341" s="1" t="s">
        <v>497</v>
      </c>
      <c r="E341" s="3" t="str">
        <f>""</f>
        <v/>
      </c>
      <c r="F341" s="2" t="s">
        <v>27</v>
      </c>
      <c r="G341" s="2" t="str">
        <f t="shared" si="35"/>
        <v>MBM VRTNI CENTAR D.O.O., DOLENICA 8, 10250 LUČKO, OIB: 19462674595</v>
      </c>
      <c r="H341" s="4"/>
      <c r="I341" s="1" t="s">
        <v>332</v>
      </c>
      <c r="J341" s="1" t="s">
        <v>251</v>
      </c>
      <c r="K341" s="6" t="str">
        <f>"21.100,00"</f>
        <v>21.100,00</v>
      </c>
      <c r="L341" s="6" t="str">
        <f>"5.275,00"</f>
        <v>5.275,00</v>
      </c>
      <c r="M341" s="6" t="str">
        <f>"26.375,00"</f>
        <v>26.375,00</v>
      </c>
      <c r="N341" s="5">
        <v>43553</v>
      </c>
      <c r="O341" s="7"/>
      <c r="P341" s="6" t="str">
        <f>"26.375,00"</f>
        <v>26.375,00</v>
      </c>
      <c r="Q341" s="7"/>
      <c r="R341" s="1"/>
      <c r="S341" s="1" t="str">
        <f>"2-19/NOS-22-A/17"</f>
        <v>2-19/NOS-22-A/17</v>
      </c>
      <c r="T341" s="2" t="s">
        <v>33</v>
      </c>
    </row>
    <row r="342" spans="1:20" ht="25.5" x14ac:dyDescent="0.25">
      <c r="A342" s="1">
        <v>338</v>
      </c>
      <c r="B342" s="1" t="str">
        <f t="shared" si="34"/>
        <v>2017-386</v>
      </c>
      <c r="C342" s="2" t="s">
        <v>496</v>
      </c>
      <c r="D342" s="1" t="s">
        <v>497</v>
      </c>
      <c r="E342" s="3" t="str">
        <f>""</f>
        <v/>
      </c>
      <c r="F342" s="2" t="s">
        <v>27</v>
      </c>
      <c r="G342" s="2" t="str">
        <f t="shared" si="35"/>
        <v>MBM VRTNI CENTAR D.O.O., DOLENICA 8, 10250 LUČKO, OIB: 19462674595</v>
      </c>
      <c r="H342" s="4"/>
      <c r="I342" s="1" t="s">
        <v>402</v>
      </c>
      <c r="J342" s="1" t="s">
        <v>251</v>
      </c>
      <c r="K342" s="6" t="str">
        <f>"20.760,00"</f>
        <v>20.760,00</v>
      </c>
      <c r="L342" s="6" t="str">
        <f>"5.190,00"</f>
        <v>5.190,00</v>
      </c>
      <c r="M342" s="6" t="str">
        <f>"25.950,00"</f>
        <v>25.950,00</v>
      </c>
      <c r="N342" s="5">
        <v>43585</v>
      </c>
      <c r="O342" s="7"/>
      <c r="P342" s="6" t="str">
        <f>"25.950,00"</f>
        <v>25.950,00</v>
      </c>
      <c r="Q342" s="7"/>
      <c r="R342" s="1"/>
      <c r="S342" s="1" t="str">
        <f>"3-19/NOS-22-A/17"</f>
        <v>3-19/NOS-22-A/17</v>
      </c>
      <c r="T342" s="2" t="s">
        <v>33</v>
      </c>
    </row>
    <row r="343" spans="1:20" ht="38.25" x14ac:dyDescent="0.25">
      <c r="A343" s="1">
        <v>339</v>
      </c>
      <c r="B343" s="1" t="str">
        <f t="shared" si="34"/>
        <v>2017-386</v>
      </c>
      <c r="C343" s="2" t="s">
        <v>496</v>
      </c>
      <c r="D343" s="1" t="s">
        <v>497</v>
      </c>
      <c r="E343" s="3" t="str">
        <f>"2017/S 0F2-0011835"</f>
        <v>2017/S 0F2-0011835</v>
      </c>
      <c r="F343" s="2" t="s">
        <v>23</v>
      </c>
      <c r="G343" s="2" t="str">
        <f t="shared" si="35"/>
        <v>MBM VRTNI CENTAR D.O.O., DOLENICA 8, 10250 LUČKO, OIB: 19462674595</v>
      </c>
      <c r="H343" s="4"/>
      <c r="I343" s="1" t="s">
        <v>473</v>
      </c>
      <c r="J343" s="1" t="s">
        <v>284</v>
      </c>
      <c r="K343" s="6" t="str">
        <f>"450.000,00"</f>
        <v>450.000,00</v>
      </c>
      <c r="L343" s="6" t="str">
        <f>"112.500,00"</f>
        <v>112.500,00</v>
      </c>
      <c r="M343" s="6" t="str">
        <f>"562.500,00"</f>
        <v>562.500,00</v>
      </c>
      <c r="N343" s="7"/>
      <c r="O343" s="7"/>
      <c r="P343" s="6" t="str">
        <f>""</f>
        <v/>
      </c>
      <c r="Q343" s="7"/>
      <c r="R343" s="1"/>
      <c r="S343" s="1" t="str">
        <f>"NOS-22-B/17"</f>
        <v>NOS-22-B/17</v>
      </c>
      <c r="T343" s="2" t="s">
        <v>33</v>
      </c>
    </row>
    <row r="344" spans="1:20" ht="25.5" x14ac:dyDescent="0.25">
      <c r="A344" s="1">
        <v>340</v>
      </c>
      <c r="B344" s="1" t="str">
        <f t="shared" si="34"/>
        <v>2017-386</v>
      </c>
      <c r="C344" s="2" t="s">
        <v>496</v>
      </c>
      <c r="D344" s="1" t="s">
        <v>497</v>
      </c>
      <c r="E344" s="3" t="str">
        <f>""</f>
        <v/>
      </c>
      <c r="F344" s="2" t="s">
        <v>27</v>
      </c>
      <c r="G344" s="2" t="str">
        <f t="shared" si="35"/>
        <v>MBM VRTNI CENTAR D.O.O., DOLENICA 8, 10250 LUČKO, OIB: 19462674595</v>
      </c>
      <c r="H344" s="4"/>
      <c r="I344" s="1" t="s">
        <v>280</v>
      </c>
      <c r="J344" s="1" t="s">
        <v>251</v>
      </c>
      <c r="K344" s="6" t="str">
        <f>"3.600,00"</f>
        <v>3.600,00</v>
      </c>
      <c r="L344" s="6" t="str">
        <f>"0,00"</f>
        <v>0,00</v>
      </c>
      <c r="M344" s="6" t="str">
        <f>"0,00"</f>
        <v>0,00</v>
      </c>
      <c r="N344" s="1" t="s">
        <v>117</v>
      </c>
      <c r="O344" s="7"/>
      <c r="P344" s="6" t="str">
        <f>"0,00"</f>
        <v>0,00</v>
      </c>
      <c r="Q344" s="7"/>
      <c r="R344" s="1"/>
      <c r="S344" s="1" t="str">
        <f>"1-19/NOS-22-B/17"</f>
        <v>1-19/NOS-22-B/17</v>
      </c>
      <c r="T344" s="2" t="s">
        <v>33</v>
      </c>
    </row>
    <row r="345" spans="1:20" ht="25.5" x14ac:dyDescent="0.25">
      <c r="A345" s="1">
        <v>341</v>
      </c>
      <c r="B345" s="1" t="str">
        <f t="shared" si="34"/>
        <v>2017-386</v>
      </c>
      <c r="C345" s="2" t="s">
        <v>496</v>
      </c>
      <c r="D345" s="1" t="s">
        <v>497</v>
      </c>
      <c r="E345" s="3" t="str">
        <f>""</f>
        <v/>
      </c>
      <c r="F345" s="2" t="s">
        <v>27</v>
      </c>
      <c r="G345" s="2" t="str">
        <f t="shared" si="35"/>
        <v>MBM VRTNI CENTAR D.O.O., DOLENICA 8, 10250 LUČKO, OIB: 19462674595</v>
      </c>
      <c r="H345" s="4"/>
      <c r="I345" s="1" t="s">
        <v>493</v>
      </c>
      <c r="J345" s="1" t="s">
        <v>251</v>
      </c>
      <c r="K345" s="6" t="str">
        <f>"11.150,00"</f>
        <v>11.150,00</v>
      </c>
      <c r="L345" s="6" t="str">
        <f>"2.755,00"</f>
        <v>2.755,00</v>
      </c>
      <c r="M345" s="6" t="str">
        <f>"13.775,00"</f>
        <v>13.775,00</v>
      </c>
      <c r="N345" s="5">
        <v>43540</v>
      </c>
      <c r="O345" s="7"/>
      <c r="P345" s="6" t="str">
        <f>"13.775,00"</f>
        <v>13.775,00</v>
      </c>
      <c r="Q345" s="7"/>
      <c r="R345" s="1"/>
      <c r="S345" s="1" t="str">
        <f>"2-19/NOS-22-B/17"</f>
        <v>2-19/NOS-22-B/17</v>
      </c>
      <c r="T345" s="2" t="s">
        <v>33</v>
      </c>
    </row>
    <row r="346" spans="1:20" ht="25.5" x14ac:dyDescent="0.25">
      <c r="A346" s="1">
        <v>342</v>
      </c>
      <c r="B346" s="1" t="str">
        <f t="shared" si="34"/>
        <v>2017-386</v>
      </c>
      <c r="C346" s="2" t="s">
        <v>496</v>
      </c>
      <c r="D346" s="1" t="s">
        <v>497</v>
      </c>
      <c r="E346" s="3" t="str">
        <f>""</f>
        <v/>
      </c>
      <c r="F346" s="2" t="s">
        <v>27</v>
      </c>
      <c r="G346" s="2" t="str">
        <f t="shared" si="35"/>
        <v>MBM VRTNI CENTAR D.O.O., DOLENICA 8, 10250 LUČKO, OIB: 19462674595</v>
      </c>
      <c r="H346" s="4"/>
      <c r="I346" s="1" t="s">
        <v>498</v>
      </c>
      <c r="J346" s="1" t="s">
        <v>251</v>
      </c>
      <c r="K346" s="6" t="str">
        <f>"29.650,00"</f>
        <v>29.650,00</v>
      </c>
      <c r="L346" s="6" t="str">
        <f>"7.412,50"</f>
        <v>7.412,50</v>
      </c>
      <c r="M346" s="6" t="str">
        <f>"37.062,50"</f>
        <v>37.062,50</v>
      </c>
      <c r="N346" s="5">
        <v>43531</v>
      </c>
      <c r="O346" s="7"/>
      <c r="P346" s="6" t="str">
        <f>"37.062,50"</f>
        <v>37.062,50</v>
      </c>
      <c r="Q346" s="7"/>
      <c r="R346" s="1"/>
      <c r="S346" s="1" t="str">
        <f>"3-19/NOS-22-B/17"</f>
        <v>3-19/NOS-22-B/17</v>
      </c>
      <c r="T346" s="2" t="s">
        <v>33</v>
      </c>
    </row>
    <row r="347" spans="1:20" ht="25.5" x14ac:dyDescent="0.25">
      <c r="A347" s="1">
        <v>343</v>
      </c>
      <c r="B347" s="1" t="str">
        <f t="shared" si="34"/>
        <v>2017-386</v>
      </c>
      <c r="C347" s="2" t="s">
        <v>496</v>
      </c>
      <c r="D347" s="1" t="s">
        <v>497</v>
      </c>
      <c r="E347" s="3" t="str">
        <f>""</f>
        <v/>
      </c>
      <c r="F347" s="2" t="s">
        <v>27</v>
      </c>
      <c r="G347" s="2" t="str">
        <f t="shared" si="35"/>
        <v>MBM VRTNI CENTAR D.O.O., DOLENICA 8, 10250 LUČKO, OIB: 19462674595</v>
      </c>
      <c r="H347" s="4"/>
      <c r="I347" s="1" t="s">
        <v>332</v>
      </c>
      <c r="J347" s="1" t="s">
        <v>251</v>
      </c>
      <c r="K347" s="6" t="str">
        <f>"1.500,00"</f>
        <v>1.500,00</v>
      </c>
      <c r="L347" s="6" t="str">
        <f>"375,00"</f>
        <v>375,00</v>
      </c>
      <c r="M347" s="6" t="str">
        <f>"1.875,00"</f>
        <v>1.875,00</v>
      </c>
      <c r="N347" s="5">
        <v>43553</v>
      </c>
      <c r="O347" s="7"/>
      <c r="P347" s="6" t="str">
        <f>"1.875,00"</f>
        <v>1.875,00</v>
      </c>
      <c r="Q347" s="7"/>
      <c r="R347" s="1"/>
      <c r="S347" s="1" t="str">
        <f>"4-19/NOS-22-B/17"</f>
        <v>4-19/NOS-22-B/17</v>
      </c>
      <c r="T347" s="2" t="s">
        <v>33</v>
      </c>
    </row>
    <row r="348" spans="1:20" ht="25.5" x14ac:dyDescent="0.25">
      <c r="A348" s="1">
        <v>344</v>
      </c>
      <c r="B348" s="1" t="str">
        <f t="shared" si="34"/>
        <v>2017-386</v>
      </c>
      <c r="C348" s="2" t="s">
        <v>496</v>
      </c>
      <c r="D348" s="1" t="s">
        <v>497</v>
      </c>
      <c r="E348" s="3" t="str">
        <f>""</f>
        <v/>
      </c>
      <c r="F348" s="2" t="s">
        <v>27</v>
      </c>
      <c r="G348" s="2" t="str">
        <f t="shared" si="35"/>
        <v>MBM VRTNI CENTAR D.O.O., DOLENICA 8, 10250 LUČKO, OIB: 19462674595</v>
      </c>
      <c r="H348" s="4"/>
      <c r="I348" s="1" t="s">
        <v>372</v>
      </c>
      <c r="J348" s="1" t="s">
        <v>140</v>
      </c>
      <c r="K348" s="6" t="str">
        <f>"39.720,00"</f>
        <v>39.720,00</v>
      </c>
      <c r="L348" s="6" t="str">
        <f>"9.930,00"</f>
        <v>9.930,00</v>
      </c>
      <c r="M348" s="6" t="str">
        <f>"49.650,00"</f>
        <v>49.650,00</v>
      </c>
      <c r="N348" s="5">
        <v>43518</v>
      </c>
      <c r="O348" s="7"/>
      <c r="P348" s="6" t="str">
        <f>"50.770,00"</f>
        <v>50.770,00</v>
      </c>
      <c r="Q348" s="7"/>
      <c r="R348" s="1"/>
      <c r="S348" s="1" t="str">
        <f>"4-18/NOS-22-B/17"</f>
        <v>4-18/NOS-22-B/17</v>
      </c>
      <c r="T348" s="2" t="s">
        <v>33</v>
      </c>
    </row>
    <row r="349" spans="1:20" ht="38.25" x14ac:dyDescent="0.25">
      <c r="A349" s="1">
        <v>345</v>
      </c>
      <c r="B349" s="1" t="str">
        <f t="shared" si="34"/>
        <v>2017-386</v>
      </c>
      <c r="C349" s="2" t="s">
        <v>496</v>
      </c>
      <c r="D349" s="1" t="s">
        <v>497</v>
      </c>
      <c r="E349" s="3" t="str">
        <f>"2017/S 0F2-0011835"</f>
        <v>2017/S 0F2-0011835</v>
      </c>
      <c r="F349" s="2" t="s">
        <v>23</v>
      </c>
      <c r="G349" s="2" t="str">
        <f t="shared" si="35"/>
        <v>MBM VRTNI CENTAR D.O.O., DOLENICA 8, 10250 LUČKO, OIB: 19462674595</v>
      </c>
      <c r="H349" s="4"/>
      <c r="I349" s="1" t="s">
        <v>473</v>
      </c>
      <c r="J349" s="1" t="s">
        <v>284</v>
      </c>
      <c r="K349" s="6" t="str">
        <f>"500.000,00"</f>
        <v>500.000,00</v>
      </c>
      <c r="L349" s="6" t="str">
        <f>"125.000,00"</f>
        <v>125.000,00</v>
      </c>
      <c r="M349" s="6" t="str">
        <f>"625.000,00"</f>
        <v>625.000,00</v>
      </c>
      <c r="N349" s="7"/>
      <c r="O349" s="7"/>
      <c r="P349" s="6" t="str">
        <f>""</f>
        <v/>
      </c>
      <c r="Q349" s="7"/>
      <c r="R349" s="1"/>
      <c r="S349" s="1" t="str">
        <f>"NOS-22-C/17"</f>
        <v>NOS-22-C/17</v>
      </c>
      <c r="T349" s="2" t="s">
        <v>33</v>
      </c>
    </row>
    <row r="350" spans="1:20" ht="25.5" x14ac:dyDescent="0.25">
      <c r="A350" s="1">
        <v>346</v>
      </c>
      <c r="B350" s="1" t="str">
        <f t="shared" si="34"/>
        <v>2017-386</v>
      </c>
      <c r="C350" s="2" t="s">
        <v>496</v>
      </c>
      <c r="D350" s="1" t="s">
        <v>497</v>
      </c>
      <c r="E350" s="3" t="str">
        <f>""</f>
        <v/>
      </c>
      <c r="F350" s="2" t="s">
        <v>27</v>
      </c>
      <c r="G350" s="2" t="str">
        <f t="shared" si="35"/>
        <v>MBM VRTNI CENTAR D.O.O., DOLENICA 8, 10250 LUČKO, OIB: 19462674595</v>
      </c>
      <c r="H350" s="4"/>
      <c r="I350" s="1" t="s">
        <v>286</v>
      </c>
      <c r="J350" s="1" t="s">
        <v>251</v>
      </c>
      <c r="K350" s="6" t="str">
        <f>"14.720,00"</f>
        <v>14.720,00</v>
      </c>
      <c r="L350" s="6" t="str">
        <f>"3.622,50"</f>
        <v>3.622,50</v>
      </c>
      <c r="M350" s="6" t="str">
        <f>"18.112,50"</f>
        <v>18.112,50</v>
      </c>
      <c r="N350" s="5">
        <v>43558</v>
      </c>
      <c r="O350" s="7"/>
      <c r="P350" s="6" t="str">
        <f>"18.112,50"</f>
        <v>18.112,50</v>
      </c>
      <c r="Q350" s="7"/>
      <c r="R350" s="1"/>
      <c r="S350" s="1" t="str">
        <f>"1-19/NOS-22-C/17"</f>
        <v>1-19/NOS-22-C/17</v>
      </c>
      <c r="T350" s="2" t="s">
        <v>33</v>
      </c>
    </row>
    <row r="351" spans="1:20" ht="25.5" x14ac:dyDescent="0.25">
      <c r="A351" s="1">
        <v>347</v>
      </c>
      <c r="B351" s="1" t="str">
        <f t="shared" si="34"/>
        <v>2017-386</v>
      </c>
      <c r="C351" s="2" t="s">
        <v>496</v>
      </c>
      <c r="D351" s="1" t="s">
        <v>497</v>
      </c>
      <c r="E351" s="3" t="str">
        <f>""</f>
        <v/>
      </c>
      <c r="F351" s="2" t="s">
        <v>27</v>
      </c>
      <c r="G351" s="2" t="str">
        <f t="shared" si="35"/>
        <v>MBM VRTNI CENTAR D.O.O., DOLENICA 8, 10250 LUČKO, OIB: 19462674595</v>
      </c>
      <c r="H351" s="4"/>
      <c r="I351" s="1" t="s">
        <v>308</v>
      </c>
      <c r="J351" s="1" t="s">
        <v>251</v>
      </c>
      <c r="K351" s="6" t="str">
        <f>"21.812,00"</f>
        <v>21.812,00</v>
      </c>
      <c r="L351" s="6" t="str">
        <f>"5.411,68"</f>
        <v>5.411,68</v>
      </c>
      <c r="M351" s="6" t="str">
        <f>"27.058,38"</f>
        <v>27.058,38</v>
      </c>
      <c r="N351" s="5">
        <v>43535</v>
      </c>
      <c r="O351" s="7"/>
      <c r="P351" s="6" t="str">
        <f>"27.058,38"</f>
        <v>27.058,38</v>
      </c>
      <c r="Q351" s="7"/>
      <c r="R351" s="1"/>
      <c r="S351" s="1" t="str">
        <f>"2-19/NOS-22-C/17"</f>
        <v>2-19/NOS-22-C/17</v>
      </c>
      <c r="T351" s="2" t="s">
        <v>33</v>
      </c>
    </row>
    <row r="352" spans="1:20" ht="25.5" x14ac:dyDescent="0.25">
      <c r="A352" s="1">
        <v>348</v>
      </c>
      <c r="B352" s="1" t="str">
        <f t="shared" si="34"/>
        <v>2017-386</v>
      </c>
      <c r="C352" s="2" t="s">
        <v>496</v>
      </c>
      <c r="D352" s="1" t="s">
        <v>497</v>
      </c>
      <c r="E352" s="3" t="str">
        <f>""</f>
        <v/>
      </c>
      <c r="F352" s="2" t="s">
        <v>27</v>
      </c>
      <c r="G352" s="2" t="str">
        <f t="shared" si="35"/>
        <v>MBM VRTNI CENTAR D.O.O., DOLENICA 8, 10250 LUČKO, OIB: 19462674595</v>
      </c>
      <c r="H352" s="4"/>
      <c r="I352" s="1" t="s">
        <v>493</v>
      </c>
      <c r="J352" s="1" t="s">
        <v>251</v>
      </c>
      <c r="K352" s="6" t="str">
        <f>"3.146,40"</f>
        <v>3.146,40</v>
      </c>
      <c r="L352" s="6" t="str">
        <f>"786,60"</f>
        <v>786,60</v>
      </c>
      <c r="M352" s="6" t="str">
        <f>"3.933,00"</f>
        <v>3.933,00</v>
      </c>
      <c r="N352" s="5">
        <v>43525</v>
      </c>
      <c r="O352" s="7"/>
      <c r="P352" s="6" t="str">
        <f>"3.933,00"</f>
        <v>3.933,00</v>
      </c>
      <c r="Q352" s="7"/>
      <c r="R352" s="1"/>
      <c r="S352" s="1" t="str">
        <f>"3-19/NOS-22-C/17"</f>
        <v>3-19/NOS-22-C/17</v>
      </c>
      <c r="T352" s="2" t="s">
        <v>33</v>
      </c>
    </row>
    <row r="353" spans="1:20" ht="25.5" x14ac:dyDescent="0.25">
      <c r="A353" s="1">
        <v>349</v>
      </c>
      <c r="B353" s="1" t="str">
        <f t="shared" si="34"/>
        <v>2017-386</v>
      </c>
      <c r="C353" s="2" t="s">
        <v>496</v>
      </c>
      <c r="D353" s="1" t="s">
        <v>497</v>
      </c>
      <c r="E353" s="3" t="str">
        <f>""</f>
        <v/>
      </c>
      <c r="F353" s="2" t="s">
        <v>27</v>
      </c>
      <c r="G353" s="2" t="str">
        <f t="shared" si="35"/>
        <v>MBM VRTNI CENTAR D.O.O., DOLENICA 8, 10250 LUČKO, OIB: 19462674595</v>
      </c>
      <c r="H353" s="4"/>
      <c r="I353" s="1" t="s">
        <v>332</v>
      </c>
      <c r="J353" s="1" t="s">
        <v>251</v>
      </c>
      <c r="K353" s="6" t="str">
        <f>"6.032,00"</f>
        <v>6.032,00</v>
      </c>
      <c r="L353" s="6" t="str">
        <f>"1.508,00"</f>
        <v>1.508,00</v>
      </c>
      <c r="M353" s="6" t="str">
        <f>"7.540,00"</f>
        <v>7.540,00</v>
      </c>
      <c r="N353" s="5">
        <v>43553</v>
      </c>
      <c r="O353" s="7"/>
      <c r="P353" s="6" t="str">
        <f>"7.540,00"</f>
        <v>7.540,00</v>
      </c>
      <c r="Q353" s="7"/>
      <c r="R353" s="1"/>
      <c r="S353" s="1" t="str">
        <f>"4-19/NOS-22-C/17"</f>
        <v>4-19/NOS-22-C/17</v>
      </c>
      <c r="T353" s="2" t="s">
        <v>33</v>
      </c>
    </row>
    <row r="354" spans="1:20" ht="25.5" x14ac:dyDescent="0.25">
      <c r="A354" s="1">
        <v>350</v>
      </c>
      <c r="B354" s="1" t="str">
        <f t="shared" si="34"/>
        <v>2017-386</v>
      </c>
      <c r="C354" s="2" t="s">
        <v>496</v>
      </c>
      <c r="D354" s="1" t="s">
        <v>497</v>
      </c>
      <c r="E354" s="3" t="str">
        <f>""</f>
        <v/>
      </c>
      <c r="F354" s="2" t="s">
        <v>27</v>
      </c>
      <c r="G354" s="2" t="str">
        <f t="shared" si="35"/>
        <v>MBM VRTNI CENTAR D.O.O., DOLENICA 8, 10250 LUČKO, OIB: 19462674595</v>
      </c>
      <c r="H354" s="4"/>
      <c r="I354" s="1" t="s">
        <v>25</v>
      </c>
      <c r="J354" s="1" t="s">
        <v>251</v>
      </c>
      <c r="K354" s="6" t="str">
        <f>"22.164,20"</f>
        <v>22.164,20</v>
      </c>
      <c r="L354" s="6" t="str">
        <f>"5.803,55"</f>
        <v>5.803,55</v>
      </c>
      <c r="M354" s="6" t="str">
        <f>"29.017,75"</f>
        <v>29.017,75</v>
      </c>
      <c r="N354" s="5">
        <v>43571</v>
      </c>
      <c r="O354" s="7"/>
      <c r="P354" s="6" t="str">
        <f>"29.017,75"</f>
        <v>29.017,75</v>
      </c>
      <c r="Q354" s="7"/>
      <c r="R354" s="1"/>
      <c r="S354" s="1" t="str">
        <f>"5-19/NOS-22-C/17"</f>
        <v>5-19/NOS-22-C/17</v>
      </c>
      <c r="T354" s="2" t="s">
        <v>33</v>
      </c>
    </row>
    <row r="355" spans="1:20" ht="25.5" x14ac:dyDescent="0.25">
      <c r="A355" s="1">
        <v>351</v>
      </c>
      <c r="B355" s="1" t="str">
        <f t="shared" si="34"/>
        <v>2017-386</v>
      </c>
      <c r="C355" s="2" t="s">
        <v>496</v>
      </c>
      <c r="D355" s="1" t="s">
        <v>497</v>
      </c>
      <c r="E355" s="3" t="str">
        <f>""</f>
        <v/>
      </c>
      <c r="F355" s="2" t="s">
        <v>27</v>
      </c>
      <c r="G355" s="2" t="str">
        <f t="shared" si="35"/>
        <v>MBM VRTNI CENTAR D.O.O., DOLENICA 8, 10250 LUČKO, OIB: 19462674595</v>
      </c>
      <c r="H355" s="4"/>
      <c r="I355" s="1" t="s">
        <v>499</v>
      </c>
      <c r="J355" s="1" t="s">
        <v>251</v>
      </c>
      <c r="K355" s="6" t="str">
        <f>"19.851,10"</f>
        <v>19.851,10</v>
      </c>
      <c r="L355" s="6" t="str">
        <f>"5.267,15"</f>
        <v>5.267,15</v>
      </c>
      <c r="M355" s="6" t="str">
        <f>"26.335,73"</f>
        <v>26.335,73</v>
      </c>
      <c r="N355" s="5">
        <v>43622</v>
      </c>
      <c r="O355" s="7"/>
      <c r="P355" s="6" t="str">
        <f>"26.335,72"</f>
        <v>26.335,72</v>
      </c>
      <c r="Q355" s="7"/>
      <c r="R355" s="1"/>
      <c r="S355" s="1" t="str">
        <f>"6-19/NOS-22-C/17"</f>
        <v>6-19/NOS-22-C/17</v>
      </c>
      <c r="T355" s="2" t="s">
        <v>33</v>
      </c>
    </row>
    <row r="356" spans="1:20" ht="25.5" x14ac:dyDescent="0.25">
      <c r="A356" s="1">
        <v>352</v>
      </c>
      <c r="B356" s="1" t="str">
        <f t="shared" si="34"/>
        <v>2017-386</v>
      </c>
      <c r="C356" s="2" t="s">
        <v>496</v>
      </c>
      <c r="D356" s="1" t="s">
        <v>497</v>
      </c>
      <c r="E356" s="3" t="str">
        <f>""</f>
        <v/>
      </c>
      <c r="F356" s="2" t="s">
        <v>27</v>
      </c>
      <c r="G356" s="2" t="str">
        <f t="shared" si="35"/>
        <v>MBM VRTNI CENTAR D.O.O., DOLENICA 8, 10250 LUČKO, OIB: 19462674595</v>
      </c>
      <c r="H356" s="4"/>
      <c r="I356" s="1" t="s">
        <v>440</v>
      </c>
      <c r="J356" s="1" t="s">
        <v>251</v>
      </c>
      <c r="K356" s="6" t="str">
        <f>"33.831,25"</f>
        <v>33.831,25</v>
      </c>
      <c r="L356" s="6" t="str">
        <f>"9.177,20"</f>
        <v>9.177,20</v>
      </c>
      <c r="M356" s="6" t="str">
        <f>"45.886,00"</f>
        <v>45.886,00</v>
      </c>
      <c r="N356" s="5">
        <v>43644</v>
      </c>
      <c r="O356" s="7"/>
      <c r="P356" s="6" t="str">
        <f>"45.886,00"</f>
        <v>45.886,00</v>
      </c>
      <c r="Q356" s="7"/>
      <c r="R356" s="1"/>
      <c r="S356" s="1" t="str">
        <f>"7-19/NOS-22-C/17"</f>
        <v>7-19/NOS-22-C/17</v>
      </c>
      <c r="T356" s="2" t="s">
        <v>33</v>
      </c>
    </row>
    <row r="357" spans="1:20" ht="25.5" x14ac:dyDescent="0.25">
      <c r="A357" s="1">
        <v>353</v>
      </c>
      <c r="B357" s="1" t="str">
        <f t="shared" si="34"/>
        <v>2017-386</v>
      </c>
      <c r="C357" s="2" t="s">
        <v>496</v>
      </c>
      <c r="D357" s="1" t="s">
        <v>497</v>
      </c>
      <c r="E357" s="3" t="str">
        <f>""</f>
        <v/>
      </c>
      <c r="F357" s="2" t="s">
        <v>27</v>
      </c>
      <c r="G357" s="2" t="str">
        <f t="shared" si="35"/>
        <v>MBM VRTNI CENTAR D.O.O., DOLENICA 8, 10250 LUČKO, OIB: 19462674595</v>
      </c>
      <c r="H357" s="4"/>
      <c r="I357" s="1" t="s">
        <v>500</v>
      </c>
      <c r="J357" s="1" t="s">
        <v>140</v>
      </c>
      <c r="K357" s="6" t="str">
        <f>"89.379,00"</f>
        <v>89.379,00</v>
      </c>
      <c r="L357" s="6" t="str">
        <f>"22.344,75"</f>
        <v>22.344,75</v>
      </c>
      <c r="M357" s="6" t="str">
        <f>"111.723,75"</f>
        <v>111.723,75</v>
      </c>
      <c r="N357" s="5">
        <v>43425</v>
      </c>
      <c r="O357" s="7"/>
      <c r="P357" s="6" t="str">
        <f>"111.723,75"</f>
        <v>111.723,75</v>
      </c>
      <c r="Q357" s="7"/>
      <c r="R357" s="1"/>
      <c r="S357" s="1" t="str">
        <f>"14-18/NOS-22-C/17"</f>
        <v>14-18/NOS-22-C/17</v>
      </c>
      <c r="T357" s="2" t="s">
        <v>33</v>
      </c>
    </row>
    <row r="358" spans="1:20" ht="114.75" x14ac:dyDescent="0.25">
      <c r="A358" s="1">
        <v>354</v>
      </c>
      <c r="B358" s="1" t="str">
        <f t="shared" ref="B358:B369" si="36">"2017-429"</f>
        <v>2017-429</v>
      </c>
      <c r="C358" s="2" t="s">
        <v>501</v>
      </c>
      <c r="D358" s="1" t="s">
        <v>502</v>
      </c>
      <c r="E358" s="3" t="str">
        <f>"2017/S 0F2-0009777"</f>
        <v>2017/S 0F2-0009777</v>
      </c>
      <c r="F358" s="2" t="s">
        <v>23</v>
      </c>
      <c r="G358" s="2" t="str">
        <f t="shared" ref="G358:G369" si="37">CONCATENATE("CENTAR ZA VOZILA HRVATSKE D.D.,"," CAPRAŠKA 6,"," 10000 ZAGREB,"," OIB: 73294314024")</f>
        <v>CENTAR ZA VOZILA HRVATSKE D.D., CAPRAŠKA 6, 10000 ZAGREB, OIB: 73294314024</v>
      </c>
      <c r="H358" s="4"/>
      <c r="I358" s="1" t="s">
        <v>503</v>
      </c>
      <c r="J358" s="1" t="s">
        <v>504</v>
      </c>
      <c r="K358" s="6" t="str">
        <f>"2.894.000,00"</f>
        <v>2.894.000,00</v>
      </c>
      <c r="L358" s="6" t="str">
        <f>"723.500,00"</f>
        <v>723.500,00</v>
      </c>
      <c r="M358" s="6" t="str">
        <f>"3.617.500,00"</f>
        <v>3.617.500,00</v>
      </c>
      <c r="N358" s="7"/>
      <c r="O358" s="7"/>
      <c r="P358" s="6" t="str">
        <f>""</f>
        <v/>
      </c>
      <c r="Q358" s="7"/>
      <c r="R358" s="1"/>
      <c r="S358" s="1" t="str">
        <f>"NOS-23-A/17"</f>
        <v>NOS-23-A/17</v>
      </c>
      <c r="T358" s="2" t="s">
        <v>281</v>
      </c>
    </row>
    <row r="359" spans="1:20" ht="25.5" x14ac:dyDescent="0.25">
      <c r="A359" s="1">
        <v>355</v>
      </c>
      <c r="B359" s="1" t="str">
        <f t="shared" si="36"/>
        <v>2017-429</v>
      </c>
      <c r="C359" s="2" t="s">
        <v>501</v>
      </c>
      <c r="D359" s="4"/>
      <c r="E359" s="3" t="str">
        <f>""</f>
        <v/>
      </c>
      <c r="F359" s="2" t="s">
        <v>27</v>
      </c>
      <c r="G359" s="2" t="str">
        <f t="shared" si="37"/>
        <v>CENTAR ZA VOZILA HRVATSKE D.D., CAPRAŠKA 6, 10000 ZAGREB, OIB: 73294314024</v>
      </c>
      <c r="H359" s="4"/>
      <c r="I359" s="1" t="s">
        <v>160</v>
      </c>
      <c r="J359" s="1" t="s">
        <v>114</v>
      </c>
      <c r="K359" s="6" t="str">
        <f>"150.150,09"</f>
        <v>150.150,09</v>
      </c>
      <c r="L359" s="6" t="str">
        <f>"37.537,52"</f>
        <v>37.537,52</v>
      </c>
      <c r="M359" s="6" t="str">
        <f>"187.687,61"</f>
        <v>187.687,61</v>
      </c>
      <c r="N359" s="5">
        <v>408553</v>
      </c>
      <c r="O359" s="7"/>
      <c r="P359" s="6" t="str">
        <f>"120.762,82"</f>
        <v>120.762,82</v>
      </c>
      <c r="Q359" s="7"/>
      <c r="R359" s="1"/>
      <c r="S359" s="1" t="str">
        <f>"4-18/NOS-23-A/17"</f>
        <v>4-18/NOS-23-A/17</v>
      </c>
      <c r="T359" s="2" t="s">
        <v>29</v>
      </c>
    </row>
    <row r="360" spans="1:20" ht="25.5" x14ac:dyDescent="0.25">
      <c r="A360" s="1">
        <v>356</v>
      </c>
      <c r="B360" s="1" t="str">
        <f t="shared" si="36"/>
        <v>2017-429</v>
      </c>
      <c r="C360" s="2" t="s">
        <v>501</v>
      </c>
      <c r="D360" s="4"/>
      <c r="E360" s="3" t="str">
        <f>""</f>
        <v/>
      </c>
      <c r="F360" s="2" t="s">
        <v>27</v>
      </c>
      <c r="G360" s="2" t="str">
        <f t="shared" si="37"/>
        <v>CENTAR ZA VOZILA HRVATSKE D.D., CAPRAŠKA 6, 10000 ZAGREB, OIB: 73294314024</v>
      </c>
      <c r="H360" s="4"/>
      <c r="I360" s="1" t="s">
        <v>318</v>
      </c>
      <c r="J360" s="1" t="s">
        <v>221</v>
      </c>
      <c r="K360" s="6" t="str">
        <f>"204.802,39"</f>
        <v>204.802,39</v>
      </c>
      <c r="L360" s="6" t="str">
        <f>"51.200,60"</f>
        <v>51.200,60</v>
      </c>
      <c r="M360" s="6" t="str">
        <f>"256.002,99"</f>
        <v>256.002,99</v>
      </c>
      <c r="N360" s="5">
        <v>43724</v>
      </c>
      <c r="O360" s="7"/>
      <c r="P360" s="6" t="str">
        <f>"16.894,08"</f>
        <v>16.894,08</v>
      </c>
      <c r="Q360" s="7"/>
      <c r="R360" s="1"/>
      <c r="S360" s="1" t="str">
        <f>"2-19/NOS-23-A/17"</f>
        <v>2-19/NOS-23-A/17</v>
      </c>
      <c r="T360" s="2" t="s">
        <v>29</v>
      </c>
    </row>
    <row r="361" spans="1:20" ht="25.5" x14ac:dyDescent="0.25">
      <c r="A361" s="1">
        <v>357</v>
      </c>
      <c r="B361" s="1" t="str">
        <f t="shared" si="36"/>
        <v>2017-429</v>
      </c>
      <c r="C361" s="2" t="s">
        <v>501</v>
      </c>
      <c r="D361" s="1" t="s">
        <v>502</v>
      </c>
      <c r="E361" s="3" t="str">
        <f>""</f>
        <v/>
      </c>
      <c r="F361" s="2" t="s">
        <v>27</v>
      </c>
      <c r="G361" s="2" t="str">
        <f t="shared" si="37"/>
        <v>CENTAR ZA VOZILA HRVATSKE D.D., CAPRAŠKA 6, 10000 ZAGREB, OIB: 73294314024</v>
      </c>
      <c r="H361" s="4"/>
      <c r="I361" s="1" t="s">
        <v>257</v>
      </c>
      <c r="J361" s="1" t="s">
        <v>251</v>
      </c>
      <c r="K361" s="6" t="str">
        <f>"4.504,40"</f>
        <v>4.504,40</v>
      </c>
      <c r="L361" s="6" t="str">
        <f>"1.121,79"</f>
        <v>1.121,79</v>
      </c>
      <c r="M361" s="6" t="str">
        <f>"5.608,95"</f>
        <v>5.608,95</v>
      </c>
      <c r="N361" s="5">
        <v>43598</v>
      </c>
      <c r="O361" s="7"/>
      <c r="P361" s="6" t="str">
        <f>"5.608,95"</f>
        <v>5.608,95</v>
      </c>
      <c r="Q361" s="7"/>
      <c r="R361" s="1"/>
      <c r="S361" s="1" t="str">
        <f>"1-19/NOS-23-A/17"</f>
        <v>1-19/NOS-23-A/17</v>
      </c>
      <c r="T361" s="2" t="s">
        <v>33</v>
      </c>
    </row>
    <row r="362" spans="1:20" ht="25.5" x14ac:dyDescent="0.25">
      <c r="A362" s="1">
        <v>358</v>
      </c>
      <c r="B362" s="1" t="str">
        <f t="shared" si="36"/>
        <v>2017-429</v>
      </c>
      <c r="C362" s="2" t="s">
        <v>501</v>
      </c>
      <c r="D362" s="1" t="s">
        <v>502</v>
      </c>
      <c r="E362" s="3" t="str">
        <f>""</f>
        <v/>
      </c>
      <c r="F362" s="2" t="s">
        <v>27</v>
      </c>
      <c r="G362" s="2" t="str">
        <f t="shared" si="37"/>
        <v>CENTAR ZA VOZILA HRVATSKE D.D., CAPRAŠKA 6, 10000 ZAGREB, OIB: 73294314024</v>
      </c>
      <c r="H362" s="4"/>
      <c r="I362" s="1" t="s">
        <v>431</v>
      </c>
      <c r="J362" s="1" t="s">
        <v>121</v>
      </c>
      <c r="K362" s="6" t="str">
        <f>"391,21"</f>
        <v>391,21</v>
      </c>
      <c r="L362" s="6" t="str">
        <f>"97,80"</f>
        <v>97,80</v>
      </c>
      <c r="M362" s="6" t="str">
        <f>"489,01"</f>
        <v>489,01</v>
      </c>
      <c r="N362" s="5">
        <v>43585</v>
      </c>
      <c r="O362" s="7"/>
      <c r="P362" s="6" t="str">
        <f>"489,01"</f>
        <v>489,01</v>
      </c>
      <c r="Q362" s="7"/>
      <c r="R362" s="1"/>
      <c r="S362" s="1" t="str">
        <f>"3-19/NOS-23-A/17"</f>
        <v>3-19/NOS-23-A/17</v>
      </c>
      <c r="T362" s="2" t="s">
        <v>33</v>
      </c>
    </row>
    <row r="363" spans="1:20" ht="25.5" x14ac:dyDescent="0.25">
      <c r="A363" s="1">
        <v>359</v>
      </c>
      <c r="B363" s="1" t="str">
        <f t="shared" si="36"/>
        <v>2017-429</v>
      </c>
      <c r="C363" s="2" t="s">
        <v>501</v>
      </c>
      <c r="D363" s="1" t="s">
        <v>502</v>
      </c>
      <c r="E363" s="3" t="str">
        <f>""</f>
        <v/>
      </c>
      <c r="F363" s="2" t="s">
        <v>27</v>
      </c>
      <c r="G363" s="2" t="str">
        <f t="shared" si="37"/>
        <v>CENTAR ZA VOZILA HRVATSKE D.D., CAPRAŠKA 6, 10000 ZAGREB, OIB: 73294314024</v>
      </c>
      <c r="H363" s="4"/>
      <c r="I363" s="1" t="s">
        <v>374</v>
      </c>
      <c r="J363" s="1" t="s">
        <v>47</v>
      </c>
      <c r="K363" s="6" t="str">
        <f>"12.714,50"</f>
        <v>12.714,50</v>
      </c>
      <c r="L363" s="6" t="str">
        <f>"2.453,99"</f>
        <v>2.453,99</v>
      </c>
      <c r="M363" s="6" t="str">
        <f>"12.269,94"</f>
        <v>12.269,94</v>
      </c>
      <c r="N363" s="5">
        <v>43713</v>
      </c>
      <c r="O363" s="7"/>
      <c r="P363" s="6" t="str">
        <f>"12.269,94"</f>
        <v>12.269,94</v>
      </c>
      <c r="Q363" s="7"/>
      <c r="R363" s="1"/>
      <c r="S363" s="1" t="str">
        <f>"4-19/NOS-23-A/17"</f>
        <v>4-19/NOS-23-A/17</v>
      </c>
      <c r="T363" s="2" t="s">
        <v>33</v>
      </c>
    </row>
    <row r="364" spans="1:20" ht="114.75" x14ac:dyDescent="0.25">
      <c r="A364" s="1">
        <v>360</v>
      </c>
      <c r="B364" s="1" t="str">
        <f t="shared" si="36"/>
        <v>2017-429</v>
      </c>
      <c r="C364" s="2" t="s">
        <v>501</v>
      </c>
      <c r="D364" s="1" t="s">
        <v>502</v>
      </c>
      <c r="E364" s="3" t="str">
        <f>"2017/S 0F2-0009777"</f>
        <v>2017/S 0F2-0009777</v>
      </c>
      <c r="F364" s="2" t="s">
        <v>23</v>
      </c>
      <c r="G364" s="2" t="str">
        <f t="shared" si="37"/>
        <v>CENTAR ZA VOZILA HRVATSKE D.D., CAPRAŠKA 6, 10000 ZAGREB, OIB: 73294314024</v>
      </c>
      <c r="H364" s="4"/>
      <c r="I364" s="1" t="s">
        <v>503</v>
      </c>
      <c r="J364" s="1" t="s">
        <v>504</v>
      </c>
      <c r="K364" s="6" t="str">
        <f>"4.395.000,00"</f>
        <v>4.395.000,00</v>
      </c>
      <c r="L364" s="6" t="str">
        <f>"1.098.750,00"</f>
        <v>1.098.750,00</v>
      </c>
      <c r="M364" s="6" t="str">
        <f>"5.493.750,00"</f>
        <v>5.493.750,00</v>
      </c>
      <c r="N364" s="7"/>
      <c r="O364" s="7"/>
      <c r="P364" s="6" t="str">
        <f>""</f>
        <v/>
      </c>
      <c r="Q364" s="7"/>
      <c r="R364" s="1"/>
      <c r="S364" s="1" t="str">
        <f>"NOS-23-B/17"</f>
        <v>NOS-23-B/17</v>
      </c>
      <c r="T364" s="2" t="s">
        <v>281</v>
      </c>
    </row>
    <row r="365" spans="1:20" ht="25.5" x14ac:dyDescent="0.25">
      <c r="A365" s="1">
        <v>361</v>
      </c>
      <c r="B365" s="1" t="str">
        <f t="shared" si="36"/>
        <v>2017-429</v>
      </c>
      <c r="C365" s="2" t="s">
        <v>501</v>
      </c>
      <c r="D365" s="1" t="s">
        <v>502</v>
      </c>
      <c r="E365" s="3" t="str">
        <f>""</f>
        <v/>
      </c>
      <c r="F365" s="2" t="s">
        <v>27</v>
      </c>
      <c r="G365" s="2" t="str">
        <f t="shared" si="37"/>
        <v>CENTAR ZA VOZILA HRVATSKE D.D., CAPRAŠKA 6, 10000 ZAGREB, OIB: 73294314024</v>
      </c>
      <c r="H365" s="4"/>
      <c r="I365" s="1" t="s">
        <v>505</v>
      </c>
      <c r="J365" s="1" t="s">
        <v>343</v>
      </c>
      <c r="K365" s="6" t="str">
        <f>"475.133,21"</f>
        <v>475.133,21</v>
      </c>
      <c r="L365" s="6" t="str">
        <f>"118.783,30"</f>
        <v>118.783,30</v>
      </c>
      <c r="M365" s="6" t="str">
        <f>"593.916,51"</f>
        <v>593.916,51</v>
      </c>
      <c r="N365" s="5">
        <v>43645</v>
      </c>
      <c r="O365" s="7"/>
      <c r="P365" s="6" t="str">
        <f>"161.966,31"</f>
        <v>161.966,31</v>
      </c>
      <c r="Q365" s="7"/>
      <c r="R365" s="1"/>
      <c r="S365" s="1" t="str">
        <f>"3-18/NOS-23-B/17"</f>
        <v>3-18/NOS-23-B/17</v>
      </c>
      <c r="T365" s="2" t="s">
        <v>33</v>
      </c>
    </row>
    <row r="366" spans="1:20" ht="25.5" x14ac:dyDescent="0.25">
      <c r="A366" s="1">
        <v>362</v>
      </c>
      <c r="B366" s="1" t="str">
        <f t="shared" si="36"/>
        <v>2017-429</v>
      </c>
      <c r="C366" s="2" t="s">
        <v>501</v>
      </c>
      <c r="D366" s="4"/>
      <c r="E366" s="3" t="str">
        <f>""</f>
        <v/>
      </c>
      <c r="F366" s="2" t="s">
        <v>27</v>
      </c>
      <c r="G366" s="2" t="str">
        <f t="shared" si="37"/>
        <v>CENTAR ZA VOZILA HRVATSKE D.D., CAPRAŠKA 6, 10000 ZAGREB, OIB: 73294314024</v>
      </c>
      <c r="H366" s="4"/>
      <c r="I366" s="1" t="s">
        <v>160</v>
      </c>
      <c r="J366" s="1" t="s">
        <v>114</v>
      </c>
      <c r="K366" s="6" t="str">
        <f>"96.002,44"</f>
        <v>96.002,44</v>
      </c>
      <c r="L366" s="6" t="str">
        <f>"24.000,61"</f>
        <v>24.000,61</v>
      </c>
      <c r="M366" s="6" t="str">
        <f>"120.003,05"</f>
        <v>120.003,05</v>
      </c>
      <c r="N366" s="5">
        <v>43651</v>
      </c>
      <c r="O366" s="7"/>
      <c r="P366" s="6" t="str">
        <f>"57.248,20"</f>
        <v>57.248,20</v>
      </c>
      <c r="Q366" s="7"/>
      <c r="R366" s="1"/>
      <c r="S366" s="1" t="str">
        <f>"5-18/NOS-23-B/17"</f>
        <v>5-18/NOS-23-B/17</v>
      </c>
      <c r="T366" s="2" t="s">
        <v>29</v>
      </c>
    </row>
    <row r="367" spans="1:20" ht="25.5" x14ac:dyDescent="0.25">
      <c r="A367" s="1">
        <v>363</v>
      </c>
      <c r="B367" s="1" t="str">
        <f t="shared" si="36"/>
        <v>2017-429</v>
      </c>
      <c r="C367" s="2" t="s">
        <v>501</v>
      </c>
      <c r="D367" s="1" t="s">
        <v>502</v>
      </c>
      <c r="E367" s="3" t="str">
        <f>""</f>
        <v/>
      </c>
      <c r="F367" s="2" t="s">
        <v>27</v>
      </c>
      <c r="G367" s="2" t="str">
        <f t="shared" si="37"/>
        <v>CENTAR ZA VOZILA HRVATSKE D.D., CAPRAŠKA 6, 10000 ZAGREB, OIB: 73294314024</v>
      </c>
      <c r="H367" s="4"/>
      <c r="I367" s="1" t="s">
        <v>392</v>
      </c>
      <c r="J367" s="1" t="s">
        <v>28</v>
      </c>
      <c r="K367" s="6" t="str">
        <f>"858.865,45"</f>
        <v>858.865,45</v>
      </c>
      <c r="L367" s="6" t="str">
        <f>"214.716,36"</f>
        <v>214.716,36</v>
      </c>
      <c r="M367" s="6" t="str">
        <f>"1.073.581,81"</f>
        <v>1.073.581,81</v>
      </c>
      <c r="N367" s="5">
        <v>43719</v>
      </c>
      <c r="O367" s="7"/>
      <c r="P367" s="6" t="str">
        <f>"398.838,39"</f>
        <v>398.838,39</v>
      </c>
      <c r="Q367" s="7"/>
      <c r="R367" s="1"/>
      <c r="S367" s="1" t="str">
        <f>"12-18/NOS-23-B/17"</f>
        <v>12-18/NOS-23-B/17</v>
      </c>
      <c r="T367" s="2" t="s">
        <v>33</v>
      </c>
    </row>
    <row r="368" spans="1:20" ht="25.5" x14ac:dyDescent="0.25">
      <c r="A368" s="1">
        <v>364</v>
      </c>
      <c r="B368" s="1" t="str">
        <f t="shared" si="36"/>
        <v>2017-429</v>
      </c>
      <c r="C368" s="2" t="s">
        <v>501</v>
      </c>
      <c r="D368" s="4"/>
      <c r="E368" s="3" t="str">
        <f>""</f>
        <v/>
      </c>
      <c r="F368" s="2" t="s">
        <v>27</v>
      </c>
      <c r="G368" s="2" t="str">
        <f t="shared" si="37"/>
        <v>CENTAR ZA VOZILA HRVATSKE D.D., CAPRAŠKA 6, 10000 ZAGREB, OIB: 73294314024</v>
      </c>
      <c r="H368" s="4"/>
      <c r="I368" s="1" t="s">
        <v>499</v>
      </c>
      <c r="J368" s="1" t="s">
        <v>221</v>
      </c>
      <c r="K368" s="6" t="str">
        <f>"131.147,68"</f>
        <v>131.147,68</v>
      </c>
      <c r="L368" s="6" t="str">
        <f>"32.786,92"</f>
        <v>32.786,92</v>
      </c>
      <c r="M368" s="6" t="str">
        <f>"163.934,60"</f>
        <v>163.934,60</v>
      </c>
      <c r="N368" s="5">
        <v>43711</v>
      </c>
      <c r="O368" s="7"/>
      <c r="P368" s="6" t="str">
        <f>"20.276,09"</f>
        <v>20.276,09</v>
      </c>
      <c r="Q368" s="7"/>
      <c r="R368" s="1"/>
      <c r="S368" s="1" t="str">
        <f>"1-19/NOS-23-B/17"</f>
        <v>1-19/NOS-23-B/17</v>
      </c>
      <c r="T368" s="2" t="s">
        <v>29</v>
      </c>
    </row>
    <row r="369" spans="1:20" ht="114.75" x14ac:dyDescent="0.25">
      <c r="A369" s="1">
        <v>365</v>
      </c>
      <c r="B369" s="1" t="str">
        <f t="shared" si="36"/>
        <v>2017-429</v>
      </c>
      <c r="C369" s="2" t="s">
        <v>501</v>
      </c>
      <c r="D369" s="1" t="s">
        <v>502</v>
      </c>
      <c r="E369" s="3" t="str">
        <f>"2017/S 0F2-0009777"</f>
        <v>2017/S 0F2-0009777</v>
      </c>
      <c r="F369" s="2" t="s">
        <v>23</v>
      </c>
      <c r="G369" s="2" t="str">
        <f t="shared" si="37"/>
        <v>CENTAR ZA VOZILA HRVATSKE D.D., CAPRAŠKA 6, 10000 ZAGREB, OIB: 73294314024</v>
      </c>
      <c r="H369" s="4"/>
      <c r="I369" s="1" t="s">
        <v>506</v>
      </c>
      <c r="J369" s="1" t="s">
        <v>507</v>
      </c>
      <c r="K369" s="6" t="str">
        <f>"26.000,00"</f>
        <v>26.000,00</v>
      </c>
      <c r="L369" s="6" t="str">
        <f>"6.500,00"</f>
        <v>6.500,00</v>
      </c>
      <c r="M369" s="6" t="str">
        <f>"32.500,00"</f>
        <v>32.500,00</v>
      </c>
      <c r="N369" s="7"/>
      <c r="O369" s="7"/>
      <c r="P369" s="6" t="str">
        <f>""</f>
        <v/>
      </c>
      <c r="Q369" s="7"/>
      <c r="R369" s="1"/>
      <c r="S369" s="1" t="str">
        <f>"NOS-23-C/17"</f>
        <v>NOS-23-C/17</v>
      </c>
      <c r="T369" s="2" t="s">
        <v>281</v>
      </c>
    </row>
    <row r="370" spans="1:20" ht="38.25" x14ac:dyDescent="0.25">
      <c r="A370" s="1">
        <v>366</v>
      </c>
      <c r="B370" s="1" t="str">
        <f>"2017-415"</f>
        <v>2017-415</v>
      </c>
      <c r="C370" s="2" t="s">
        <v>508</v>
      </c>
      <c r="D370" s="1" t="s">
        <v>509</v>
      </c>
      <c r="E370" s="3" t="str">
        <f>"2017/S 0F2-0010500"</f>
        <v>2017/S 0F2-0010500</v>
      </c>
      <c r="F370" s="2" t="s">
        <v>23</v>
      </c>
      <c r="G370" s="2" t="str">
        <f>CONCATENATE("MAXMAR GRUPA  D.O.O.,"," REPULČEVA 6,"," 10450 KLINČA SELA,"," OIB: 91071817708")</f>
        <v>MAXMAR GRUPA  D.O.O., REPULČEVA 6, 10450 KLINČA SELA, OIB: 91071817708</v>
      </c>
      <c r="H370" s="4"/>
      <c r="I370" s="1" t="s">
        <v>510</v>
      </c>
      <c r="J370" s="1" t="s">
        <v>511</v>
      </c>
      <c r="K370" s="6" t="str">
        <f>"22.000.000,00"</f>
        <v>22.000.000,00</v>
      </c>
      <c r="L370" s="6" t="str">
        <f>"5.500.000,00"</f>
        <v>5.500.000,00</v>
      </c>
      <c r="M370" s="6" t="str">
        <f>"27.500.000,00"</f>
        <v>27.500.000,00</v>
      </c>
      <c r="N370" s="7"/>
      <c r="O370" s="7"/>
      <c r="P370" s="6" t="str">
        <f>""</f>
        <v/>
      </c>
      <c r="Q370" s="7"/>
      <c r="R370" s="1"/>
      <c r="S370" s="1" t="str">
        <f>"NOS-24/17"</f>
        <v>NOS-24/17</v>
      </c>
      <c r="T370" s="2" t="s">
        <v>33</v>
      </c>
    </row>
    <row r="371" spans="1:20" ht="51" x14ac:dyDescent="0.25">
      <c r="A371" s="1">
        <v>367</v>
      </c>
      <c r="B371" s="1" t="str">
        <f t="shared" ref="B371:B381" si="38">"2017-2469"</f>
        <v>2017-2469</v>
      </c>
      <c r="C371" s="2" t="s">
        <v>512</v>
      </c>
      <c r="D371" s="1" t="s">
        <v>513</v>
      </c>
      <c r="E371" s="3" t="str">
        <f>"2017/S 0F2-0006428"</f>
        <v>2017/S 0F2-0006428</v>
      </c>
      <c r="F371" s="2" t="s">
        <v>23</v>
      </c>
      <c r="G371" s="2" t="str">
        <f t="shared" ref="G371:G381" si="39">CONCATENATE("TOI TOI D.O.O.,"," KVINTIČKA 16,"," 10000 ZAGREB,"," OIB: 73497369534")</f>
        <v>TOI TOI D.O.O., KVINTIČKA 16, 10000 ZAGREB, OIB: 73497369534</v>
      </c>
      <c r="H371" s="4"/>
      <c r="I371" s="1" t="s">
        <v>506</v>
      </c>
      <c r="J371" s="1" t="s">
        <v>507</v>
      </c>
      <c r="K371" s="6" t="str">
        <f>"5.200.000,00"</f>
        <v>5.200.000,00</v>
      </c>
      <c r="L371" s="6" t="str">
        <f>"1.300.000,00"</f>
        <v>1.300.000,00</v>
      </c>
      <c r="M371" s="6" t="str">
        <f>"6.500.000,00"</f>
        <v>6.500.000,00</v>
      </c>
      <c r="N371" s="7"/>
      <c r="O371" s="7"/>
      <c r="P371" s="6" t="str">
        <f>""</f>
        <v/>
      </c>
      <c r="Q371" s="7"/>
      <c r="R371" s="1"/>
      <c r="S371" s="1" t="str">
        <f>"NOS-25/17"</f>
        <v>NOS-25/17</v>
      </c>
      <c r="T371" s="2" t="s">
        <v>514</v>
      </c>
    </row>
    <row r="372" spans="1:20" ht="38.25" x14ac:dyDescent="0.25">
      <c r="A372" s="1">
        <v>368</v>
      </c>
      <c r="B372" s="1" t="str">
        <f t="shared" si="38"/>
        <v>2017-2469</v>
      </c>
      <c r="C372" s="2" t="s">
        <v>512</v>
      </c>
      <c r="D372" s="1" t="s">
        <v>513</v>
      </c>
      <c r="E372" s="3" t="str">
        <f>""</f>
        <v/>
      </c>
      <c r="F372" s="2" t="s">
        <v>27</v>
      </c>
      <c r="G372" s="2" t="str">
        <f t="shared" si="39"/>
        <v>TOI TOI D.O.O., KVINTIČKA 16, 10000 ZAGREB, OIB: 73497369534</v>
      </c>
      <c r="H372" s="4"/>
      <c r="I372" s="1" t="s">
        <v>515</v>
      </c>
      <c r="J372" s="1" t="s">
        <v>42</v>
      </c>
      <c r="K372" s="6" t="str">
        <f>"399.650,00"</f>
        <v>399.650,00</v>
      </c>
      <c r="L372" s="6" t="str">
        <f>"99.912,50"</f>
        <v>99.912,50</v>
      </c>
      <c r="M372" s="6" t="str">
        <f>"499.562,50"</f>
        <v>499.562,50</v>
      </c>
      <c r="N372" s="5">
        <v>43585</v>
      </c>
      <c r="O372" s="7"/>
      <c r="P372" s="6" t="str">
        <f>"438.000,00"</f>
        <v>438.000,00</v>
      </c>
      <c r="Q372" s="7"/>
      <c r="R372" s="1"/>
      <c r="S372" s="1" t="str">
        <f>"3-18/NOS-25/17"</f>
        <v>3-18/NOS-25/17</v>
      </c>
      <c r="T372" s="2" t="s">
        <v>65</v>
      </c>
    </row>
    <row r="373" spans="1:20" ht="25.5" x14ac:dyDescent="0.25">
      <c r="A373" s="1">
        <v>369</v>
      </c>
      <c r="B373" s="1" t="str">
        <f t="shared" si="38"/>
        <v>2017-2469</v>
      </c>
      <c r="C373" s="2" t="s">
        <v>512</v>
      </c>
      <c r="D373" s="4"/>
      <c r="E373" s="3" t="str">
        <f>""</f>
        <v/>
      </c>
      <c r="F373" s="2" t="s">
        <v>27</v>
      </c>
      <c r="G373" s="2" t="str">
        <f t="shared" si="39"/>
        <v>TOI TOI D.O.O., KVINTIČKA 16, 10000 ZAGREB, OIB: 73497369534</v>
      </c>
      <c r="H373" s="4"/>
      <c r="I373" s="1" t="s">
        <v>515</v>
      </c>
      <c r="J373" s="1" t="s">
        <v>64</v>
      </c>
      <c r="K373" s="6" t="str">
        <f>"218.400,00"</f>
        <v>218.400,00</v>
      </c>
      <c r="L373" s="6" t="str">
        <f>"54.600,00"</f>
        <v>54.600,00</v>
      </c>
      <c r="M373" s="6" t="str">
        <f>"273.000,00"</f>
        <v>273.000,00</v>
      </c>
      <c r="N373" s="5">
        <v>43553</v>
      </c>
      <c r="O373" s="7"/>
      <c r="P373" s="6" t="str">
        <f>"273.000,00"</f>
        <v>273.000,00</v>
      </c>
      <c r="Q373" s="7"/>
      <c r="R373" s="1"/>
      <c r="S373" s="1" t="str">
        <f>"4-18/NOS-25/17"</f>
        <v>4-18/NOS-25/17</v>
      </c>
      <c r="T373" s="2" t="s">
        <v>33</v>
      </c>
    </row>
    <row r="374" spans="1:20" ht="38.25" x14ac:dyDescent="0.25">
      <c r="A374" s="1">
        <v>370</v>
      </c>
      <c r="B374" s="1" t="str">
        <f t="shared" si="38"/>
        <v>2017-2469</v>
      </c>
      <c r="C374" s="2" t="s">
        <v>512</v>
      </c>
      <c r="D374" s="4"/>
      <c r="E374" s="3" t="str">
        <f>""</f>
        <v/>
      </c>
      <c r="F374" s="2" t="s">
        <v>27</v>
      </c>
      <c r="G374" s="2" t="str">
        <f t="shared" si="39"/>
        <v>TOI TOI D.O.O., KVINTIČKA 16, 10000 ZAGREB, OIB: 73497369534</v>
      </c>
      <c r="H374" s="4"/>
      <c r="I374" s="1" t="s">
        <v>431</v>
      </c>
      <c r="J374" s="1" t="s">
        <v>333</v>
      </c>
      <c r="K374" s="6" t="str">
        <f>"337.600,00"</f>
        <v>337.600,00</v>
      </c>
      <c r="L374" s="6" t="str">
        <f>"84.400,00"</f>
        <v>84.400,00</v>
      </c>
      <c r="M374" s="6" t="str">
        <f>"422.000,00"</f>
        <v>422.000,00</v>
      </c>
      <c r="N374" s="5">
        <v>43707</v>
      </c>
      <c r="O374" s="7"/>
      <c r="P374" s="6" t="str">
        <f>"130.000,00"</f>
        <v>130.000,00</v>
      </c>
      <c r="Q374" s="7"/>
      <c r="R374" s="1"/>
      <c r="S374" s="1" t="str">
        <f>"4-19/NOS-25/17"</f>
        <v>4-19/NOS-25/17</v>
      </c>
      <c r="T374" s="2" t="s">
        <v>65</v>
      </c>
    </row>
    <row r="375" spans="1:20" ht="25.5" x14ac:dyDescent="0.25">
      <c r="A375" s="1">
        <v>371</v>
      </c>
      <c r="B375" s="1" t="str">
        <f t="shared" si="38"/>
        <v>2017-2469</v>
      </c>
      <c r="C375" s="2" t="s">
        <v>512</v>
      </c>
      <c r="D375" s="4"/>
      <c r="E375" s="3" t="str">
        <f>""</f>
        <v/>
      </c>
      <c r="F375" s="2" t="s">
        <v>27</v>
      </c>
      <c r="G375" s="2" t="str">
        <f t="shared" si="39"/>
        <v>TOI TOI D.O.O., KVINTIČKA 16, 10000 ZAGREB, OIB: 73497369534</v>
      </c>
      <c r="H375" s="4"/>
      <c r="I375" s="1" t="s">
        <v>396</v>
      </c>
      <c r="J375" s="1" t="s">
        <v>516</v>
      </c>
      <c r="K375" s="6" t="str">
        <f>"218.400,00"</f>
        <v>218.400,00</v>
      </c>
      <c r="L375" s="6" t="str">
        <f>"54.600,00"</f>
        <v>54.600,00</v>
      </c>
      <c r="M375" s="6" t="str">
        <f>"273.000,00"</f>
        <v>273.000,00</v>
      </c>
      <c r="N375" s="5">
        <v>43707</v>
      </c>
      <c r="O375" s="7"/>
      <c r="P375" s="6" t="str">
        <f>"68.250,00"</f>
        <v>68.250,00</v>
      </c>
      <c r="Q375" s="7"/>
      <c r="R375" s="1"/>
      <c r="S375" s="1" t="str">
        <f>"6-19/NOS-25/17"</f>
        <v>6-19/NOS-25/17</v>
      </c>
      <c r="T375" s="2" t="s">
        <v>33</v>
      </c>
    </row>
    <row r="376" spans="1:20" ht="25.5" x14ac:dyDescent="0.25">
      <c r="A376" s="1">
        <v>372</v>
      </c>
      <c r="B376" s="1" t="str">
        <f t="shared" si="38"/>
        <v>2017-2469</v>
      </c>
      <c r="C376" s="2" t="s">
        <v>512</v>
      </c>
      <c r="D376" s="1" t="s">
        <v>513</v>
      </c>
      <c r="E376" s="3" t="str">
        <f>""</f>
        <v/>
      </c>
      <c r="F376" s="2" t="s">
        <v>27</v>
      </c>
      <c r="G376" s="2" t="str">
        <f t="shared" si="39"/>
        <v>TOI TOI D.O.O., KVINTIČKA 16, 10000 ZAGREB, OIB: 73497369534</v>
      </c>
      <c r="H376" s="4"/>
      <c r="I376" s="1" t="s">
        <v>500</v>
      </c>
      <c r="J376" s="1" t="s">
        <v>140</v>
      </c>
      <c r="K376" s="6" t="str">
        <f>"29.550,00"</f>
        <v>29.550,00</v>
      </c>
      <c r="L376" s="6" t="str">
        <f>"7.387,50"</f>
        <v>7.387,50</v>
      </c>
      <c r="M376" s="6" t="str">
        <f>"36.937,50"</f>
        <v>36.937,50</v>
      </c>
      <c r="N376" s="5">
        <v>43465</v>
      </c>
      <c r="O376" s="7"/>
      <c r="P376" s="6" t="str">
        <f>"36.937,50"</f>
        <v>36.937,50</v>
      </c>
      <c r="Q376" s="7"/>
      <c r="R376" s="1"/>
      <c r="S376" s="1" t="str">
        <f>"14-18/NOS-25/17"</f>
        <v>14-18/NOS-25/17</v>
      </c>
      <c r="T376" s="2" t="s">
        <v>33</v>
      </c>
    </row>
    <row r="377" spans="1:20" ht="25.5" x14ac:dyDescent="0.25">
      <c r="A377" s="1">
        <v>373</v>
      </c>
      <c r="B377" s="1" t="str">
        <f t="shared" si="38"/>
        <v>2017-2469</v>
      </c>
      <c r="C377" s="2" t="s">
        <v>512</v>
      </c>
      <c r="D377" s="1" t="s">
        <v>513</v>
      </c>
      <c r="E377" s="3" t="str">
        <f>""</f>
        <v/>
      </c>
      <c r="F377" s="2" t="s">
        <v>27</v>
      </c>
      <c r="G377" s="2" t="str">
        <f t="shared" si="39"/>
        <v>TOI TOI D.O.O., KVINTIČKA 16, 10000 ZAGREB, OIB: 73497369534</v>
      </c>
      <c r="H377" s="4"/>
      <c r="I377" s="1" t="s">
        <v>372</v>
      </c>
      <c r="J377" s="1" t="s">
        <v>186</v>
      </c>
      <c r="K377" s="6" t="str">
        <f>"16.800,00"</f>
        <v>16.800,00</v>
      </c>
      <c r="L377" s="6" t="str">
        <f>"4.200,00"</f>
        <v>4.200,00</v>
      </c>
      <c r="M377" s="6" t="str">
        <f>"21.000,00"</f>
        <v>21.000,00</v>
      </c>
      <c r="N377" s="5">
        <v>43645</v>
      </c>
      <c r="O377" s="7"/>
      <c r="P377" s="6" t="str">
        <f>"20.997,90"</f>
        <v>20.997,90</v>
      </c>
      <c r="Q377" s="7"/>
      <c r="R377" s="1"/>
      <c r="S377" s="1" t="str">
        <f>"15-18/NOS-25/17"</f>
        <v>15-18/NOS-25/17</v>
      </c>
      <c r="T377" s="2" t="s">
        <v>33</v>
      </c>
    </row>
    <row r="378" spans="1:20" ht="25.5" x14ac:dyDescent="0.25">
      <c r="A378" s="1">
        <v>374</v>
      </c>
      <c r="B378" s="1" t="str">
        <f t="shared" si="38"/>
        <v>2017-2469</v>
      </c>
      <c r="C378" s="2" t="s">
        <v>512</v>
      </c>
      <c r="D378" s="1" t="s">
        <v>513</v>
      </c>
      <c r="E378" s="3" t="str">
        <f>""</f>
        <v/>
      </c>
      <c r="F378" s="2" t="s">
        <v>27</v>
      </c>
      <c r="G378" s="2" t="str">
        <f t="shared" si="39"/>
        <v>TOI TOI D.O.O., KVINTIČKA 16, 10000 ZAGREB, OIB: 73497369534</v>
      </c>
      <c r="H378" s="4"/>
      <c r="I378" s="1" t="s">
        <v>71</v>
      </c>
      <c r="J378" s="1" t="s">
        <v>64</v>
      </c>
      <c r="K378" s="6" t="str">
        <f>"42.700,00"</f>
        <v>42.700,00</v>
      </c>
      <c r="L378" s="6" t="str">
        <f>"10.675,00"</f>
        <v>10.675,00</v>
      </c>
      <c r="M378" s="6" t="str">
        <f>"53.375,00"</f>
        <v>53.375,00</v>
      </c>
      <c r="N378" s="5">
        <v>43707</v>
      </c>
      <c r="O378" s="7"/>
      <c r="P378" s="6" t="str">
        <f>"53.000,00"</f>
        <v>53.000,00</v>
      </c>
      <c r="Q378" s="7"/>
      <c r="R378" s="1"/>
      <c r="S378" s="1" t="str">
        <f>"1-19/NOS-25/17"</f>
        <v>1-19/NOS-25/17</v>
      </c>
      <c r="T378" s="2" t="s">
        <v>33</v>
      </c>
    </row>
    <row r="379" spans="1:20" ht="25.5" x14ac:dyDescent="0.25">
      <c r="A379" s="1">
        <v>375</v>
      </c>
      <c r="B379" s="1" t="str">
        <f t="shared" si="38"/>
        <v>2017-2469</v>
      </c>
      <c r="C379" s="2" t="s">
        <v>512</v>
      </c>
      <c r="D379" s="1" t="s">
        <v>513</v>
      </c>
      <c r="E379" s="3" t="str">
        <f>""</f>
        <v/>
      </c>
      <c r="F379" s="2" t="s">
        <v>27</v>
      </c>
      <c r="G379" s="2" t="str">
        <f t="shared" si="39"/>
        <v>TOI TOI D.O.O., KVINTIČKA 16, 10000 ZAGREB, OIB: 73497369534</v>
      </c>
      <c r="H379" s="4"/>
      <c r="I379" s="1" t="s">
        <v>493</v>
      </c>
      <c r="J379" s="1" t="s">
        <v>355</v>
      </c>
      <c r="K379" s="6" t="str">
        <f>"39.600,00"</f>
        <v>39.600,00</v>
      </c>
      <c r="L379" s="6" t="str">
        <f>"9.900,00"</f>
        <v>9.900,00</v>
      </c>
      <c r="M379" s="6" t="str">
        <f>"49.500,00"</f>
        <v>49.500,00</v>
      </c>
      <c r="N379" s="5">
        <v>43707</v>
      </c>
      <c r="O379" s="7"/>
      <c r="P379" s="6" t="str">
        <f>"35.750,00"</f>
        <v>35.750,00</v>
      </c>
      <c r="Q379" s="7"/>
      <c r="R379" s="1"/>
      <c r="S379" s="1" t="str">
        <f>"2-19/NOS-25/17"</f>
        <v>2-19/NOS-25/17</v>
      </c>
      <c r="T379" s="2" t="s">
        <v>33</v>
      </c>
    </row>
    <row r="380" spans="1:20" ht="25.5" x14ac:dyDescent="0.25">
      <c r="A380" s="1">
        <v>376</v>
      </c>
      <c r="B380" s="1" t="str">
        <f t="shared" si="38"/>
        <v>2017-2469</v>
      </c>
      <c r="C380" s="2" t="s">
        <v>512</v>
      </c>
      <c r="D380" s="1" t="s">
        <v>513</v>
      </c>
      <c r="E380" s="3" t="str">
        <f>""</f>
        <v/>
      </c>
      <c r="F380" s="2" t="s">
        <v>27</v>
      </c>
      <c r="G380" s="2" t="str">
        <f t="shared" si="39"/>
        <v>TOI TOI D.O.O., KVINTIČKA 16, 10000 ZAGREB, OIB: 73497369534</v>
      </c>
      <c r="H380" s="4"/>
      <c r="I380" s="1" t="s">
        <v>475</v>
      </c>
      <c r="J380" s="1" t="s">
        <v>37</v>
      </c>
      <c r="K380" s="6" t="str">
        <f>"11.000,00"</f>
        <v>11.000,00</v>
      </c>
      <c r="L380" s="6" t="str">
        <f>"2.750,00"</f>
        <v>2.750,00</v>
      </c>
      <c r="M380" s="6" t="str">
        <f>"13.750,00"</f>
        <v>13.750,00</v>
      </c>
      <c r="N380" s="5">
        <v>43585</v>
      </c>
      <c r="O380" s="7"/>
      <c r="P380" s="6" t="str">
        <f>"13.750,00"</f>
        <v>13.750,00</v>
      </c>
      <c r="Q380" s="7"/>
      <c r="R380" s="1"/>
      <c r="S380" s="1" t="str">
        <f>"3-19/NOS-25/17"</f>
        <v>3-19/NOS-25/17</v>
      </c>
      <c r="T380" s="2" t="s">
        <v>33</v>
      </c>
    </row>
    <row r="381" spans="1:20" ht="25.5" x14ac:dyDescent="0.25">
      <c r="A381" s="1">
        <v>377</v>
      </c>
      <c r="B381" s="1" t="str">
        <f t="shared" si="38"/>
        <v>2017-2469</v>
      </c>
      <c r="C381" s="2" t="s">
        <v>512</v>
      </c>
      <c r="D381" s="1" t="s">
        <v>513</v>
      </c>
      <c r="E381" s="3" t="str">
        <f>""</f>
        <v/>
      </c>
      <c r="F381" s="2" t="s">
        <v>27</v>
      </c>
      <c r="G381" s="2" t="str">
        <f t="shared" si="39"/>
        <v>TOI TOI D.O.O., KVINTIČKA 16, 10000 ZAGREB, OIB: 73497369534</v>
      </c>
      <c r="H381" s="4"/>
      <c r="I381" s="1" t="s">
        <v>403</v>
      </c>
      <c r="J381" s="1" t="s">
        <v>404</v>
      </c>
      <c r="K381" s="6" t="str">
        <f>"16.500,00"</f>
        <v>16.500,00</v>
      </c>
      <c r="L381" s="6" t="str">
        <f>"4.125,00"</f>
        <v>4.125,00</v>
      </c>
      <c r="M381" s="6" t="str">
        <f>"20.625,00"</f>
        <v>20.625,00</v>
      </c>
      <c r="N381" s="5">
        <v>43616</v>
      </c>
      <c r="O381" s="7"/>
      <c r="P381" s="6" t="str">
        <f>"18.062,50"</f>
        <v>18.062,50</v>
      </c>
      <c r="Q381" s="7"/>
      <c r="R381" s="1"/>
      <c r="S381" s="1" t="str">
        <f>"5-19/NOS-25/17"</f>
        <v>5-19/NOS-25/17</v>
      </c>
      <c r="T381" s="2" t="s">
        <v>33</v>
      </c>
    </row>
    <row r="382" spans="1:20" ht="89.25" x14ac:dyDescent="0.25">
      <c r="A382" s="1">
        <v>378</v>
      </c>
      <c r="B382" s="1" t="str">
        <f>"2017-401"</f>
        <v>2017-401</v>
      </c>
      <c r="C382" s="2" t="s">
        <v>517</v>
      </c>
      <c r="D382" s="1" t="s">
        <v>518</v>
      </c>
      <c r="E382" s="3" t="str">
        <f>"2017/S 0F2-0010167"</f>
        <v>2017/S 0F2-0010167</v>
      </c>
      <c r="F382" s="2" t="s">
        <v>23</v>
      </c>
      <c r="G382" s="2" t="str">
        <f>CONCATENATE("STROJOPROMET-ZAGREB D.O.O.,"," ZAGREBAČKA 6,"," 10292 ŠENKOVEC,"," OIB: 97994010225",CHAR(10),"JAKA D.O.O.,"," OGRIZOVIĆEVA 28/B,","  10 000 ZAGREB,"," OIB: 37705921960",CHAR(10),"VODOSKOK D.D.,"," ČULINEČKA CESTA 221/C,"," 10040 ZAGREB,"," OIB: 34134218058")</f>
        <v>STROJOPROMET-ZAGREB D.O.O., ZAGREBAČKA 6, 10292 ŠENKOVEC, OIB: 97994010225
JAKA D.O.O., OGRIZOVIĆEVA 28/B,  10 000 ZAGREB, OIB: 37705921960
VODOSKOK D.D., ČULINEČKA CESTA 221/C, 10040 ZAGREB, OIB: 34134218058</v>
      </c>
      <c r="H382" s="4"/>
      <c r="I382" s="1" t="s">
        <v>519</v>
      </c>
      <c r="J382" s="1" t="s">
        <v>520</v>
      </c>
      <c r="K382" s="6" t="str">
        <f>"1.050.000,00"</f>
        <v>1.050.000,00</v>
      </c>
      <c r="L382" s="6" t="str">
        <f>"262.500,00"</f>
        <v>262.500,00</v>
      </c>
      <c r="M382" s="6" t="str">
        <f>"1.312.500,00"</f>
        <v>1.312.500,00</v>
      </c>
      <c r="N382" s="7"/>
      <c r="O382" s="7"/>
      <c r="P382" s="6" t="str">
        <f>""</f>
        <v/>
      </c>
      <c r="Q382" s="7"/>
      <c r="R382" s="1"/>
      <c r="S382" s="1" t="str">
        <f>"NOS-26-A/17"</f>
        <v>NOS-26-A/17</v>
      </c>
      <c r="T382" s="2" t="s">
        <v>26</v>
      </c>
    </row>
    <row r="383" spans="1:20" ht="25.5" x14ac:dyDescent="0.25">
      <c r="A383" s="1">
        <v>379</v>
      </c>
      <c r="B383" s="1" t="str">
        <f>"2017-401"</f>
        <v>2017-401</v>
      </c>
      <c r="C383" s="2" t="s">
        <v>517</v>
      </c>
      <c r="D383" s="1" t="s">
        <v>518</v>
      </c>
      <c r="E383" s="3" t="str">
        <f>""</f>
        <v/>
      </c>
      <c r="F383" s="2" t="s">
        <v>27</v>
      </c>
      <c r="G383" s="2" t="str">
        <f>CONCATENATE("JAKA D.O.O.,"," OGRIZOVIĆEVA 28/B,","  10 000 ZAGREB,"," OIB: 3770592196")</f>
        <v>JAKA D.O.O., OGRIZOVIĆEVA 28/B,  10 000 ZAGREB, OIB: 3770592196</v>
      </c>
      <c r="H383" s="4"/>
      <c r="I383" s="1" t="s">
        <v>172</v>
      </c>
      <c r="J383" s="1" t="s">
        <v>64</v>
      </c>
      <c r="K383" s="6" t="str">
        <f>"29.309,00"</f>
        <v>29.309,00</v>
      </c>
      <c r="L383" s="6" t="str">
        <f>"7.327,25"</f>
        <v>7.327,25</v>
      </c>
      <c r="M383" s="6" t="str">
        <f>"36.636,25"</f>
        <v>36.636,25</v>
      </c>
      <c r="N383" s="5">
        <v>43592</v>
      </c>
      <c r="O383" s="7"/>
      <c r="P383" s="6" t="str">
        <f>"31.853,62"</f>
        <v>31.853,62</v>
      </c>
      <c r="Q383" s="7"/>
      <c r="R383" s="1"/>
      <c r="S383" s="1" t="str">
        <f>"11-18/NOS-26-A/17"</f>
        <v>11-18/NOS-26-A/17</v>
      </c>
      <c r="T383" s="2" t="s">
        <v>33</v>
      </c>
    </row>
    <row r="384" spans="1:20" ht="25.5" x14ac:dyDescent="0.25">
      <c r="A384" s="1">
        <v>380</v>
      </c>
      <c r="B384" s="1" t="str">
        <f>"2017-401"</f>
        <v>2017-401</v>
      </c>
      <c r="C384" s="2" t="s">
        <v>517</v>
      </c>
      <c r="D384" s="1" t="s">
        <v>518</v>
      </c>
      <c r="E384" s="3" t="str">
        <f>""</f>
        <v/>
      </c>
      <c r="F384" s="2" t="s">
        <v>27</v>
      </c>
      <c r="G384" s="2" t="str">
        <f>CONCATENATE("VODOSKOK D.D.,"," ČULINEČKA CESTA 221/C,"," 10040 ZAGREB,"," OIB: 34134218058")</f>
        <v>VODOSKOK D.D., ČULINEČKA CESTA 221/C, 10040 ZAGREB, OIB: 34134218058</v>
      </c>
      <c r="H384" s="4"/>
      <c r="I384" s="1" t="s">
        <v>301</v>
      </c>
      <c r="J384" s="1" t="s">
        <v>469</v>
      </c>
      <c r="K384" s="6" t="str">
        <f>"12.945,00"</f>
        <v>12.945,00</v>
      </c>
      <c r="L384" s="6" t="str">
        <f>"3.374,88"</f>
        <v>3.374,88</v>
      </c>
      <c r="M384" s="6" t="str">
        <f>"16.874,38"</f>
        <v>16.874,38</v>
      </c>
      <c r="N384" s="5">
        <v>43560</v>
      </c>
      <c r="O384" s="7"/>
      <c r="P384" s="6" t="str">
        <f>"16.874,38"</f>
        <v>16.874,38</v>
      </c>
      <c r="Q384" s="7"/>
      <c r="R384" s="1"/>
      <c r="S384" s="1" t="str">
        <f>"1-19/NOS-26-A/17"</f>
        <v>1-19/NOS-26-A/17</v>
      </c>
      <c r="T384" s="2" t="s">
        <v>33</v>
      </c>
    </row>
    <row r="385" spans="1:20" ht="25.5" x14ac:dyDescent="0.25">
      <c r="A385" s="1">
        <v>381</v>
      </c>
      <c r="B385" s="1" t="str">
        <f>"2017-401"</f>
        <v>2017-401</v>
      </c>
      <c r="C385" s="2" t="s">
        <v>517</v>
      </c>
      <c r="D385" s="1" t="s">
        <v>518</v>
      </c>
      <c r="E385" s="3" t="str">
        <f>""</f>
        <v/>
      </c>
      <c r="F385" s="2" t="s">
        <v>27</v>
      </c>
      <c r="G385" s="2" t="str">
        <f>CONCATENATE("JAKA D.O.O.,"," OGRIZOVIĆEVA 28/B,","  10 000 ZAGREB,"," OIB: 3770592196")</f>
        <v>JAKA D.O.O., OGRIZOVIĆEVA 28/B,  10 000 ZAGREB, OIB: 3770592196</v>
      </c>
      <c r="H385" s="4"/>
      <c r="I385" s="1" t="s">
        <v>521</v>
      </c>
      <c r="J385" s="1" t="s">
        <v>469</v>
      </c>
      <c r="K385" s="6" t="str">
        <f>"2.820,00"</f>
        <v>2.820,00</v>
      </c>
      <c r="L385" s="6" t="str">
        <f>"705,00"</f>
        <v>705,00</v>
      </c>
      <c r="M385" s="6" t="str">
        <f>"3.525,00"</f>
        <v>3.525,00</v>
      </c>
      <c r="N385" s="5">
        <v>43605</v>
      </c>
      <c r="O385" s="7"/>
      <c r="P385" s="6" t="str">
        <f>"3.525,00"</f>
        <v>3.525,00</v>
      </c>
      <c r="Q385" s="7"/>
      <c r="R385" s="1"/>
      <c r="S385" s="1" t="str">
        <f>"3-19/NOS-26-A/17"</f>
        <v>3-19/NOS-26-A/17</v>
      </c>
      <c r="T385" s="2" t="s">
        <v>33</v>
      </c>
    </row>
    <row r="386" spans="1:20" ht="38.25" x14ac:dyDescent="0.25">
      <c r="A386" s="1">
        <v>382</v>
      </c>
      <c r="B386" s="1" t="str">
        <f>"2017-412"</f>
        <v>2017-412</v>
      </c>
      <c r="C386" s="2" t="s">
        <v>522</v>
      </c>
      <c r="D386" s="1" t="s">
        <v>523</v>
      </c>
      <c r="E386" s="3" t="str">
        <f>"2017/S F14-0010045"</f>
        <v>2017/S F14-0010045</v>
      </c>
      <c r="F386" s="2" t="s">
        <v>23</v>
      </c>
      <c r="G386" s="2" t="str">
        <f>CONCATENATE("AUTOBUS D.O.O.,"," I. RESNIK 178,"," 10040 ZAGREB,"," OIB: 77383886713")</f>
        <v>AUTOBUS D.O.O., I. RESNIK 178, 10040 ZAGREB, OIB: 77383886713</v>
      </c>
      <c r="H386" s="4"/>
      <c r="I386" s="1" t="s">
        <v>524</v>
      </c>
      <c r="J386" s="1" t="s">
        <v>525</v>
      </c>
      <c r="K386" s="6" t="str">
        <f>"700.000,00"</f>
        <v>700.000,00</v>
      </c>
      <c r="L386" s="6" t="str">
        <f>"175.000,00"</f>
        <v>175.000,00</v>
      </c>
      <c r="M386" s="6" t="str">
        <f>"875.000,00"</f>
        <v>875.000,00</v>
      </c>
      <c r="N386" s="7"/>
      <c r="O386" s="7"/>
      <c r="P386" s="6" t="str">
        <f>""</f>
        <v/>
      </c>
      <c r="Q386" s="7"/>
      <c r="R386" s="1"/>
      <c r="S386" s="1" t="str">
        <f>"NOS-27/17"</f>
        <v>NOS-27/17</v>
      </c>
      <c r="T386" s="2" t="s">
        <v>33</v>
      </c>
    </row>
    <row r="387" spans="1:20" ht="38.25" x14ac:dyDescent="0.25">
      <c r="A387" s="1">
        <v>383</v>
      </c>
      <c r="B387" s="1" t="str">
        <f>"2017-2529"</f>
        <v>2017-2529</v>
      </c>
      <c r="C387" s="2" t="s">
        <v>526</v>
      </c>
      <c r="D387" s="1" t="s">
        <v>223</v>
      </c>
      <c r="E387" s="3" t="str">
        <f>"2017/S 0F2-0012817"</f>
        <v>2017/S 0F2-0012817</v>
      </c>
      <c r="F387" s="2" t="s">
        <v>23</v>
      </c>
      <c r="G387" s="2" t="str">
        <f>CONCATENATE("OMEGA SOFTWARE D.O.O.,"," KAMENARKA 37,"," 10010 ZAGREB-SLOBOŠTINA,"," OIB: 40102169932")</f>
        <v>OMEGA SOFTWARE D.O.O., KAMENARKA 37, 10010 ZAGREB-SLOBOŠTINA, OIB: 40102169932</v>
      </c>
      <c r="H387" s="4"/>
      <c r="I387" s="1" t="s">
        <v>527</v>
      </c>
      <c r="J387" s="1" t="s">
        <v>528</v>
      </c>
      <c r="K387" s="6" t="str">
        <f>"1.125.000,00"</f>
        <v>1.125.000,00</v>
      </c>
      <c r="L387" s="6" t="str">
        <f>"281.250,00"</f>
        <v>281.250,00</v>
      </c>
      <c r="M387" s="6" t="str">
        <f>"1.406.250,00"</f>
        <v>1.406.250,00</v>
      </c>
      <c r="N387" s="7"/>
      <c r="O387" s="7"/>
      <c r="P387" s="6" t="str">
        <f>""</f>
        <v/>
      </c>
      <c r="Q387" s="7"/>
      <c r="R387" s="1"/>
      <c r="S387" s="1" t="str">
        <f>"NOS-28/17"</f>
        <v>NOS-28/17</v>
      </c>
      <c r="T387" s="2" t="s">
        <v>60</v>
      </c>
    </row>
    <row r="388" spans="1:20" ht="38.25" x14ac:dyDescent="0.25">
      <c r="A388" s="1">
        <v>384</v>
      </c>
      <c r="B388" s="1" t="str">
        <f>"2017-2529"</f>
        <v>2017-2529</v>
      </c>
      <c r="C388" s="2" t="s">
        <v>526</v>
      </c>
      <c r="D388" s="1" t="s">
        <v>223</v>
      </c>
      <c r="E388" s="3" t="str">
        <f>""</f>
        <v/>
      </c>
      <c r="F388" s="2" t="s">
        <v>27</v>
      </c>
      <c r="G388" s="2" t="str">
        <f>CONCATENATE("OMEGA SOFTWARE D.O.O.,"," KAMENARKA 37,"," 10010 ZAGREB-SLOBOŠTINA,"," OIB: 40102169932")</f>
        <v>OMEGA SOFTWARE D.O.O., KAMENARKA 37, 10010 ZAGREB-SLOBOŠTINA, OIB: 40102169932</v>
      </c>
      <c r="H388" s="4"/>
      <c r="I388" s="1" t="s">
        <v>529</v>
      </c>
      <c r="J388" s="1" t="s">
        <v>71</v>
      </c>
      <c r="K388" s="6" t="str">
        <f>"305.250,00"</f>
        <v>305.250,00</v>
      </c>
      <c r="L388" s="6" t="str">
        <f>"76.312,50"</f>
        <v>76.312,50</v>
      </c>
      <c r="M388" s="6" t="str">
        <f>"381.562,50"</f>
        <v>381.562,50</v>
      </c>
      <c r="N388" s="5">
        <v>43524</v>
      </c>
      <c r="O388" s="7"/>
      <c r="P388" s="6" t="str">
        <f>"381.562,50"</f>
        <v>381.562,50</v>
      </c>
      <c r="Q388" s="7"/>
      <c r="R388" s="1"/>
      <c r="S388" s="1" t="str">
        <f>"1-18/NOS-28/17"</f>
        <v>1-18/NOS-28/17</v>
      </c>
      <c r="T388" s="2" t="s">
        <v>60</v>
      </c>
    </row>
    <row r="389" spans="1:20" ht="38.25" x14ac:dyDescent="0.25">
      <c r="A389" s="1">
        <v>385</v>
      </c>
      <c r="B389" s="1" t="str">
        <f>"2017-2529"</f>
        <v>2017-2529</v>
      </c>
      <c r="C389" s="2" t="s">
        <v>526</v>
      </c>
      <c r="D389" s="4"/>
      <c r="E389" s="3" t="str">
        <f>""</f>
        <v/>
      </c>
      <c r="F389" s="2" t="s">
        <v>27</v>
      </c>
      <c r="G389" s="2" t="str">
        <f>CONCATENATE("OMEGA SOFTWARE D.O.O.,"," KAMENARKA 37,"," 10010 ZAGREB-SLOBOŠTINA,"," OIB: 40102169932")</f>
        <v>OMEGA SOFTWARE D.O.O., KAMENARKA 37, 10010 ZAGREB-SLOBOŠTINA, OIB: 40102169932</v>
      </c>
      <c r="H389" s="4"/>
      <c r="I389" s="1" t="s">
        <v>280</v>
      </c>
      <c r="J389" s="1" t="s">
        <v>285</v>
      </c>
      <c r="K389" s="6" t="str">
        <f>"546.000,00"</f>
        <v>546.000,00</v>
      </c>
      <c r="L389" s="6" t="str">
        <f>"136.500,00"</f>
        <v>136.500,00</v>
      </c>
      <c r="M389" s="6" t="str">
        <f>"682.500,00"</f>
        <v>682.500,00</v>
      </c>
      <c r="N389" s="5">
        <v>43707</v>
      </c>
      <c r="O389" s="7"/>
      <c r="P389" s="6" t="str">
        <f>"65.625,00"</f>
        <v>65.625,00</v>
      </c>
      <c r="Q389" s="7"/>
      <c r="R389" s="1"/>
      <c r="S389" s="1" t="str">
        <f>"1-19/NOS-28/17"</f>
        <v>1-19/NOS-28/17</v>
      </c>
      <c r="T389" s="2" t="s">
        <v>60</v>
      </c>
    </row>
    <row r="390" spans="1:20" ht="38.25" x14ac:dyDescent="0.25">
      <c r="A390" s="1">
        <v>386</v>
      </c>
      <c r="B390" s="1" t="str">
        <f>"2017-89"</f>
        <v>2017-89</v>
      </c>
      <c r="C390" s="2" t="s">
        <v>530</v>
      </c>
      <c r="D390" s="1" t="s">
        <v>235</v>
      </c>
      <c r="E390" s="3" t="str">
        <f>" 2017/S 0F2-0004954"</f>
        <v xml:space="preserve"> 2017/S 0F2-0004954</v>
      </c>
      <c r="F390" s="2" t="s">
        <v>23</v>
      </c>
      <c r="G390" s="2" t="str">
        <f>CONCATENATE("GUMIIMPEX - GRP D.O.O.,"," PAVLEKA MIŠKINE 64C,"," 42000 VARAŽDIN,"," OIB: 8229856262")</f>
        <v>GUMIIMPEX - GRP D.O.O., PAVLEKA MIŠKINE 64C, 42000 VARAŽDIN, OIB: 8229856262</v>
      </c>
      <c r="H390" s="4"/>
      <c r="I390" s="1" t="s">
        <v>531</v>
      </c>
      <c r="J390" s="1" t="s">
        <v>532</v>
      </c>
      <c r="K390" s="6" t="str">
        <f>"9.000.000,00"</f>
        <v>9.000.000,00</v>
      </c>
      <c r="L390" s="6" t="str">
        <f>"2.250.000,00"</f>
        <v>2.250.000,00</v>
      </c>
      <c r="M390" s="6" t="str">
        <f>"11.250.000,00"</f>
        <v>11.250.000,00</v>
      </c>
      <c r="N390" s="7"/>
      <c r="O390" s="7"/>
      <c r="P390" s="6" t="str">
        <f>""</f>
        <v/>
      </c>
      <c r="Q390" s="7"/>
      <c r="R390" s="1"/>
      <c r="S390" s="1" t="str">
        <f>"NOS-29/17"</f>
        <v>NOS-29/17</v>
      </c>
      <c r="T390" s="2" t="s">
        <v>33</v>
      </c>
    </row>
    <row r="391" spans="1:20" ht="25.5" x14ac:dyDescent="0.25">
      <c r="A391" s="1">
        <v>387</v>
      </c>
      <c r="B391" s="1" t="str">
        <f>"2017-89"</f>
        <v>2017-89</v>
      </c>
      <c r="C391" s="2" t="s">
        <v>530</v>
      </c>
      <c r="D391" s="1" t="s">
        <v>235</v>
      </c>
      <c r="E391" s="3" t="str">
        <f>""</f>
        <v/>
      </c>
      <c r="F391" s="2" t="s">
        <v>27</v>
      </c>
      <c r="G391" s="2" t="str">
        <f>CONCATENATE("GUMIIMPEX - GRP D.O.O.,"," PAVLEKA MIŠKINE 64C,"," 42000 VARAŽDIN,"," OIB: 8229856262")</f>
        <v>GUMIIMPEX - GRP D.O.O., PAVLEKA MIŠKINE 64C, 42000 VARAŽDIN, OIB: 8229856262</v>
      </c>
      <c r="H391" s="4"/>
      <c r="I391" s="1" t="s">
        <v>311</v>
      </c>
      <c r="J391" s="1" t="s">
        <v>469</v>
      </c>
      <c r="K391" s="6" t="str">
        <f>"98.757,00"</f>
        <v>98.757,00</v>
      </c>
      <c r="L391" s="6" t="str">
        <f>"24.919,25"</f>
        <v>24.919,25</v>
      </c>
      <c r="M391" s="6" t="str">
        <f>"124.596,25"</f>
        <v>124.596,25</v>
      </c>
      <c r="N391" s="5">
        <v>43591</v>
      </c>
      <c r="O391" s="7"/>
      <c r="P391" s="6" t="str">
        <f>"124.596,25"</f>
        <v>124.596,25</v>
      </c>
      <c r="Q391" s="7"/>
      <c r="R391" s="1"/>
      <c r="S391" s="1" t="str">
        <f>"3-19/NOS-29/17"</f>
        <v>3-19/NOS-29/17</v>
      </c>
      <c r="T391" s="2" t="s">
        <v>33</v>
      </c>
    </row>
    <row r="392" spans="1:20" ht="25.5" x14ac:dyDescent="0.25">
      <c r="A392" s="1">
        <v>388</v>
      </c>
      <c r="B392" s="1" t="str">
        <f>"2017-89"</f>
        <v>2017-89</v>
      </c>
      <c r="C392" s="2" t="s">
        <v>530</v>
      </c>
      <c r="D392" s="1" t="s">
        <v>235</v>
      </c>
      <c r="E392" s="3" t="str">
        <f>""</f>
        <v/>
      </c>
      <c r="F392" s="2" t="s">
        <v>27</v>
      </c>
      <c r="G392" s="2" t="str">
        <f>CONCATENATE("GUMIIMPEX - GRP D.O.O.,"," PAVLEKA MIŠKINE 64C,"," 42000 VARAŽDIN,"," OIB: 8229856262")</f>
        <v>GUMIIMPEX - GRP D.O.O., PAVLEKA MIŠKINE 64C, 42000 VARAŽDIN, OIB: 8229856262</v>
      </c>
      <c r="H392" s="4"/>
      <c r="I392" s="1" t="s">
        <v>481</v>
      </c>
      <c r="J392" s="1" t="s">
        <v>469</v>
      </c>
      <c r="K392" s="6" t="str">
        <f>"246.856,00"</f>
        <v>246.856,00</v>
      </c>
      <c r="L392" s="6" t="str">
        <f>"67.859,25"</f>
        <v>67.859,25</v>
      </c>
      <c r="M392" s="6" t="str">
        <f>"339.296,25"</f>
        <v>339.296,25</v>
      </c>
      <c r="N392" s="5">
        <v>43626</v>
      </c>
      <c r="O392" s="7"/>
      <c r="P392" s="6" t="str">
        <f>"339.296,25"</f>
        <v>339.296,25</v>
      </c>
      <c r="Q392" s="7"/>
      <c r="R392" s="1"/>
      <c r="S392" s="1" t="str">
        <f>"4-19/NOS-29/17"</f>
        <v>4-19/NOS-29/17</v>
      </c>
      <c r="T392" s="2" t="s">
        <v>33</v>
      </c>
    </row>
    <row r="393" spans="1:20" ht="25.5" x14ac:dyDescent="0.25">
      <c r="A393" s="1">
        <v>389</v>
      </c>
      <c r="B393" s="1" t="str">
        <f>"2017-89"</f>
        <v>2017-89</v>
      </c>
      <c r="C393" s="2" t="s">
        <v>530</v>
      </c>
      <c r="D393" s="1" t="s">
        <v>235</v>
      </c>
      <c r="E393" s="3" t="str">
        <f>""</f>
        <v/>
      </c>
      <c r="F393" s="2" t="s">
        <v>27</v>
      </c>
      <c r="G393" s="2" t="str">
        <f>CONCATENATE("GUMIIMPEX - GRP D.O.O.,"," PAVLEKA MIŠKINE 64C,"," 42000 VARAŽDIN,"," OIB: 8229856262")</f>
        <v>GUMIIMPEX - GRP D.O.O., PAVLEKA MIŠKINE 64C, 42000 VARAŽDIN, OIB: 8229856262</v>
      </c>
      <c r="H393" s="4"/>
      <c r="I393" s="1" t="s">
        <v>464</v>
      </c>
      <c r="J393" s="1" t="s">
        <v>469</v>
      </c>
      <c r="K393" s="6" t="str">
        <f>"33.866,00"</f>
        <v>33.866,00</v>
      </c>
      <c r="L393" s="6" t="str">
        <f>"8.466,50"</f>
        <v>8.466,50</v>
      </c>
      <c r="M393" s="6" t="str">
        <f>"42.332,50"</f>
        <v>42.332,50</v>
      </c>
      <c r="N393" s="5">
        <v>43594</v>
      </c>
      <c r="O393" s="7"/>
      <c r="P393" s="6" t="str">
        <f>"42.332,50"</f>
        <v>42.332,50</v>
      </c>
      <c r="Q393" s="7"/>
      <c r="R393" s="1"/>
      <c r="S393" s="1" t="str">
        <f>"5-19/NOS-29/17"</f>
        <v>5-19/NOS-29/17</v>
      </c>
      <c r="T393" s="2" t="s">
        <v>33</v>
      </c>
    </row>
    <row r="394" spans="1:20" ht="25.5" x14ac:dyDescent="0.25">
      <c r="A394" s="1">
        <v>390</v>
      </c>
      <c r="B394" s="1" t="str">
        <f>"2017-89"</f>
        <v>2017-89</v>
      </c>
      <c r="C394" s="2" t="s">
        <v>530</v>
      </c>
      <c r="D394" s="1" t="s">
        <v>235</v>
      </c>
      <c r="E394" s="3" t="str">
        <f>""</f>
        <v/>
      </c>
      <c r="F394" s="2" t="s">
        <v>27</v>
      </c>
      <c r="G394" s="2" t="str">
        <f>CONCATENATE("GUMIIMPEX - GRP D.O.O.,"," PAVLEKA MIŠKINE 64C,"," 42000 VARAŽDIN,"," OIB: 8229856262")</f>
        <v>GUMIIMPEX - GRP D.O.O., PAVLEKA MIŠKINE 64C, 42000 VARAŽDIN, OIB: 8229856262</v>
      </c>
      <c r="H394" s="4"/>
      <c r="I394" s="1" t="s">
        <v>162</v>
      </c>
      <c r="J394" s="1" t="s">
        <v>457</v>
      </c>
      <c r="K394" s="6" t="str">
        <f>"140.788,00"</f>
        <v>140.788,00</v>
      </c>
      <c r="L394" s="6" t="str">
        <f>"35.197,00"</f>
        <v>35.197,00</v>
      </c>
      <c r="M394" s="6" t="str">
        <f>"175.985,00"</f>
        <v>175.985,00</v>
      </c>
      <c r="N394" s="5">
        <v>43665</v>
      </c>
      <c r="O394" s="7"/>
      <c r="P394" s="6" t="str">
        <f>"134.145,00"</f>
        <v>134.145,00</v>
      </c>
      <c r="Q394" s="7"/>
      <c r="R394" s="1"/>
      <c r="S394" s="1" t="str">
        <f>"6-19/NOS-29/17"</f>
        <v>6-19/NOS-29/17</v>
      </c>
      <c r="T394" s="2" t="s">
        <v>33</v>
      </c>
    </row>
    <row r="395" spans="1:20" ht="89.25" x14ac:dyDescent="0.25">
      <c r="A395" s="1">
        <v>391</v>
      </c>
      <c r="B395" s="1" t="str">
        <f t="shared" ref="B395:B400" si="40">"2017-3"</f>
        <v>2017-3</v>
      </c>
      <c r="C395" s="2" t="s">
        <v>533</v>
      </c>
      <c r="D395" s="1" t="s">
        <v>136</v>
      </c>
      <c r="E395" s="3" t="str">
        <f>"2017/S 0F2-0008103"</f>
        <v>2017/S 0F2-0008103</v>
      </c>
      <c r="F395" s="2" t="s">
        <v>23</v>
      </c>
      <c r="G395" s="2" t="str">
        <f>CONCATENATE("RESNIK-BETON D.O.O.,"," LJUDEVITA POSAVSKOG 31,"," 10360 SESVETE,"," OIB: 70155272984",CHAR(10),"BMD  STIL D.O.O.,"," BEDENICA 45/A,"," 10381 BEDENICA,"," OIB: 96086822394",CHAR(10),"MC PLUS D.O.O.,"," STUPNIČKE ŠIPKOVINE 3/1,"," 10255 DONJI STUPNIK,"," OIB: 69673689183")</f>
        <v>RESNIK-BETON D.O.O., LJUDEVITA POSAVSKOG 31, 10360 SESVETE, OIB: 70155272984
BMD  STIL D.O.O., BEDENICA 45/A, 10381 BEDENICA, OIB: 96086822394
MC PLUS D.O.O., STUPNIČKE ŠIPKOVINE 3/1, 10255 DONJI STUPNIK, OIB: 69673689183</v>
      </c>
      <c r="H395" s="4"/>
      <c r="I395" s="1" t="s">
        <v>534</v>
      </c>
      <c r="J395" s="1" t="s">
        <v>535</v>
      </c>
      <c r="K395" s="6" t="str">
        <f>"2.050.000,00"</f>
        <v>2.050.000,00</v>
      </c>
      <c r="L395" s="6" t="str">
        <f>"512.500,00"</f>
        <v>512.500,00</v>
      </c>
      <c r="M395" s="6" t="str">
        <f>"2.562.500,00"</f>
        <v>2.562.500,00</v>
      </c>
      <c r="N395" s="7"/>
      <c r="O395" s="7"/>
      <c r="P395" s="6" t="str">
        <f>""</f>
        <v/>
      </c>
      <c r="Q395" s="7"/>
      <c r="R395" s="1"/>
      <c r="S395" s="1" t="str">
        <f>"NOS-30/17"</f>
        <v>NOS-30/17</v>
      </c>
      <c r="T395" s="2" t="s">
        <v>26</v>
      </c>
    </row>
    <row r="396" spans="1:20" ht="25.5" x14ac:dyDescent="0.25">
      <c r="A396" s="1">
        <v>392</v>
      </c>
      <c r="B396" s="1" t="str">
        <f t="shared" si="40"/>
        <v>2017-3</v>
      </c>
      <c r="C396" s="2" t="s">
        <v>533</v>
      </c>
      <c r="D396" s="1" t="s">
        <v>136</v>
      </c>
      <c r="E396" s="3" t="str">
        <f>""</f>
        <v/>
      </c>
      <c r="F396" s="2" t="s">
        <v>27</v>
      </c>
      <c r="G396" s="2" t="str">
        <f>CONCATENATE("BMD  STIL D.O.O.,"," BEDENICA 45/A,"," 10381 BEDENICA,"," OIB: 96086822394")</f>
        <v>BMD  STIL D.O.O., BEDENICA 45/A, 10381 BEDENICA, OIB: 96086822394</v>
      </c>
      <c r="H396" s="4"/>
      <c r="I396" s="1" t="s">
        <v>204</v>
      </c>
      <c r="J396" s="1" t="s">
        <v>121</v>
      </c>
      <c r="K396" s="6" t="str">
        <f>"70.180,00"</f>
        <v>70.180,00</v>
      </c>
      <c r="L396" s="6" t="str">
        <f>"18.014,00"</f>
        <v>18.014,00</v>
      </c>
      <c r="M396" s="6" t="str">
        <f>"90.070,00"</f>
        <v>90.070,00</v>
      </c>
      <c r="N396" s="5">
        <v>43593</v>
      </c>
      <c r="O396" s="7"/>
      <c r="P396" s="6" t="str">
        <f>"90.070,00"</f>
        <v>90.070,00</v>
      </c>
      <c r="Q396" s="7"/>
      <c r="R396" s="1"/>
      <c r="S396" s="1" t="str">
        <f>"1-19/NOS-30/17"</f>
        <v>1-19/NOS-30/17</v>
      </c>
      <c r="T396" s="2" t="s">
        <v>33</v>
      </c>
    </row>
    <row r="397" spans="1:20" ht="38.25" x14ac:dyDescent="0.25">
      <c r="A397" s="1">
        <v>393</v>
      </c>
      <c r="B397" s="1" t="str">
        <f t="shared" si="40"/>
        <v>2017-3</v>
      </c>
      <c r="C397" s="2" t="s">
        <v>533</v>
      </c>
      <c r="D397" s="1" t="s">
        <v>136</v>
      </c>
      <c r="E397" s="3" t="str">
        <f>""</f>
        <v/>
      </c>
      <c r="F397" s="2" t="s">
        <v>27</v>
      </c>
      <c r="G397" s="2" t="str">
        <f>CONCATENATE("RESNIK-BETON D.O.O.,"," LJUDEVITA POSAVSKOG 31,"," 10360 SESVETE,"," OIB: 70155272984")</f>
        <v>RESNIK-BETON D.O.O., LJUDEVITA POSAVSKOG 31, 10360 SESVETE, OIB: 70155272984</v>
      </c>
      <c r="H397" s="4"/>
      <c r="I397" s="1" t="s">
        <v>361</v>
      </c>
      <c r="J397" s="1" t="s">
        <v>121</v>
      </c>
      <c r="K397" s="6" t="str">
        <f>"4.920,00"</f>
        <v>4.920,00</v>
      </c>
      <c r="L397" s="6" t="str">
        <f>"413,75"</f>
        <v>413,75</v>
      </c>
      <c r="M397" s="6" t="str">
        <f>"2.068,75"</f>
        <v>2.068,75</v>
      </c>
      <c r="N397" s="5">
        <v>43708</v>
      </c>
      <c r="O397" s="7"/>
      <c r="P397" s="6" t="str">
        <f>"2.068,75"</f>
        <v>2.068,75</v>
      </c>
      <c r="Q397" s="7"/>
      <c r="R397" s="1"/>
      <c r="S397" s="1" t="str">
        <f>"2-19/NOS-30/17"</f>
        <v>2-19/NOS-30/17</v>
      </c>
      <c r="T397" s="2" t="s">
        <v>29</v>
      </c>
    </row>
    <row r="398" spans="1:20" ht="25.5" x14ac:dyDescent="0.25">
      <c r="A398" s="1">
        <v>394</v>
      </c>
      <c r="B398" s="1" t="str">
        <f t="shared" si="40"/>
        <v>2017-3</v>
      </c>
      <c r="C398" s="2" t="s">
        <v>533</v>
      </c>
      <c r="D398" s="1" t="s">
        <v>136</v>
      </c>
      <c r="E398" s="3" t="str">
        <f>""</f>
        <v/>
      </c>
      <c r="F398" s="2" t="s">
        <v>27</v>
      </c>
      <c r="G398" s="2" t="str">
        <f>CONCATENATE("BMD  STIL D.O.O.,"," BEDENICA 45/A,"," 10381 BEDENICA,"," OIB: 96086822394")</f>
        <v>BMD  STIL D.O.O., BEDENICA 45/A, 10381 BEDENICA, OIB: 96086822394</v>
      </c>
      <c r="H398" s="4"/>
      <c r="I398" s="1" t="s">
        <v>73</v>
      </c>
      <c r="J398" s="1" t="s">
        <v>242</v>
      </c>
      <c r="K398" s="6" t="str">
        <f>"136.000,00"</f>
        <v>136.000,00</v>
      </c>
      <c r="L398" s="6" t="str">
        <f>"31.075,53"</f>
        <v>31.075,53</v>
      </c>
      <c r="M398" s="6" t="str">
        <f>"155.377,63"</f>
        <v>155.377,63</v>
      </c>
      <c r="N398" s="5">
        <v>43706</v>
      </c>
      <c r="O398" s="7"/>
      <c r="P398" s="6" t="str">
        <f>"155.377,62"</f>
        <v>155.377,62</v>
      </c>
      <c r="Q398" s="7"/>
      <c r="R398" s="1"/>
      <c r="S398" s="1" t="str">
        <f>"3-19/NOS-30/17"</f>
        <v>3-19/NOS-30/17</v>
      </c>
      <c r="T398" s="2" t="s">
        <v>33</v>
      </c>
    </row>
    <row r="399" spans="1:20" ht="25.5" x14ac:dyDescent="0.25">
      <c r="A399" s="1">
        <v>395</v>
      </c>
      <c r="B399" s="1" t="str">
        <f t="shared" si="40"/>
        <v>2017-3</v>
      </c>
      <c r="C399" s="2" t="s">
        <v>533</v>
      </c>
      <c r="D399" s="1" t="s">
        <v>136</v>
      </c>
      <c r="E399" s="3" t="str">
        <f>""</f>
        <v/>
      </c>
      <c r="F399" s="2" t="s">
        <v>27</v>
      </c>
      <c r="G399" s="2" t="str">
        <f>CONCATENATE("BMD  STIL D.O.O.,"," BEDENICA 45/A,"," 10381 BEDENICA,"," OIB: 96086822394")</f>
        <v>BMD  STIL D.O.O., BEDENICA 45/A, 10381 BEDENICA, OIB: 96086822394</v>
      </c>
      <c r="H399" s="4"/>
      <c r="I399" s="1" t="s">
        <v>320</v>
      </c>
      <c r="J399" s="1" t="s">
        <v>121</v>
      </c>
      <c r="K399" s="6" t="str">
        <f>"1.556,00"</f>
        <v>1.556,00</v>
      </c>
      <c r="L399" s="6" t="str">
        <f>"389,00"</f>
        <v>389,00</v>
      </c>
      <c r="M399" s="6" t="str">
        <f>"1.945,00"</f>
        <v>1.945,00</v>
      </c>
      <c r="N399" s="5">
        <v>43627</v>
      </c>
      <c r="O399" s="7"/>
      <c r="P399" s="6" t="str">
        <f>"1.945,00"</f>
        <v>1.945,00</v>
      </c>
      <c r="Q399" s="7"/>
      <c r="R399" s="1"/>
      <c r="S399" s="1" t="str">
        <f>"4-19/NOS-30/17"</f>
        <v>4-19/NOS-30/17</v>
      </c>
      <c r="T399" s="2" t="s">
        <v>33</v>
      </c>
    </row>
    <row r="400" spans="1:20" ht="25.5" x14ac:dyDescent="0.25">
      <c r="A400" s="1">
        <v>396</v>
      </c>
      <c r="B400" s="1" t="str">
        <f t="shared" si="40"/>
        <v>2017-3</v>
      </c>
      <c r="C400" s="2" t="s">
        <v>533</v>
      </c>
      <c r="D400" s="1" t="s">
        <v>136</v>
      </c>
      <c r="E400" s="3" t="str">
        <f>""</f>
        <v/>
      </c>
      <c r="F400" s="2" t="s">
        <v>27</v>
      </c>
      <c r="G400" s="2" t="str">
        <f>CONCATENATE("BMD  STIL D.O.O.,"," BEDENICA 45/A,"," 10381 BEDENICA,"," OIB: 96086822394")</f>
        <v>BMD  STIL D.O.O., BEDENICA 45/A, 10381 BEDENICA, OIB: 96086822394</v>
      </c>
      <c r="H400" s="4"/>
      <c r="I400" s="1" t="s">
        <v>159</v>
      </c>
      <c r="J400" s="1" t="s">
        <v>140</v>
      </c>
      <c r="K400" s="6" t="str">
        <f>"59.738,00"</f>
        <v>59.738,00</v>
      </c>
      <c r="L400" s="6" t="str">
        <f>"14.934,50"</f>
        <v>14.934,50</v>
      </c>
      <c r="M400" s="6" t="str">
        <f>"74.672,50"</f>
        <v>74.672,50</v>
      </c>
      <c r="N400" s="5">
        <v>43514</v>
      </c>
      <c r="O400" s="7"/>
      <c r="P400" s="6" t="str">
        <f>"67.322,50"</f>
        <v>67.322,50</v>
      </c>
      <c r="Q400" s="7"/>
      <c r="R400" s="1"/>
      <c r="S400" s="1" t="str">
        <f>"12-18/NOS-30/17"</f>
        <v>12-18/NOS-30/17</v>
      </c>
      <c r="T400" s="2" t="s">
        <v>33</v>
      </c>
    </row>
    <row r="401" spans="1:20" ht="38.25" x14ac:dyDescent="0.25">
      <c r="A401" s="1">
        <v>397</v>
      </c>
      <c r="B401" s="1" t="str">
        <f>"2017-2720"</f>
        <v>2017-2720</v>
      </c>
      <c r="C401" s="2" t="s">
        <v>536</v>
      </c>
      <c r="D401" s="1" t="s">
        <v>537</v>
      </c>
      <c r="E401" s="3" t="str">
        <f>"2017/S F14-0015492"</f>
        <v>2017/S F14-0015492</v>
      </c>
      <c r="F401" s="2" t="s">
        <v>23</v>
      </c>
      <c r="G401" s="2" t="str">
        <f>CONCATENATE("ALLIANZ ZAGREB D.D.,"," SELSKA 136-138,"," 10000 ZAGREB,"," OIB: 23759810849")</f>
        <v>ALLIANZ ZAGREB D.D., SELSKA 136-138, 10000 ZAGREB, OIB: 23759810849</v>
      </c>
      <c r="H401" s="4"/>
      <c r="I401" s="1" t="s">
        <v>467</v>
      </c>
      <c r="J401" s="1" t="s">
        <v>468</v>
      </c>
      <c r="K401" s="6" t="str">
        <f>"800.000,00"</f>
        <v>800.000,00</v>
      </c>
      <c r="L401" s="6" t="str">
        <f>"200.000,00"</f>
        <v>200.000,00</v>
      </c>
      <c r="M401" s="6" t="str">
        <f>"1.000.000,00"</f>
        <v>1.000.000,00</v>
      </c>
      <c r="N401" s="7"/>
      <c r="O401" s="7"/>
      <c r="P401" s="6" t="str">
        <f>""</f>
        <v/>
      </c>
      <c r="Q401" s="7"/>
      <c r="R401" s="1"/>
      <c r="S401" s="1" t="str">
        <f>"NOS-31/17"</f>
        <v>NOS-31/17</v>
      </c>
      <c r="T401" s="2" t="s">
        <v>538</v>
      </c>
    </row>
    <row r="402" spans="1:20" ht="51" x14ac:dyDescent="0.25">
      <c r="A402" s="1">
        <v>398</v>
      </c>
      <c r="B402" s="1" t="str">
        <f>"2017-433"</f>
        <v>2017-433</v>
      </c>
      <c r="C402" s="2" t="s">
        <v>539</v>
      </c>
      <c r="D402" s="1" t="s">
        <v>540</v>
      </c>
      <c r="E402" s="3" t="str">
        <f>" 2017/S 0F2-0008362"</f>
        <v xml:space="preserve"> 2017/S 0F2-0008362</v>
      </c>
      <c r="F402" s="2" t="s">
        <v>23</v>
      </c>
      <c r="G402" s="2" t="str">
        <f>CONCATENATE("AUTOTRANS D.D.,"," ŠETALIŠTE 20. TRAVNJA 18,"," 51557 CRES,"," OIB: 19819724166",CHAR(10),"HERC TOURS D.O.O.,"," RIMSKI PUT 26,"," 10360 SESVETE,"," OIB: 9755291064")</f>
        <v>AUTOTRANS D.D., ŠETALIŠTE 20. TRAVNJA 18, 51557 CRES, OIB: 19819724166
HERC TOURS D.O.O., RIMSKI PUT 26, 10360 SESVETE, OIB: 9755291064</v>
      </c>
      <c r="H402" s="4"/>
      <c r="I402" s="1" t="s">
        <v>541</v>
      </c>
      <c r="J402" s="1" t="s">
        <v>542</v>
      </c>
      <c r="K402" s="6" t="str">
        <f>"1.500.000,00"</f>
        <v>1.500.000,00</v>
      </c>
      <c r="L402" s="6" t="str">
        <f>"375.000,00"</f>
        <v>375.000,00</v>
      </c>
      <c r="M402" s="6" t="str">
        <f>"1.875.000,00"</f>
        <v>1.875.000,00</v>
      </c>
      <c r="N402" s="7"/>
      <c r="O402" s="7"/>
      <c r="P402" s="6" t="str">
        <f>""</f>
        <v/>
      </c>
      <c r="Q402" s="7"/>
      <c r="R402" s="1"/>
      <c r="S402" s="1" t="str">
        <f>"NOS-32/17"</f>
        <v>NOS-32/17</v>
      </c>
      <c r="T402" s="2" t="s">
        <v>33</v>
      </c>
    </row>
    <row r="403" spans="1:20" ht="38.25" x14ac:dyDescent="0.25">
      <c r="A403" s="1">
        <v>399</v>
      </c>
      <c r="B403" s="1" t="str">
        <f>"2017-433"</f>
        <v>2017-433</v>
      </c>
      <c r="C403" s="2" t="s">
        <v>539</v>
      </c>
      <c r="D403" s="4"/>
      <c r="E403" s="3" t="str">
        <f>""</f>
        <v/>
      </c>
      <c r="F403" s="2" t="s">
        <v>27</v>
      </c>
      <c r="G403" s="2" t="str">
        <f>CONCATENATE("HERC TOURS D.O.O.,"," RIMSKI PUT 26,"," 10360 SESVETE,"," OIB: 9755291064")</f>
        <v>HERC TOURS D.O.O., RIMSKI PUT 26, 10360 SESVETE, OIB: 9755291064</v>
      </c>
      <c r="H403" s="4"/>
      <c r="I403" s="1" t="s">
        <v>543</v>
      </c>
      <c r="J403" s="1" t="s">
        <v>42</v>
      </c>
      <c r="K403" s="6" t="str">
        <f>"372.107,00"</f>
        <v>372.107,00</v>
      </c>
      <c r="L403" s="6" t="str">
        <f>"93.026,75"</f>
        <v>93.026,75</v>
      </c>
      <c r="M403" s="6" t="str">
        <f>"465.133,75"</f>
        <v>465.133,75</v>
      </c>
      <c r="N403" s="5">
        <v>43582</v>
      </c>
      <c r="O403" s="7"/>
      <c r="P403" s="6" t="str">
        <f>"285.432,25"</f>
        <v>285.432,25</v>
      </c>
      <c r="Q403" s="7"/>
      <c r="R403" s="1"/>
      <c r="S403" s="1" t="str">
        <f>"12-18/NOS-32/17"</f>
        <v>12-18/NOS-32/17</v>
      </c>
      <c r="T403" s="2" t="s">
        <v>33</v>
      </c>
    </row>
    <row r="404" spans="1:20" ht="38.25" x14ac:dyDescent="0.25">
      <c r="A404" s="1">
        <v>400</v>
      </c>
      <c r="B404" s="1" t="str">
        <f>"2017-433"</f>
        <v>2017-433</v>
      </c>
      <c r="C404" s="2" t="s">
        <v>539</v>
      </c>
      <c r="D404" s="1" t="s">
        <v>540</v>
      </c>
      <c r="E404" s="3" t="str">
        <f>""</f>
        <v/>
      </c>
      <c r="F404" s="2" t="s">
        <v>27</v>
      </c>
      <c r="G404" s="2" t="str">
        <f>CONCATENATE("AUTOTRANS D.D.,"," ŠETALIŠTE 20. TRAVNJA 18,"," 51557 CRES,"," OIB: 19819724166")</f>
        <v>AUTOTRANS D.D., ŠETALIŠTE 20. TRAVNJA 18, 51557 CRES, OIB: 19819724166</v>
      </c>
      <c r="H404" s="4"/>
      <c r="I404" s="1" t="s">
        <v>479</v>
      </c>
      <c r="J404" s="4"/>
      <c r="K404" s="6" t="str">
        <f>"91.000,00"</f>
        <v>91.000,00</v>
      </c>
      <c r="L404" s="6" t="str">
        <f>"22.750,00"</f>
        <v>22.750,00</v>
      </c>
      <c r="M404" s="6" t="str">
        <f>"113.750,00"</f>
        <v>113.750,00</v>
      </c>
      <c r="N404" s="5">
        <v>43640</v>
      </c>
      <c r="O404" s="7"/>
      <c r="P404" s="6" t="str">
        <f>"113.750,00"</f>
        <v>113.750,00</v>
      </c>
      <c r="Q404" s="7"/>
      <c r="R404" s="1"/>
      <c r="S404" s="1" t="str">
        <f>"2-19/NOS-32/17"</f>
        <v>2-19/NOS-32/17</v>
      </c>
      <c r="T404" s="2" t="s">
        <v>33</v>
      </c>
    </row>
    <row r="405" spans="1:20" ht="38.25" x14ac:dyDescent="0.25">
      <c r="A405" s="1">
        <v>401</v>
      </c>
      <c r="B405" s="1" t="str">
        <f>"2017-2568"</f>
        <v>2017-2568</v>
      </c>
      <c r="C405" s="2" t="s">
        <v>544</v>
      </c>
      <c r="D405" s="1" t="s">
        <v>545</v>
      </c>
      <c r="E405" s="3" t="str">
        <f>" 2017/S 0F2-0009514"</f>
        <v xml:space="preserve"> 2017/S 0F2-0009514</v>
      </c>
      <c r="F405" s="2" t="s">
        <v>23</v>
      </c>
      <c r="G405" s="2" t="str">
        <f>CONCATENATE("SAGOVI ZAGREB D.O.O.,"," TORBAROVA 8,"," 10000 ZAGREB,"," OIB: 35639958412")</f>
        <v>SAGOVI ZAGREB D.O.O., TORBAROVA 8, 10000 ZAGREB, OIB: 35639958412</v>
      </c>
      <c r="H405" s="4"/>
      <c r="I405" s="1" t="s">
        <v>541</v>
      </c>
      <c r="J405" s="1" t="s">
        <v>542</v>
      </c>
      <c r="K405" s="6" t="str">
        <f>"1.500.000,00"</f>
        <v>1.500.000,00</v>
      </c>
      <c r="L405" s="6" t="str">
        <f>"375.000,00"</f>
        <v>375.000,00</v>
      </c>
      <c r="M405" s="6" t="str">
        <f>"1.875.000,00"</f>
        <v>1.875.000,00</v>
      </c>
      <c r="N405" s="7"/>
      <c r="O405" s="7"/>
      <c r="P405" s="6" t="str">
        <f>""</f>
        <v/>
      </c>
      <c r="Q405" s="7"/>
      <c r="R405" s="1"/>
      <c r="S405" s="1" t="str">
        <f>"NOS-33/17"</f>
        <v>NOS-33/17</v>
      </c>
      <c r="T405" s="2" t="s">
        <v>33</v>
      </c>
    </row>
    <row r="406" spans="1:20" ht="76.5" x14ac:dyDescent="0.25">
      <c r="A406" s="1">
        <v>402</v>
      </c>
      <c r="B406" s="1" t="str">
        <f t="shared" ref="B406:B416" si="41">"2017-95"</f>
        <v>2017-95</v>
      </c>
      <c r="C406" s="2" t="s">
        <v>546</v>
      </c>
      <c r="D406" s="1" t="s">
        <v>288</v>
      </c>
      <c r="E406" s="3" t="str">
        <f>"2017/S 0F2-0005691"</f>
        <v>2017/S 0F2-0005691</v>
      </c>
      <c r="F406" s="2" t="s">
        <v>23</v>
      </c>
      <c r="G406" s="2" t="str">
        <f>CONCATENATE("JAKA D.O.O.,"," OGRIZOVIĆEVA 28/B,","  10 000 ZAGREB,"," OIB: 37705921960",CHAR(10),"VODOSKOK D.D.,"," ČULINEČKA CESTA 221/C,"," 10040 ZAGREB,"," OIB: 34134218058",CHAR(10),"BILAĆ COLOR D.O.O.,"," VODIĆKA 24,"," 10000 ZAGREB,"," OIB: 54294753")</f>
        <v>JAKA D.O.O., OGRIZOVIĆEVA 28/B,  10 000 ZAGREB, OIB: 37705921960
VODOSKOK D.D., ČULINEČKA CESTA 221/C, 10040 ZAGREB, OIB: 34134218058
BILAĆ COLOR D.O.O., VODIĆKA 24, 10000 ZAGREB, OIB: 54294753</v>
      </c>
      <c r="H406" s="4"/>
      <c r="I406" s="1" t="s">
        <v>547</v>
      </c>
      <c r="J406" s="1" t="s">
        <v>548</v>
      </c>
      <c r="K406" s="6" t="str">
        <f>"2.950.000,00"</f>
        <v>2.950.000,00</v>
      </c>
      <c r="L406" s="6" t="str">
        <f>"737.500,00"</f>
        <v>737.500,00</v>
      </c>
      <c r="M406" s="6" t="str">
        <f>"3.687.500,00"</f>
        <v>3.687.500,00</v>
      </c>
      <c r="N406" s="7"/>
      <c r="O406" s="7"/>
      <c r="P406" s="6" t="str">
        <f>""</f>
        <v/>
      </c>
      <c r="Q406" s="7"/>
      <c r="R406" s="1"/>
      <c r="S406" s="1" t="str">
        <f>"NOS-34-A/17"</f>
        <v>NOS-34-A/17</v>
      </c>
      <c r="T406" s="2" t="s">
        <v>26</v>
      </c>
    </row>
    <row r="407" spans="1:20" ht="25.5" x14ac:dyDescent="0.25">
      <c r="A407" s="1">
        <v>403</v>
      </c>
      <c r="B407" s="1" t="str">
        <f t="shared" si="41"/>
        <v>2017-95</v>
      </c>
      <c r="C407" s="2" t="s">
        <v>546</v>
      </c>
      <c r="D407" s="1" t="s">
        <v>288</v>
      </c>
      <c r="E407" s="3" t="str">
        <f>""</f>
        <v/>
      </c>
      <c r="F407" s="2" t="s">
        <v>27</v>
      </c>
      <c r="G407" s="2" t="str">
        <f>CONCATENATE("VODOSKOK D.D.,"," ČULINEČKA CESTA 221/C,"," 10040 ZAGREB,"," OIB: 34134218058")</f>
        <v>VODOSKOK D.D., ČULINEČKA CESTA 221/C, 10040 ZAGREB, OIB: 34134218058</v>
      </c>
      <c r="H407" s="4"/>
      <c r="I407" s="1" t="s">
        <v>159</v>
      </c>
      <c r="J407" s="1" t="s">
        <v>140</v>
      </c>
      <c r="K407" s="6" t="str">
        <f>"181.180,00"</f>
        <v>181.180,00</v>
      </c>
      <c r="L407" s="6" t="str">
        <f>"45.295,00"</f>
        <v>45.295,00</v>
      </c>
      <c r="M407" s="6" t="str">
        <f>"226.475,00"</f>
        <v>226.475,00</v>
      </c>
      <c r="N407" s="5">
        <v>43615</v>
      </c>
      <c r="O407" s="7"/>
      <c r="P407" s="6" t="str">
        <f>"226.475,00"</f>
        <v>226.475,00</v>
      </c>
      <c r="Q407" s="7"/>
      <c r="R407" s="1"/>
      <c r="S407" s="1" t="str">
        <f>"11-18/NOS-34-A/17"</f>
        <v>11-18/NOS-34-A/17</v>
      </c>
      <c r="T407" s="2" t="s">
        <v>33</v>
      </c>
    </row>
    <row r="408" spans="1:20" ht="25.5" x14ac:dyDescent="0.25">
      <c r="A408" s="1">
        <v>404</v>
      </c>
      <c r="B408" s="1" t="str">
        <f t="shared" si="41"/>
        <v>2017-95</v>
      </c>
      <c r="C408" s="2" t="s">
        <v>546</v>
      </c>
      <c r="D408" s="1" t="s">
        <v>288</v>
      </c>
      <c r="E408" s="3" t="str">
        <f>""</f>
        <v/>
      </c>
      <c r="F408" s="2" t="s">
        <v>27</v>
      </c>
      <c r="G408" s="2" t="str">
        <f>CONCATENATE("VODOSKOK D.D.,"," ČULINEČKA CESTA 221/C,"," 10040 ZAGREB,"," OIB: 34134218058")</f>
        <v>VODOSKOK D.D., ČULINEČKA CESTA 221/C, 10040 ZAGREB, OIB: 34134218058</v>
      </c>
      <c r="H408" s="4"/>
      <c r="I408" s="1" t="s">
        <v>71</v>
      </c>
      <c r="J408" s="1" t="s">
        <v>64</v>
      </c>
      <c r="K408" s="6" t="str">
        <f>"87.720,00"</f>
        <v>87.720,00</v>
      </c>
      <c r="L408" s="6" t="str">
        <f>"21.930,00"</f>
        <v>21.930,00</v>
      </c>
      <c r="M408" s="6" t="str">
        <f>"109.650,00"</f>
        <v>109.650,00</v>
      </c>
      <c r="N408" s="5">
        <v>43615</v>
      </c>
      <c r="O408" s="7"/>
      <c r="P408" s="6" t="str">
        <f>"109.650,00"</f>
        <v>109.650,00</v>
      </c>
      <c r="Q408" s="7"/>
      <c r="R408" s="1"/>
      <c r="S408" s="1" t="str">
        <f>"1-19/NOS-34-A/17"</f>
        <v>1-19/NOS-34-A/17</v>
      </c>
      <c r="T408" s="2" t="s">
        <v>33</v>
      </c>
    </row>
    <row r="409" spans="1:20" ht="38.25" x14ac:dyDescent="0.25">
      <c r="A409" s="1">
        <v>405</v>
      </c>
      <c r="B409" s="1" t="str">
        <f t="shared" si="41"/>
        <v>2017-95</v>
      </c>
      <c r="C409" s="2" t="s">
        <v>546</v>
      </c>
      <c r="D409" s="1" t="s">
        <v>288</v>
      </c>
      <c r="E409" s="3" t="str">
        <f>""</f>
        <v/>
      </c>
      <c r="F409" s="2" t="s">
        <v>27</v>
      </c>
      <c r="G409" s="2" t="str">
        <f>CONCATENATE("JAKA D.O.O.,"," OGRIZOVIĆEVA 28/B,","  10 000 ZAGREB,"," OIB: 3770592196")</f>
        <v>JAKA D.O.O., OGRIZOVIĆEVA 28/B,  10 000 ZAGREB, OIB: 3770592196</v>
      </c>
      <c r="H409" s="4"/>
      <c r="I409" s="1" t="s">
        <v>220</v>
      </c>
      <c r="J409" s="1" t="s">
        <v>355</v>
      </c>
      <c r="K409" s="6" t="str">
        <f>"17.920,00"</f>
        <v>17.920,00</v>
      </c>
      <c r="L409" s="6" t="str">
        <f>"4.480,00"</f>
        <v>4.480,00</v>
      </c>
      <c r="M409" s="6" t="str">
        <f>"22.400,00"</f>
        <v>22.400,00</v>
      </c>
      <c r="N409" s="5">
        <v>43565</v>
      </c>
      <c r="O409" s="7"/>
      <c r="P409" s="6" t="str">
        <f>"22.400,00"</f>
        <v>22.400,00</v>
      </c>
      <c r="Q409" s="7"/>
      <c r="R409" s="1"/>
      <c r="S409" s="1" t="str">
        <f>"2-19/NOS-34-A/17"</f>
        <v>2-19/NOS-34-A/17</v>
      </c>
      <c r="T409" s="2" t="s">
        <v>26</v>
      </c>
    </row>
    <row r="410" spans="1:20" ht="25.5" x14ac:dyDescent="0.25">
      <c r="A410" s="1">
        <v>406</v>
      </c>
      <c r="B410" s="1" t="str">
        <f t="shared" si="41"/>
        <v>2017-95</v>
      </c>
      <c r="C410" s="2" t="s">
        <v>546</v>
      </c>
      <c r="D410" s="1" t="s">
        <v>288</v>
      </c>
      <c r="E410" s="3" t="str">
        <f>""</f>
        <v/>
      </c>
      <c r="F410" s="2" t="s">
        <v>27</v>
      </c>
      <c r="G410" s="2" t="str">
        <f>CONCATENATE("JAKA D.O.O.,"," OGRIZOVIĆEVA 28/B,","  10 000 ZAGREB,"," OIB: 3770592196")</f>
        <v>JAKA D.O.O., OGRIZOVIĆEVA 28/B,  10 000 ZAGREB, OIB: 3770592196</v>
      </c>
      <c r="H410" s="4"/>
      <c r="I410" s="1" t="s">
        <v>494</v>
      </c>
      <c r="J410" s="1" t="s">
        <v>456</v>
      </c>
      <c r="K410" s="6" t="str">
        <f>"110.520,00"</f>
        <v>110.520,00</v>
      </c>
      <c r="L410" s="6" t="str">
        <f>"27.630,00"</f>
        <v>27.630,00</v>
      </c>
      <c r="M410" s="6" t="str">
        <f>"138.150,00"</f>
        <v>138.150,00</v>
      </c>
      <c r="N410" s="5">
        <v>43594</v>
      </c>
      <c r="O410" s="7"/>
      <c r="P410" s="6" t="str">
        <f>"138.150,00"</f>
        <v>138.150,00</v>
      </c>
      <c r="Q410" s="7"/>
      <c r="R410" s="1"/>
      <c r="S410" s="1" t="str">
        <f>"3-19/NOS-34-A/17"</f>
        <v>3-19/NOS-34-A/17</v>
      </c>
      <c r="T410" s="2" t="s">
        <v>33</v>
      </c>
    </row>
    <row r="411" spans="1:20" ht="38.25" x14ac:dyDescent="0.25">
      <c r="A411" s="1">
        <v>407</v>
      </c>
      <c r="B411" s="1" t="str">
        <f t="shared" si="41"/>
        <v>2017-95</v>
      </c>
      <c r="C411" s="2" t="s">
        <v>546</v>
      </c>
      <c r="D411" s="1" t="s">
        <v>288</v>
      </c>
      <c r="E411" s="3" t="str">
        <f>""</f>
        <v/>
      </c>
      <c r="F411" s="2" t="s">
        <v>27</v>
      </c>
      <c r="G411" s="2" t="str">
        <f>CONCATENATE("JAKA D.O.O.,"," OGRIZOVIĆEVA 28/B,","  10 000 ZAGREB,"," OIB: 3770592196")</f>
        <v>JAKA D.O.O., OGRIZOVIĆEVA 28/B,  10 000 ZAGREB, OIB: 3770592196</v>
      </c>
      <c r="H411" s="4"/>
      <c r="I411" s="1" t="s">
        <v>320</v>
      </c>
      <c r="J411" s="1" t="s">
        <v>457</v>
      </c>
      <c r="K411" s="6" t="str">
        <f>"2.860,00"</f>
        <v>2.860,00</v>
      </c>
      <c r="L411" s="6" t="str">
        <f>"715,00"</f>
        <v>715,00</v>
      </c>
      <c r="M411" s="6" t="str">
        <f>"3.575,00"</f>
        <v>3.575,00</v>
      </c>
      <c r="N411" s="5">
        <v>43657</v>
      </c>
      <c r="O411" s="7"/>
      <c r="P411" s="6" t="str">
        <f>"3.575,00"</f>
        <v>3.575,00</v>
      </c>
      <c r="Q411" s="7"/>
      <c r="R411" s="1"/>
      <c r="S411" s="1" t="str">
        <f>"4-19/NOS-34-A/17"</f>
        <v>4-19/NOS-34-A/17</v>
      </c>
      <c r="T411" s="2" t="s">
        <v>26</v>
      </c>
    </row>
    <row r="412" spans="1:20" ht="89.25" x14ac:dyDescent="0.25">
      <c r="A412" s="1">
        <v>408</v>
      </c>
      <c r="B412" s="1" t="str">
        <f t="shared" si="41"/>
        <v>2017-95</v>
      </c>
      <c r="C412" s="2" t="s">
        <v>546</v>
      </c>
      <c r="D412" s="1" t="s">
        <v>288</v>
      </c>
      <c r="E412" s="3" t="str">
        <f>"2017/S 0F2-0005691"</f>
        <v>2017/S 0F2-0005691</v>
      </c>
      <c r="F412" s="2" t="s">
        <v>23</v>
      </c>
      <c r="G412" s="2" t="str">
        <f>CONCATENATE("SMIT-COMMERCE D.O.O.,"," GORNJOSTUPNIČKA 9B,"," 10255 GORNJI STUPNIK,"," OIB: 95243482140",CHAR(10),"TOKOS D.O.O.,"," PAPOVA 10,"," 10000 ZAGREB,"," OIB: 49637042156",CHAR(10),"VODOSKOK D.D.,"," ČULINEČKA CESTA 221/C,"," 10040 ZAGREB,"," OIB: 34134218058")</f>
        <v>SMIT-COMMERCE D.O.O., GORNJOSTUPNIČKA 9B, 10255 GORNJI STUPNIK, OIB: 95243482140
TOKOS D.O.O., PAPOVA 10, 10000 ZAGREB, OIB: 49637042156
VODOSKOK D.D., ČULINEČKA CESTA 221/C, 10040 ZAGREB, OIB: 34134218058</v>
      </c>
      <c r="H412" s="4"/>
      <c r="I412" s="1" t="s">
        <v>549</v>
      </c>
      <c r="J412" s="1" t="s">
        <v>550</v>
      </c>
      <c r="K412" s="6" t="str">
        <f>"950.000,00"</f>
        <v>950.000,00</v>
      </c>
      <c r="L412" s="6" t="str">
        <f>"237.500,00"</f>
        <v>237.500,00</v>
      </c>
      <c r="M412" s="6" t="str">
        <f>"1.187.500,00"</f>
        <v>1.187.500,00</v>
      </c>
      <c r="N412" s="7"/>
      <c r="O412" s="7"/>
      <c r="P412" s="6" t="str">
        <f>""</f>
        <v/>
      </c>
      <c r="Q412" s="7"/>
      <c r="R412" s="1"/>
      <c r="S412" s="1" t="str">
        <f>"NOS-34-B/17"</f>
        <v>NOS-34-B/17</v>
      </c>
      <c r="T412" s="2" t="s">
        <v>26</v>
      </c>
    </row>
    <row r="413" spans="1:20" ht="25.5" x14ac:dyDescent="0.25">
      <c r="A413" s="1">
        <v>409</v>
      </c>
      <c r="B413" s="1" t="str">
        <f t="shared" si="41"/>
        <v>2017-95</v>
      </c>
      <c r="C413" s="2" t="s">
        <v>546</v>
      </c>
      <c r="D413" s="1" t="s">
        <v>288</v>
      </c>
      <c r="E413" s="3" t="str">
        <f>""</f>
        <v/>
      </c>
      <c r="F413" s="2" t="s">
        <v>27</v>
      </c>
      <c r="G413" s="2" t="str">
        <f>CONCATENATE("VODOSKOK D.D.,"," ČULINEČKA CESTA 221/C,"," 10040 ZAGREB,"," OIB: 34134218058")</f>
        <v>VODOSKOK D.D., ČULINEČKA CESTA 221/C, 10040 ZAGREB, OIB: 34134218058</v>
      </c>
      <c r="H413" s="4"/>
      <c r="I413" s="1" t="s">
        <v>203</v>
      </c>
      <c r="J413" s="1" t="s">
        <v>251</v>
      </c>
      <c r="K413" s="6" t="str">
        <f>"11.250,00"</f>
        <v>11.250,00</v>
      </c>
      <c r="L413" s="6" t="str">
        <f>"2.812,50"</f>
        <v>2.812,50</v>
      </c>
      <c r="M413" s="6" t="str">
        <f>"14.062,50"</f>
        <v>14.062,50</v>
      </c>
      <c r="N413" s="5">
        <v>43572</v>
      </c>
      <c r="O413" s="7"/>
      <c r="P413" s="6" t="str">
        <f>"14.062,50"</f>
        <v>14.062,50</v>
      </c>
      <c r="Q413" s="7"/>
      <c r="R413" s="1"/>
      <c r="S413" s="1" t="str">
        <f>"1-19/NOS-34-B/17"</f>
        <v>1-19/NOS-34-B/17</v>
      </c>
      <c r="T413" s="2" t="s">
        <v>29</v>
      </c>
    </row>
    <row r="414" spans="1:20" ht="25.5" x14ac:dyDescent="0.25">
      <c r="A414" s="1">
        <v>410</v>
      </c>
      <c r="B414" s="1" t="str">
        <f t="shared" si="41"/>
        <v>2017-95</v>
      </c>
      <c r="C414" s="2" t="s">
        <v>546</v>
      </c>
      <c r="D414" s="1" t="s">
        <v>288</v>
      </c>
      <c r="E414" s="3" t="str">
        <f>""</f>
        <v/>
      </c>
      <c r="F414" s="2" t="s">
        <v>27</v>
      </c>
      <c r="G414" s="2" t="str">
        <f>CONCATENATE("TOKOS D.O.O.,"," PAPOVA 10,"," 10000 ZAGREB,"," OIB: 49637042156")</f>
        <v>TOKOS D.O.O., PAPOVA 10, 10000 ZAGREB, OIB: 49637042156</v>
      </c>
      <c r="H414" s="4"/>
      <c r="I414" s="1" t="s">
        <v>474</v>
      </c>
      <c r="J414" s="1" t="s">
        <v>140</v>
      </c>
      <c r="K414" s="6" t="str">
        <f>"6.000,00"</f>
        <v>6.000,00</v>
      </c>
      <c r="L414" s="6" t="str">
        <f>"1.500,00"</f>
        <v>1.500,00</v>
      </c>
      <c r="M414" s="6" t="str">
        <f>"7.500,00"</f>
        <v>7.500,00</v>
      </c>
      <c r="N414" s="5">
        <v>43475</v>
      </c>
      <c r="O414" s="7"/>
      <c r="P414" s="6" t="str">
        <f>"7.500,00"</f>
        <v>7.500,00</v>
      </c>
      <c r="Q414" s="7"/>
      <c r="R414" s="1"/>
      <c r="S414" s="1" t="str">
        <f>"11-18/NOS-34-B/17"</f>
        <v>11-18/NOS-34-B/17</v>
      </c>
      <c r="T414" s="2" t="s">
        <v>33</v>
      </c>
    </row>
    <row r="415" spans="1:20" ht="25.5" x14ac:dyDescent="0.25">
      <c r="A415" s="1">
        <v>411</v>
      </c>
      <c r="B415" s="1" t="str">
        <f t="shared" si="41"/>
        <v>2017-95</v>
      </c>
      <c r="C415" s="2" t="s">
        <v>546</v>
      </c>
      <c r="D415" s="1" t="s">
        <v>288</v>
      </c>
      <c r="E415" s="3" t="str">
        <f>""</f>
        <v/>
      </c>
      <c r="F415" s="2" t="s">
        <v>27</v>
      </c>
      <c r="G415" s="2" t="str">
        <f>CONCATENATE("VODOSKOK D.D.,"," ČULINEČKA CESTA 221/C,"," 10040 ZAGREB,"," OIB: 34134218058")</f>
        <v>VODOSKOK D.D., ČULINEČKA CESTA 221/C, 10040 ZAGREB, OIB: 34134218058</v>
      </c>
      <c r="H415" s="4"/>
      <c r="I415" s="1" t="s">
        <v>551</v>
      </c>
      <c r="J415" s="1" t="s">
        <v>73</v>
      </c>
      <c r="K415" s="6" t="str">
        <f>"4.100,00"</f>
        <v>4.100,00</v>
      </c>
      <c r="L415" s="6" t="str">
        <f>"1.025,00"</f>
        <v>1.025,00</v>
      </c>
      <c r="M415" s="6" t="str">
        <f>"5.125,00"</f>
        <v>5.125,00</v>
      </c>
      <c r="N415" s="5">
        <v>43608</v>
      </c>
      <c r="O415" s="7"/>
      <c r="P415" s="6" t="str">
        <f>"5.125,00"</f>
        <v>5.125,00</v>
      </c>
      <c r="Q415" s="7"/>
      <c r="R415" s="1"/>
      <c r="S415" s="1" t="str">
        <f>"3-19/NOS-34-B/17"</f>
        <v>3-19/NOS-34-B/17</v>
      </c>
      <c r="T415" s="2" t="s">
        <v>33</v>
      </c>
    </row>
    <row r="416" spans="1:20" ht="38.25" x14ac:dyDescent="0.25">
      <c r="A416" s="1">
        <v>412</v>
      </c>
      <c r="B416" s="1" t="str">
        <f t="shared" si="41"/>
        <v>2017-95</v>
      </c>
      <c r="C416" s="2" t="s">
        <v>546</v>
      </c>
      <c r="D416" s="1" t="s">
        <v>288</v>
      </c>
      <c r="E416" s="3" t="str">
        <f>""</f>
        <v/>
      </c>
      <c r="F416" s="2" t="s">
        <v>27</v>
      </c>
      <c r="G416" s="2" t="str">
        <f>CONCATENATE("SMIT-COMMERCE D.O.O.,"," GORNJOSTUPNIČKA 9B,"," 10255 GORNJI STUPNIK,"," OIB: 9524348214")</f>
        <v>SMIT-COMMERCE D.O.O., GORNJOSTUPNIČKA 9B, 10255 GORNJI STUPNIK, OIB: 9524348214</v>
      </c>
      <c r="H416" s="4"/>
      <c r="I416" s="1" t="s">
        <v>269</v>
      </c>
      <c r="J416" s="1" t="s">
        <v>114</v>
      </c>
      <c r="K416" s="6" t="str">
        <f>"937,50"</f>
        <v>937,50</v>
      </c>
      <c r="L416" s="6" t="str">
        <f>"234,38"</f>
        <v>234,38</v>
      </c>
      <c r="M416" s="6" t="str">
        <f>"1.171,88"</f>
        <v>1.171,88</v>
      </c>
      <c r="N416" s="5">
        <v>43672</v>
      </c>
      <c r="O416" s="7"/>
      <c r="P416" s="6" t="str">
        <f>"1.171,88"</f>
        <v>1.171,88</v>
      </c>
      <c r="Q416" s="7"/>
      <c r="R416" s="1"/>
      <c r="S416" s="1" t="str">
        <f>"4-19/NOS-34-B/17"</f>
        <v>4-19/NOS-34-B/17</v>
      </c>
      <c r="T416" s="2" t="s">
        <v>33</v>
      </c>
    </row>
    <row r="417" spans="1:20" ht="38.25" x14ac:dyDescent="0.25">
      <c r="A417" s="1">
        <v>413</v>
      </c>
      <c r="B417" s="1" t="str">
        <f>"2017-438"</f>
        <v>2017-438</v>
      </c>
      <c r="C417" s="2" t="s">
        <v>552</v>
      </c>
      <c r="D417" s="1" t="s">
        <v>553</v>
      </c>
      <c r="E417" s="3" t="str">
        <f>" 2017/S F14-0015450"</f>
        <v xml:space="preserve"> 2017/S F14-0015450</v>
      </c>
      <c r="F417" s="2" t="s">
        <v>23</v>
      </c>
      <c r="G417" s="2" t="str">
        <f>CONCATENATE("KONČAR-ELEKTRIČNA VOZILA D.D.,"," ANTE BABAJE 1,"," 10090 ZAGREB-SUSEDGRAD,"," OIB: 6625394579")</f>
        <v>KONČAR-ELEKTRIČNA VOZILA D.D., ANTE BABAJE 1, 10090 ZAGREB-SUSEDGRAD, OIB: 6625394579</v>
      </c>
      <c r="H417" s="4"/>
      <c r="I417" s="1" t="s">
        <v>549</v>
      </c>
      <c r="J417" s="1" t="s">
        <v>550</v>
      </c>
      <c r="K417" s="6" t="str">
        <f>"130.000.000,00"</f>
        <v>130.000.000,00</v>
      </c>
      <c r="L417" s="6" t="str">
        <f>"32.500.000,00"</f>
        <v>32.500.000,00</v>
      </c>
      <c r="M417" s="6" t="str">
        <f>"162.500.000,00"</f>
        <v>162.500.000,00</v>
      </c>
      <c r="N417" s="7"/>
      <c r="O417" s="7"/>
      <c r="P417" s="6" t="str">
        <f>""</f>
        <v/>
      </c>
      <c r="Q417" s="7"/>
      <c r="R417" s="1"/>
      <c r="S417" s="1" t="str">
        <f>"NOS-35/17"</f>
        <v>NOS-35/17</v>
      </c>
      <c r="T417" s="2" t="s">
        <v>33</v>
      </c>
    </row>
    <row r="418" spans="1:20" ht="38.25" x14ac:dyDescent="0.25">
      <c r="A418" s="1">
        <v>414</v>
      </c>
      <c r="B418" s="1" t="str">
        <f>"2017-346"</f>
        <v>2017-346</v>
      </c>
      <c r="C418" s="2" t="s">
        <v>554</v>
      </c>
      <c r="D418" s="1" t="s">
        <v>192</v>
      </c>
      <c r="E418" s="3" t="str">
        <f>"2017/S 0F2-0012698"</f>
        <v>2017/S 0F2-0012698</v>
      </c>
      <c r="F418" s="2" t="s">
        <v>23</v>
      </c>
      <c r="G418" s="2" t="str">
        <f>CONCATENATE("GRA-PO D.O.O.,"," GOSPODARSKA 5B,"," 10255 ZAGREB - STUPNIK,"," OIB: 05364995085")</f>
        <v>GRA-PO D.O.O., GOSPODARSKA 5B, 10255 ZAGREB - STUPNIK, OIB: 05364995085</v>
      </c>
      <c r="H418" s="4"/>
      <c r="I418" s="1" t="s">
        <v>549</v>
      </c>
      <c r="J418" s="1" t="s">
        <v>550</v>
      </c>
      <c r="K418" s="6" t="str">
        <f>"600.000,00"</f>
        <v>600.000,00</v>
      </c>
      <c r="L418" s="6" t="str">
        <f>"150.000,00"</f>
        <v>150.000,00</v>
      </c>
      <c r="M418" s="6" t="str">
        <f>"750.000,00"</f>
        <v>750.000,00</v>
      </c>
      <c r="N418" s="7"/>
      <c r="O418" s="7"/>
      <c r="P418" s="6" t="str">
        <f>""</f>
        <v/>
      </c>
      <c r="Q418" s="7"/>
      <c r="R418" s="1"/>
      <c r="S418" s="1" t="str">
        <f>"NOS-36-B/17"</f>
        <v>NOS-36-B/17</v>
      </c>
      <c r="T418" s="2" t="s">
        <v>33</v>
      </c>
    </row>
    <row r="419" spans="1:20" ht="114.75" x14ac:dyDescent="0.25">
      <c r="A419" s="1">
        <v>415</v>
      </c>
      <c r="B419" s="1" t="str">
        <f t="shared" ref="B419:B439" si="42">"2017-2614"</f>
        <v>2017-2614</v>
      </c>
      <c r="C419" s="2" t="s">
        <v>405</v>
      </c>
      <c r="D419" s="1" t="s">
        <v>406</v>
      </c>
      <c r="E419" s="3" t="str">
        <f>"2017/S 0F2-0013218"</f>
        <v>2017/S 0F2-0013218</v>
      </c>
      <c r="F419" s="2" t="s">
        <v>23</v>
      </c>
      <c r="G419" s="2" t="str">
        <f t="shared" ref="G419:G436" si="43">CONCATENATE("VIATOR D.O.O.,"," KRALJA DRŽISLAVA 6,"," 21000 SPLIT,"," OIB: 6473171712")</f>
        <v>VIATOR D.O.O., KRALJA DRŽISLAVA 6, 21000 SPLIT, OIB: 6473171712</v>
      </c>
      <c r="H419" s="4"/>
      <c r="I419" s="1" t="s">
        <v>555</v>
      </c>
      <c r="J419" s="1" t="s">
        <v>556</v>
      </c>
      <c r="K419" s="6" t="str">
        <f>"16.920.000,00"</f>
        <v>16.920.000,00</v>
      </c>
      <c r="L419" s="6" t="str">
        <f>"4.230.000,00"</f>
        <v>4.230.000,00</v>
      </c>
      <c r="M419" s="6" t="str">
        <f>"21.150.000,00"</f>
        <v>21.150.000,00</v>
      </c>
      <c r="N419" s="7"/>
      <c r="O419" s="7"/>
      <c r="P419" s="6" t="str">
        <f>""</f>
        <v/>
      </c>
      <c r="Q419" s="7"/>
      <c r="R419" s="1"/>
      <c r="S419" s="1" t="str">
        <f>"NOS-37-A/17"</f>
        <v>NOS-37-A/17</v>
      </c>
      <c r="T419" s="2" t="s">
        <v>557</v>
      </c>
    </row>
    <row r="420" spans="1:20" ht="51" x14ac:dyDescent="0.25">
      <c r="A420" s="1">
        <v>416</v>
      </c>
      <c r="B420" s="1" t="str">
        <f t="shared" si="42"/>
        <v>2017-2614</v>
      </c>
      <c r="C420" s="2" t="s">
        <v>405</v>
      </c>
      <c r="D420" s="1" t="s">
        <v>406</v>
      </c>
      <c r="E420" s="3" t="str">
        <f>""</f>
        <v/>
      </c>
      <c r="F420" s="2" t="s">
        <v>27</v>
      </c>
      <c r="G420" s="2" t="str">
        <f t="shared" si="43"/>
        <v>VIATOR D.O.O., KRALJA DRŽISLAVA 6, 21000 SPLIT, OIB: 6473171712</v>
      </c>
      <c r="H420" s="4"/>
      <c r="I420" s="1" t="s">
        <v>385</v>
      </c>
      <c r="J420" s="1" t="s">
        <v>558</v>
      </c>
      <c r="K420" s="6" t="str">
        <f>"4.546.075,00"</f>
        <v>4.546.075,00</v>
      </c>
      <c r="L420" s="6" t="str">
        <f>"1.136.518,75"</f>
        <v>1.136.518,75</v>
      </c>
      <c r="M420" s="6" t="str">
        <f>"5.682.593,75"</f>
        <v>5.682.593,75</v>
      </c>
      <c r="N420" s="5">
        <v>43615</v>
      </c>
      <c r="O420" s="7"/>
      <c r="P420" s="6" t="str">
        <f>"4.589.291,25"</f>
        <v>4.589.291,25</v>
      </c>
      <c r="Q420" s="7"/>
      <c r="R420" s="1"/>
      <c r="S420" s="1" t="str">
        <f>"2-17/NOS-37-A/17"</f>
        <v>2-17/NOS-37-A/17</v>
      </c>
      <c r="T420" s="2" t="s">
        <v>559</v>
      </c>
    </row>
    <row r="421" spans="1:20" ht="51" x14ac:dyDescent="0.25">
      <c r="A421" s="1">
        <v>417</v>
      </c>
      <c r="B421" s="1" t="str">
        <f t="shared" si="42"/>
        <v>2017-2614</v>
      </c>
      <c r="C421" s="2" t="s">
        <v>560</v>
      </c>
      <c r="D421" s="1" t="s">
        <v>406</v>
      </c>
      <c r="E421" s="3" t="str">
        <f>""</f>
        <v/>
      </c>
      <c r="F421" s="2" t="s">
        <v>52</v>
      </c>
      <c r="G421" s="2" t="str">
        <f t="shared" si="43"/>
        <v>VIATOR D.O.O., KRALJA DRŽISLAVA 6, 21000 SPLIT, OIB: 6473171712</v>
      </c>
      <c r="H421" s="4"/>
      <c r="I421" s="1" t="s">
        <v>561</v>
      </c>
      <c r="J421" s="1" t="s">
        <v>562</v>
      </c>
      <c r="K421" s="6" t="str">
        <f>""</f>
        <v/>
      </c>
      <c r="L421" s="6" t="str">
        <f>"0,00"</f>
        <v>0,00</v>
      </c>
      <c r="M421" s="6" t="str">
        <f>"0,00"</f>
        <v>0,00</v>
      </c>
      <c r="N421" s="5">
        <v>43615</v>
      </c>
      <c r="O421" s="7"/>
      <c r="P421" s="6" t="str">
        <f>"211.650,00"</f>
        <v>211.650,00</v>
      </c>
      <c r="Q421" s="7"/>
      <c r="R421" s="1"/>
      <c r="S421" s="1" t="str">
        <f>"2-17/NOS-37-A/17-1"</f>
        <v>2-17/NOS-37-A/17-1</v>
      </c>
      <c r="T421" s="2" t="s">
        <v>33</v>
      </c>
    </row>
    <row r="422" spans="1:20" ht="25.5" x14ac:dyDescent="0.25">
      <c r="A422" s="1">
        <v>418</v>
      </c>
      <c r="B422" s="1" t="str">
        <f t="shared" si="42"/>
        <v>2017-2614</v>
      </c>
      <c r="C422" s="2" t="s">
        <v>405</v>
      </c>
      <c r="D422" s="4"/>
      <c r="E422" s="3" t="str">
        <f>""</f>
        <v/>
      </c>
      <c r="F422" s="2" t="s">
        <v>27</v>
      </c>
      <c r="G422" s="2" t="str">
        <f t="shared" si="43"/>
        <v>VIATOR D.O.O., KRALJA DRŽISLAVA 6, 21000 SPLIT, OIB: 6473171712</v>
      </c>
      <c r="H422" s="4"/>
      <c r="I422" s="1" t="s">
        <v>563</v>
      </c>
      <c r="J422" s="1" t="s">
        <v>372</v>
      </c>
      <c r="K422" s="6" t="str">
        <f>"50.400,00"</f>
        <v>50.400,00</v>
      </c>
      <c r="L422" s="6" t="str">
        <f>"12.600,00"</f>
        <v>12.600,00</v>
      </c>
      <c r="M422" s="6" t="str">
        <f>"63.000,00"</f>
        <v>63.000,00</v>
      </c>
      <c r="N422" s="5">
        <v>43472</v>
      </c>
      <c r="O422" s="7"/>
      <c r="P422" s="6" t="str">
        <f>"63.175,00"</f>
        <v>63.175,00</v>
      </c>
      <c r="Q422" s="7"/>
      <c r="R422" s="1"/>
      <c r="S422" s="1" t="str">
        <f>"6-17/NOS-37-A/17"</f>
        <v>6-17/NOS-37-A/17</v>
      </c>
      <c r="T422" s="2" t="s">
        <v>112</v>
      </c>
    </row>
    <row r="423" spans="1:20" ht="25.5" x14ac:dyDescent="0.25">
      <c r="A423" s="1">
        <v>419</v>
      </c>
      <c r="B423" s="1" t="str">
        <f t="shared" si="42"/>
        <v>2017-2614</v>
      </c>
      <c r="C423" s="2" t="s">
        <v>405</v>
      </c>
      <c r="D423" s="4"/>
      <c r="E423" s="3" t="str">
        <f>""</f>
        <v/>
      </c>
      <c r="F423" s="2" t="s">
        <v>27</v>
      </c>
      <c r="G423" s="2" t="str">
        <f t="shared" si="43"/>
        <v>VIATOR D.O.O., KRALJA DRŽISLAVA 6, 21000 SPLIT, OIB: 6473171712</v>
      </c>
      <c r="H423" s="4"/>
      <c r="I423" s="1" t="s">
        <v>564</v>
      </c>
      <c r="J423" s="1" t="s">
        <v>343</v>
      </c>
      <c r="K423" s="6" t="str">
        <f>"85.050,00"</f>
        <v>85.050,00</v>
      </c>
      <c r="L423" s="6" t="str">
        <f>"21.262,50"</f>
        <v>21.262,50</v>
      </c>
      <c r="M423" s="6" t="str">
        <f>"106.312,50"</f>
        <v>106.312,50</v>
      </c>
      <c r="N423" s="5">
        <v>43578</v>
      </c>
      <c r="O423" s="7"/>
      <c r="P423" s="6" t="str">
        <f>"58.612,50"</f>
        <v>58.612,50</v>
      </c>
      <c r="Q423" s="7"/>
      <c r="R423" s="1"/>
      <c r="S423" s="1" t="str">
        <f>"5-18/NOS-37-A/17"</f>
        <v>5-18/NOS-37-A/17</v>
      </c>
      <c r="T423" s="2" t="s">
        <v>33</v>
      </c>
    </row>
    <row r="424" spans="1:20" ht="25.5" x14ac:dyDescent="0.25">
      <c r="A424" s="1">
        <v>420</v>
      </c>
      <c r="B424" s="1" t="str">
        <f t="shared" si="42"/>
        <v>2017-2614</v>
      </c>
      <c r="C424" s="2" t="s">
        <v>405</v>
      </c>
      <c r="D424" s="4"/>
      <c r="E424" s="3" t="str">
        <f>""</f>
        <v/>
      </c>
      <c r="F424" s="2" t="s">
        <v>27</v>
      </c>
      <c r="G424" s="2" t="str">
        <f t="shared" si="43"/>
        <v>VIATOR D.O.O., KRALJA DRŽISLAVA 6, 21000 SPLIT, OIB: 6473171712</v>
      </c>
      <c r="H424" s="4"/>
      <c r="I424" s="1" t="s">
        <v>565</v>
      </c>
      <c r="J424" s="1" t="s">
        <v>566</v>
      </c>
      <c r="K424" s="6" t="str">
        <f>"75.410,00"</f>
        <v>75.410,00</v>
      </c>
      <c r="L424" s="6" t="str">
        <f>"18.852,50"</f>
        <v>18.852,50</v>
      </c>
      <c r="M424" s="6" t="str">
        <f>"94.262,50"</f>
        <v>94.262,50</v>
      </c>
      <c r="N424" s="5">
        <v>43552</v>
      </c>
      <c r="O424" s="7"/>
      <c r="P424" s="6" t="str">
        <f>"94.037,50"</f>
        <v>94.037,50</v>
      </c>
      <c r="Q424" s="7"/>
      <c r="R424" s="1"/>
      <c r="S424" s="1" t="str">
        <f>"7-18/NOS-37-A/17"</f>
        <v>7-18/NOS-37-A/17</v>
      </c>
      <c r="T424" s="2" t="s">
        <v>60</v>
      </c>
    </row>
    <row r="425" spans="1:20" ht="38.25" x14ac:dyDescent="0.25">
      <c r="A425" s="1">
        <v>421</v>
      </c>
      <c r="B425" s="1" t="str">
        <f t="shared" si="42"/>
        <v>2017-2614</v>
      </c>
      <c r="C425" s="2" t="s">
        <v>405</v>
      </c>
      <c r="D425" s="1" t="s">
        <v>406</v>
      </c>
      <c r="E425" s="3" t="str">
        <f>""</f>
        <v/>
      </c>
      <c r="F425" s="2" t="s">
        <v>27</v>
      </c>
      <c r="G425" s="2" t="str">
        <f t="shared" si="43"/>
        <v>VIATOR D.O.O., KRALJA DRŽISLAVA 6, 21000 SPLIT, OIB: 6473171712</v>
      </c>
      <c r="H425" s="4"/>
      <c r="I425" s="1" t="s">
        <v>567</v>
      </c>
      <c r="J425" s="1" t="s">
        <v>568</v>
      </c>
      <c r="K425" s="6" t="str">
        <f>"133.590,00"</f>
        <v>133.590,00</v>
      </c>
      <c r="L425" s="6" t="str">
        <f>"33.397,50"</f>
        <v>33.397,50</v>
      </c>
      <c r="M425" s="6" t="str">
        <f>"166.987,50"</f>
        <v>166.987,50</v>
      </c>
      <c r="N425" s="5">
        <v>43584</v>
      </c>
      <c r="O425" s="7"/>
      <c r="P425" s="6" t="str">
        <f>"133.732,50"</f>
        <v>133.732,50</v>
      </c>
      <c r="Q425" s="7"/>
      <c r="R425" s="1"/>
      <c r="S425" s="1" t="str">
        <f>"11-18/NOS-37-A/17"</f>
        <v>11-18/NOS-37-A/17</v>
      </c>
      <c r="T425" s="2" t="s">
        <v>65</v>
      </c>
    </row>
    <row r="426" spans="1:20" ht="51" x14ac:dyDescent="0.25">
      <c r="A426" s="1">
        <v>422</v>
      </c>
      <c r="B426" s="1" t="str">
        <f t="shared" si="42"/>
        <v>2017-2614</v>
      </c>
      <c r="C426" s="2" t="s">
        <v>405</v>
      </c>
      <c r="D426" s="1" t="s">
        <v>406</v>
      </c>
      <c r="E426" s="3" t="str">
        <f>""</f>
        <v/>
      </c>
      <c r="F426" s="2" t="s">
        <v>27</v>
      </c>
      <c r="G426" s="2" t="str">
        <f t="shared" si="43"/>
        <v>VIATOR D.O.O., KRALJA DRŽISLAVA 6, 21000 SPLIT, OIB: 6473171712</v>
      </c>
      <c r="H426" s="4"/>
      <c r="I426" s="1" t="s">
        <v>569</v>
      </c>
      <c r="J426" s="1" t="s">
        <v>570</v>
      </c>
      <c r="K426" s="6" t="str">
        <f>"4.064.780,00"</f>
        <v>4.064.780,00</v>
      </c>
      <c r="L426" s="6" t="str">
        <f>"1.016.195,00"</f>
        <v>1.016.195,00</v>
      </c>
      <c r="M426" s="6" t="str">
        <f>"5.080.975,00"</f>
        <v>5.080.975,00</v>
      </c>
      <c r="N426" s="5">
        <v>43798</v>
      </c>
      <c r="O426" s="7"/>
      <c r="P426" s="6" t="str">
        <f>"4.067.629,82"</f>
        <v>4.067.629,82</v>
      </c>
      <c r="Q426" s="7"/>
      <c r="R426" s="1"/>
      <c r="S426" s="1" t="str">
        <f>"15-18/NOS-37-A/17"</f>
        <v>15-18/NOS-37-A/17</v>
      </c>
      <c r="T426" s="2" t="s">
        <v>559</v>
      </c>
    </row>
    <row r="427" spans="1:20" ht="51" x14ac:dyDescent="0.25">
      <c r="A427" s="1">
        <v>423</v>
      </c>
      <c r="B427" s="1" t="str">
        <f t="shared" si="42"/>
        <v>2017-2614</v>
      </c>
      <c r="C427" s="2" t="s">
        <v>560</v>
      </c>
      <c r="D427" s="1" t="s">
        <v>406</v>
      </c>
      <c r="E427" s="3" t="str">
        <f>""</f>
        <v/>
      </c>
      <c r="F427" s="2" t="s">
        <v>52</v>
      </c>
      <c r="G427" s="2" t="str">
        <f t="shared" si="43"/>
        <v>VIATOR D.O.O., KRALJA DRŽISLAVA 6, 21000 SPLIT, OIB: 6473171712</v>
      </c>
      <c r="H427" s="4"/>
      <c r="I427" s="1" t="s">
        <v>138</v>
      </c>
      <c r="J427" s="1" t="s">
        <v>570</v>
      </c>
      <c r="K427" s="6" t="str">
        <f>"79.500,00"</f>
        <v>79.500,00</v>
      </c>
      <c r="L427" s="6" t="str">
        <f>"19.875,00"</f>
        <v>19.875,00</v>
      </c>
      <c r="M427" s="6" t="str">
        <f>"99.375,00"</f>
        <v>99.375,00</v>
      </c>
      <c r="N427" s="5">
        <v>43615</v>
      </c>
      <c r="O427" s="7"/>
      <c r="P427" s="6" t="str">
        <f>"51.562,50"</f>
        <v>51.562,50</v>
      </c>
      <c r="Q427" s="7"/>
      <c r="R427" s="1"/>
      <c r="S427" s="1" t="str">
        <f>"15-18/NOS-37-A/17-1"</f>
        <v>15-18/NOS-37-A/17-1</v>
      </c>
      <c r="T427" s="2" t="s">
        <v>33</v>
      </c>
    </row>
    <row r="428" spans="1:20" ht="51" x14ac:dyDescent="0.25">
      <c r="A428" s="1">
        <v>424</v>
      </c>
      <c r="B428" s="1" t="str">
        <f t="shared" si="42"/>
        <v>2017-2614</v>
      </c>
      <c r="C428" s="2" t="s">
        <v>560</v>
      </c>
      <c r="D428" s="1" t="s">
        <v>406</v>
      </c>
      <c r="E428" s="3" t="str">
        <f>""</f>
        <v/>
      </c>
      <c r="F428" s="2" t="s">
        <v>52</v>
      </c>
      <c r="G428" s="2" t="str">
        <f t="shared" si="43"/>
        <v>VIATOR D.O.O., KRALJA DRŽISLAVA 6, 21000 SPLIT, OIB: 6473171712</v>
      </c>
      <c r="H428" s="4"/>
      <c r="I428" s="1" t="s">
        <v>140</v>
      </c>
      <c r="J428" s="1" t="s">
        <v>570</v>
      </c>
      <c r="K428" s="6" t="str">
        <f>"28.800,00"</f>
        <v>28.800,00</v>
      </c>
      <c r="L428" s="6" t="str">
        <f>"7.200,00"</f>
        <v>7.200,00</v>
      </c>
      <c r="M428" s="6" t="str">
        <f>"36.000,00"</f>
        <v>36.000,00</v>
      </c>
      <c r="N428" s="5">
        <v>43706</v>
      </c>
      <c r="O428" s="7"/>
      <c r="P428" s="6" t="str">
        <f>"30.525,00"</f>
        <v>30.525,00</v>
      </c>
      <c r="Q428" s="7"/>
      <c r="R428" s="1"/>
      <c r="S428" s="1" t="str">
        <f>"15-18/NOS-37-A/17#2"</f>
        <v>15-18/NOS-37-A/17#2</v>
      </c>
      <c r="T428" s="2" t="s">
        <v>33</v>
      </c>
    </row>
    <row r="429" spans="1:20" ht="51" x14ac:dyDescent="0.25">
      <c r="A429" s="1">
        <v>425</v>
      </c>
      <c r="B429" s="1" t="str">
        <f t="shared" si="42"/>
        <v>2017-2614</v>
      </c>
      <c r="C429" s="2" t="s">
        <v>560</v>
      </c>
      <c r="D429" s="1" t="s">
        <v>406</v>
      </c>
      <c r="E429" s="3" t="str">
        <f>""</f>
        <v/>
      </c>
      <c r="F429" s="2" t="s">
        <v>52</v>
      </c>
      <c r="G429" s="2" t="str">
        <f t="shared" si="43"/>
        <v>VIATOR D.O.O., KRALJA DRŽISLAVA 6, 21000 SPLIT, OIB: 6473171712</v>
      </c>
      <c r="H429" s="4"/>
      <c r="I429" s="1" t="s">
        <v>414</v>
      </c>
      <c r="J429" s="1" t="s">
        <v>570</v>
      </c>
      <c r="K429" s="6" t="str">
        <f>"13.300,00"</f>
        <v>13.300,00</v>
      </c>
      <c r="L429" s="6" t="str">
        <f>"3.325,00"</f>
        <v>3.325,00</v>
      </c>
      <c r="M429" s="6" t="str">
        <f>"16.625,00"</f>
        <v>16.625,00</v>
      </c>
      <c r="N429" s="5">
        <v>43706</v>
      </c>
      <c r="O429" s="7"/>
      <c r="P429" s="6" t="str">
        <f>"11.287,50"</f>
        <v>11.287,50</v>
      </c>
      <c r="Q429" s="7"/>
      <c r="R429" s="1"/>
      <c r="S429" s="1" t="str">
        <f>"15-18/NOS-37-A/17#3"</f>
        <v>15-18/NOS-37-A/17#3</v>
      </c>
      <c r="T429" s="2" t="s">
        <v>33</v>
      </c>
    </row>
    <row r="430" spans="1:20" ht="25.5" x14ac:dyDescent="0.25">
      <c r="A430" s="1">
        <v>426</v>
      </c>
      <c r="B430" s="1" t="str">
        <f t="shared" si="42"/>
        <v>2017-2614</v>
      </c>
      <c r="C430" s="2" t="s">
        <v>405</v>
      </c>
      <c r="D430" s="1" t="s">
        <v>406</v>
      </c>
      <c r="E430" s="3" t="str">
        <f>""</f>
        <v/>
      </c>
      <c r="F430" s="2" t="s">
        <v>27</v>
      </c>
      <c r="G430" s="2" t="str">
        <f t="shared" si="43"/>
        <v>VIATOR D.O.O., KRALJA DRŽISLAVA 6, 21000 SPLIT, OIB: 6473171712</v>
      </c>
      <c r="H430" s="4"/>
      <c r="I430" s="1" t="s">
        <v>172</v>
      </c>
      <c r="J430" s="1" t="s">
        <v>571</v>
      </c>
      <c r="K430" s="6" t="str">
        <f>"50.400,00"</f>
        <v>50.400,00</v>
      </c>
      <c r="L430" s="6" t="str">
        <f>"12.600,00"</f>
        <v>12.600,00</v>
      </c>
      <c r="M430" s="6" t="str">
        <f>"63.000,00"</f>
        <v>63.000,00</v>
      </c>
      <c r="N430" s="5">
        <v>43643</v>
      </c>
      <c r="O430" s="7"/>
      <c r="P430" s="6" t="str">
        <f>"26.425,00"</f>
        <v>26.425,00</v>
      </c>
      <c r="Q430" s="7"/>
      <c r="R430" s="1"/>
      <c r="S430" s="1" t="str">
        <f>"18-18/NOS-37-A/17"</f>
        <v>18-18/NOS-37-A/17</v>
      </c>
      <c r="T430" s="2" t="s">
        <v>112</v>
      </c>
    </row>
    <row r="431" spans="1:20" ht="25.5" x14ac:dyDescent="0.25">
      <c r="A431" s="1">
        <v>427</v>
      </c>
      <c r="B431" s="1" t="str">
        <f t="shared" si="42"/>
        <v>2017-2614</v>
      </c>
      <c r="C431" s="2" t="s">
        <v>405</v>
      </c>
      <c r="D431" s="4"/>
      <c r="E431" s="3" t="str">
        <f>""</f>
        <v/>
      </c>
      <c r="F431" s="2" t="s">
        <v>27</v>
      </c>
      <c r="G431" s="2" t="str">
        <f t="shared" si="43"/>
        <v>VIATOR D.O.O., KRALJA DRŽISLAVA 6, 21000 SPLIT, OIB: 6473171712</v>
      </c>
      <c r="H431" s="4"/>
      <c r="I431" s="1" t="s">
        <v>308</v>
      </c>
      <c r="J431" s="1" t="s">
        <v>221</v>
      </c>
      <c r="K431" s="6" t="str">
        <f>"84.180,00"</f>
        <v>84.180,00</v>
      </c>
      <c r="L431" s="6" t="str">
        <f>"21.045,00"</f>
        <v>21.045,00</v>
      </c>
      <c r="M431" s="6" t="str">
        <f>"105.225,00"</f>
        <v>105.225,00</v>
      </c>
      <c r="N431" s="5">
        <v>43706</v>
      </c>
      <c r="O431" s="7"/>
      <c r="P431" s="6" t="str">
        <f>"43.987,50"</f>
        <v>43.987,50</v>
      </c>
      <c r="Q431" s="7"/>
      <c r="R431" s="1"/>
      <c r="S431" s="1" t="str">
        <f>"4-19/NOS-37-A/17"</f>
        <v>4-19/NOS-37-A/17</v>
      </c>
      <c r="T431" s="2" t="s">
        <v>60</v>
      </c>
    </row>
    <row r="432" spans="1:20" ht="25.5" x14ac:dyDescent="0.25">
      <c r="A432" s="1">
        <v>428</v>
      </c>
      <c r="B432" s="1" t="str">
        <f t="shared" si="42"/>
        <v>2017-2614</v>
      </c>
      <c r="C432" s="2" t="s">
        <v>405</v>
      </c>
      <c r="D432" s="1" t="s">
        <v>406</v>
      </c>
      <c r="E432" s="3" t="str">
        <f>""</f>
        <v/>
      </c>
      <c r="F432" s="2" t="s">
        <v>27</v>
      </c>
      <c r="G432" s="2" t="str">
        <f t="shared" si="43"/>
        <v>VIATOR D.O.O., KRALJA DRŽISLAVA 6, 21000 SPLIT, OIB: 6473171712</v>
      </c>
      <c r="H432" s="4"/>
      <c r="I432" s="1" t="s">
        <v>240</v>
      </c>
      <c r="J432" s="1" t="s">
        <v>492</v>
      </c>
      <c r="K432" s="6" t="str">
        <f>"92.250,00"</f>
        <v>92.250,00</v>
      </c>
      <c r="L432" s="6" t="str">
        <f>"14.672,50"</f>
        <v>14.672,50</v>
      </c>
      <c r="M432" s="6" t="str">
        <f>"73.362,50"</f>
        <v>73.362,50</v>
      </c>
      <c r="N432" s="5">
        <v>43643</v>
      </c>
      <c r="O432" s="7"/>
      <c r="P432" s="6" t="str">
        <f>"73.362,50"</f>
        <v>73.362,50</v>
      </c>
      <c r="Q432" s="7"/>
      <c r="R432" s="1"/>
      <c r="S432" s="1" t="str">
        <f>"5-19/NOS-37-A/17"</f>
        <v>5-19/NOS-37-A/17</v>
      </c>
      <c r="T432" s="2" t="s">
        <v>33</v>
      </c>
    </row>
    <row r="433" spans="1:20" ht="25.5" x14ac:dyDescent="0.25">
      <c r="A433" s="1">
        <v>429</v>
      </c>
      <c r="B433" s="1" t="str">
        <f t="shared" si="42"/>
        <v>2017-2614</v>
      </c>
      <c r="C433" s="2" t="s">
        <v>405</v>
      </c>
      <c r="D433" s="1" t="s">
        <v>406</v>
      </c>
      <c r="E433" s="3" t="str">
        <f>""</f>
        <v/>
      </c>
      <c r="F433" s="2" t="s">
        <v>27</v>
      </c>
      <c r="G433" s="2" t="str">
        <f t="shared" si="43"/>
        <v>VIATOR D.O.O., KRALJA DRŽISLAVA 6, 21000 SPLIT, OIB: 6473171712</v>
      </c>
      <c r="H433" s="4"/>
      <c r="I433" s="1" t="s">
        <v>277</v>
      </c>
      <c r="J433" s="1" t="s">
        <v>492</v>
      </c>
      <c r="K433" s="6" t="str">
        <f>"80.500,00"</f>
        <v>80.500,00</v>
      </c>
      <c r="L433" s="6" t="str">
        <f>"0,00"</f>
        <v>0,00</v>
      </c>
      <c r="M433" s="6" t="str">
        <f>"0,00"</f>
        <v>0,00</v>
      </c>
      <c r="N433" s="1" t="s">
        <v>117</v>
      </c>
      <c r="O433" s="7"/>
      <c r="P433" s="6" t="str">
        <f>"0,00"</f>
        <v>0,00</v>
      </c>
      <c r="Q433" s="7"/>
      <c r="R433" s="1"/>
      <c r="S433" s="1" t="str">
        <f>"6-19/NOS-37-A/17"</f>
        <v>6-19/NOS-37-A/17</v>
      </c>
      <c r="T433" s="2" t="s">
        <v>33</v>
      </c>
    </row>
    <row r="434" spans="1:20" ht="25.5" x14ac:dyDescent="0.25">
      <c r="A434" s="1">
        <v>430</v>
      </c>
      <c r="B434" s="1" t="str">
        <f t="shared" si="42"/>
        <v>2017-2614</v>
      </c>
      <c r="C434" s="2" t="s">
        <v>405</v>
      </c>
      <c r="D434" s="1" t="s">
        <v>406</v>
      </c>
      <c r="E434" s="3" t="str">
        <f>""</f>
        <v/>
      </c>
      <c r="F434" s="2" t="s">
        <v>27</v>
      </c>
      <c r="G434" s="2" t="str">
        <f t="shared" si="43"/>
        <v>VIATOR D.O.O., KRALJA DRŽISLAVA 6, 21000 SPLIT, OIB: 6473171712</v>
      </c>
      <c r="H434" s="4"/>
      <c r="I434" s="1" t="s">
        <v>308</v>
      </c>
      <c r="J434" s="1" t="s">
        <v>492</v>
      </c>
      <c r="K434" s="6" t="str">
        <f>"51.981,00"</f>
        <v>51.981,00</v>
      </c>
      <c r="L434" s="6" t="str">
        <f>"4.809,75"</f>
        <v>4.809,75</v>
      </c>
      <c r="M434" s="6" t="str">
        <f>"24.048,75"</f>
        <v>24.048,75</v>
      </c>
      <c r="N434" s="5">
        <v>43706</v>
      </c>
      <c r="O434" s="7"/>
      <c r="P434" s="6" t="str">
        <f>"24.048,75"</f>
        <v>24.048,75</v>
      </c>
      <c r="Q434" s="7"/>
      <c r="R434" s="1"/>
      <c r="S434" s="1" t="str">
        <f>"7-19/NOS-37-A/17"</f>
        <v>7-19/NOS-37-A/17</v>
      </c>
      <c r="T434" s="2" t="s">
        <v>33</v>
      </c>
    </row>
    <row r="435" spans="1:20" ht="25.5" x14ac:dyDescent="0.25">
      <c r="A435" s="1">
        <v>431</v>
      </c>
      <c r="B435" s="1" t="str">
        <f t="shared" si="42"/>
        <v>2017-2614</v>
      </c>
      <c r="C435" s="2" t="s">
        <v>405</v>
      </c>
      <c r="D435" s="1" t="s">
        <v>406</v>
      </c>
      <c r="E435" s="3" t="str">
        <f>""</f>
        <v/>
      </c>
      <c r="F435" s="2" t="s">
        <v>27</v>
      </c>
      <c r="G435" s="2" t="str">
        <f t="shared" si="43"/>
        <v>VIATOR D.O.O., KRALJA DRŽISLAVA 6, 21000 SPLIT, OIB: 6473171712</v>
      </c>
      <c r="H435" s="4"/>
      <c r="I435" s="1" t="s">
        <v>343</v>
      </c>
      <c r="J435" s="1" t="s">
        <v>492</v>
      </c>
      <c r="K435" s="6" t="str">
        <f>"25.200,00"</f>
        <v>25.200,00</v>
      </c>
      <c r="L435" s="6" t="str">
        <f>"4.865,00"</f>
        <v>4.865,00</v>
      </c>
      <c r="M435" s="6" t="str">
        <f>"24.325,00"</f>
        <v>24.325,00</v>
      </c>
      <c r="N435" s="5">
        <v>43706</v>
      </c>
      <c r="O435" s="7"/>
      <c r="P435" s="6" t="str">
        <f>"24.325,00"</f>
        <v>24.325,00</v>
      </c>
      <c r="Q435" s="7"/>
      <c r="R435" s="1"/>
      <c r="S435" s="1" t="str">
        <f>"8-19/NOS-37-A/17"</f>
        <v>8-19/NOS-37-A/17</v>
      </c>
      <c r="T435" s="2" t="s">
        <v>60</v>
      </c>
    </row>
    <row r="436" spans="1:20" ht="25.5" x14ac:dyDescent="0.25">
      <c r="A436" s="1">
        <v>432</v>
      </c>
      <c r="B436" s="1" t="str">
        <f t="shared" si="42"/>
        <v>2017-2614</v>
      </c>
      <c r="C436" s="2" t="s">
        <v>405</v>
      </c>
      <c r="D436" s="1" t="s">
        <v>406</v>
      </c>
      <c r="E436" s="3" t="str">
        <f>""</f>
        <v/>
      </c>
      <c r="F436" s="2" t="s">
        <v>27</v>
      </c>
      <c r="G436" s="2" t="str">
        <f t="shared" si="43"/>
        <v>VIATOR D.O.O., KRALJA DRŽISLAVA 6, 21000 SPLIT, OIB: 6473171712</v>
      </c>
      <c r="H436" s="4"/>
      <c r="I436" s="1" t="s">
        <v>475</v>
      </c>
      <c r="J436" s="1" t="s">
        <v>492</v>
      </c>
      <c r="K436" s="6" t="str">
        <f>"25.680,00"</f>
        <v>25.680,00</v>
      </c>
      <c r="L436" s="6" t="str">
        <f>"2.154,50"</f>
        <v>2.154,50</v>
      </c>
      <c r="M436" s="6" t="str">
        <f>"10.772,50"</f>
        <v>10.772,50</v>
      </c>
      <c r="N436" s="5">
        <v>43706</v>
      </c>
      <c r="O436" s="7"/>
      <c r="P436" s="6" t="str">
        <f>"10.772,50"</f>
        <v>10.772,50</v>
      </c>
      <c r="Q436" s="7"/>
      <c r="R436" s="1"/>
      <c r="S436" s="1" t="str">
        <f>"9-19/NOS-37-A/17"</f>
        <v>9-19/NOS-37-A/17</v>
      </c>
      <c r="T436" s="2" t="s">
        <v>33</v>
      </c>
    </row>
    <row r="437" spans="1:20" ht="114.75" x14ac:dyDescent="0.25">
      <c r="A437" s="1">
        <v>433</v>
      </c>
      <c r="B437" s="1" t="str">
        <f t="shared" si="42"/>
        <v>2017-2614</v>
      </c>
      <c r="C437" s="2" t="s">
        <v>405</v>
      </c>
      <c r="D437" s="1" t="s">
        <v>406</v>
      </c>
      <c r="E437" s="3" t="str">
        <f>"2017/S 0F2-0013218"</f>
        <v>2017/S 0F2-0013218</v>
      </c>
      <c r="F437" s="2" t="s">
        <v>23</v>
      </c>
      <c r="G437" s="2" t="str">
        <f>CONCATENATE("AUTO BENUSSI D.O.O.,"," INDUSTRIJSKA 2D,"," 52100 PULA,"," OIB: 96262119913")</f>
        <v>AUTO BENUSSI D.O.O., INDUSTRIJSKA 2D, 52100 PULA, OIB: 96262119913</v>
      </c>
      <c r="H437" s="4"/>
      <c r="I437" s="1" t="s">
        <v>572</v>
      </c>
      <c r="J437" s="1" t="s">
        <v>573</v>
      </c>
      <c r="K437" s="6" t="str">
        <f>"360.000,00"</f>
        <v>360.000,00</v>
      </c>
      <c r="L437" s="6" t="str">
        <f>"90.000,00"</f>
        <v>90.000,00</v>
      </c>
      <c r="M437" s="6" t="str">
        <f>"450.000,00"</f>
        <v>450.000,00</v>
      </c>
      <c r="N437" s="7"/>
      <c r="O437" s="7"/>
      <c r="P437" s="6" t="str">
        <f>""</f>
        <v/>
      </c>
      <c r="Q437" s="7"/>
      <c r="R437" s="1"/>
      <c r="S437" s="1" t="str">
        <f>"NOS-37-B/17"</f>
        <v>NOS-37-B/17</v>
      </c>
      <c r="T437" s="2" t="s">
        <v>557</v>
      </c>
    </row>
    <row r="438" spans="1:20" ht="25.5" x14ac:dyDescent="0.25">
      <c r="A438" s="1">
        <v>434</v>
      </c>
      <c r="B438" s="1" t="str">
        <f t="shared" si="42"/>
        <v>2017-2614</v>
      </c>
      <c r="C438" s="2" t="s">
        <v>405</v>
      </c>
      <c r="D438" s="4"/>
      <c r="E438" s="3" t="str">
        <f>""</f>
        <v/>
      </c>
      <c r="F438" s="2" t="s">
        <v>27</v>
      </c>
      <c r="G438" s="2" t="str">
        <f>CONCATENATE("AUTO BENUSSI D.O.O.,"," INDUSTRIJSKA 2D,"," 52100 PULA,"," OIB: 96262119913")</f>
        <v>AUTO BENUSSI D.O.O., INDUSTRIJSKA 2D, 52100 PULA, OIB: 96262119913</v>
      </c>
      <c r="H438" s="4"/>
      <c r="I438" s="1" t="s">
        <v>315</v>
      </c>
      <c r="J438" s="1" t="s">
        <v>71</v>
      </c>
      <c r="K438" s="6" t="str">
        <f>"43.440,00"</f>
        <v>43.440,00</v>
      </c>
      <c r="L438" s="6" t="str">
        <f>"10.860,00"</f>
        <v>10.860,00</v>
      </c>
      <c r="M438" s="6" t="str">
        <f>"54.300,00"</f>
        <v>54.300,00</v>
      </c>
      <c r="N438" s="5">
        <v>43484</v>
      </c>
      <c r="O438" s="7"/>
      <c r="P438" s="6" t="str">
        <f>"54.300,00"</f>
        <v>54.300,00</v>
      </c>
      <c r="Q438" s="7"/>
      <c r="R438" s="1"/>
      <c r="S438" s="1" t="str">
        <f>"5-18/NOS-37-B/17"</f>
        <v>5-18/NOS-37-B/17</v>
      </c>
      <c r="T438" s="2" t="s">
        <v>33</v>
      </c>
    </row>
    <row r="439" spans="1:20" ht="25.5" x14ac:dyDescent="0.25">
      <c r="A439" s="1">
        <v>435</v>
      </c>
      <c r="B439" s="1" t="str">
        <f t="shared" si="42"/>
        <v>2017-2614</v>
      </c>
      <c r="C439" s="2" t="s">
        <v>405</v>
      </c>
      <c r="D439" s="1" t="s">
        <v>406</v>
      </c>
      <c r="E439" s="3" t="str">
        <f>""</f>
        <v/>
      </c>
      <c r="F439" s="2" t="s">
        <v>27</v>
      </c>
      <c r="G439" s="2" t="str">
        <f>CONCATENATE("AUTO BENUSSI D.O.O.,"," INDUSTRIJSKA 2D,"," 52100 PULA,"," OIB: 96262119913")</f>
        <v>AUTO BENUSSI D.O.O., INDUSTRIJSKA 2D, 52100 PULA, OIB: 96262119913</v>
      </c>
      <c r="H439" s="4"/>
      <c r="I439" s="1" t="s">
        <v>574</v>
      </c>
      <c r="J439" s="1" t="s">
        <v>492</v>
      </c>
      <c r="K439" s="6" t="str">
        <f>"37.440,00"</f>
        <v>37.440,00</v>
      </c>
      <c r="L439" s="6" t="str">
        <f>"8.999,94"</f>
        <v>8.999,94</v>
      </c>
      <c r="M439" s="6" t="str">
        <f>"44.999,69"</f>
        <v>44.999,69</v>
      </c>
      <c r="N439" s="5">
        <v>43604</v>
      </c>
      <c r="O439" s="7"/>
      <c r="P439" s="6" t="str">
        <f>"44.999,69"</f>
        <v>44.999,69</v>
      </c>
      <c r="Q439" s="7"/>
      <c r="R439" s="1"/>
      <c r="S439" s="1" t="str">
        <f>"1-19/NOS-37-B/17"</f>
        <v>1-19/NOS-37-B/17</v>
      </c>
      <c r="T439" s="2" t="s">
        <v>33</v>
      </c>
    </row>
    <row r="440" spans="1:20" ht="89.25" x14ac:dyDescent="0.25">
      <c r="A440" s="1">
        <v>436</v>
      </c>
      <c r="B440" s="1" t="str">
        <f>"2017-356"</f>
        <v>2017-356</v>
      </c>
      <c r="C440" s="2" t="s">
        <v>575</v>
      </c>
      <c r="D440" s="1" t="s">
        <v>576</v>
      </c>
      <c r="E440" s="3" t="str">
        <f>"2017/S F14-0009847"</f>
        <v>2017/S F14-0009847</v>
      </c>
      <c r="F440" s="2" t="s">
        <v>23</v>
      </c>
      <c r="G440" s="2" t="str">
        <f>CONCATENATE("GUMIIMPEX - GRP D.O.O.,"," PAVLEKA MIŠKINE 64C,"," 42000 VARAŽDIN,"," OIB: 82298562620",CHAR(10),"SAFIR D.O.O.,"," HORVAĆANSKA 17,"," 10000 ZAGREB,"," OIB: 33548604975",CHAR(10),"AUTO HRVATSKA PRODAJNO SERVISNI CENTRI D.O.O,"," RADNIČKA CESTA 182,"," 10000 ZAGREB,"," OIB: 9064881685")</f>
        <v>GUMIIMPEX - GRP D.O.O., PAVLEKA MIŠKINE 64C, 42000 VARAŽDIN, OIB: 82298562620
SAFIR D.O.O., HORVAĆANSKA 17, 10000 ZAGREB, OIB: 33548604975
AUTO HRVATSKA PRODAJNO SERVISNI CENTRI D.O.O, RADNIČKA CESTA 182, 10000 ZAGREB, OIB: 9064881685</v>
      </c>
      <c r="H440" s="4"/>
      <c r="I440" s="1" t="s">
        <v>577</v>
      </c>
      <c r="J440" s="1" t="s">
        <v>578</v>
      </c>
      <c r="K440" s="6" t="str">
        <f>"900.000,00"</f>
        <v>900.000,00</v>
      </c>
      <c r="L440" s="6" t="str">
        <f>"225.000,00"</f>
        <v>225.000,00</v>
      </c>
      <c r="M440" s="6" t="str">
        <f>"1.125.000,00"</f>
        <v>1.125.000,00</v>
      </c>
      <c r="N440" s="7"/>
      <c r="O440" s="7"/>
      <c r="P440" s="6" t="str">
        <f>""</f>
        <v/>
      </c>
      <c r="Q440" s="7"/>
      <c r="R440" s="1"/>
      <c r="S440" s="1" t="str">
        <f>"NOS-39-A/17"</f>
        <v>NOS-39-A/17</v>
      </c>
      <c r="T440" s="2" t="s">
        <v>26</v>
      </c>
    </row>
    <row r="441" spans="1:20" ht="38.25" x14ac:dyDescent="0.25">
      <c r="A441" s="1">
        <v>437</v>
      </c>
      <c r="B441" s="1" t="str">
        <f>"2017-356"</f>
        <v>2017-356</v>
      </c>
      <c r="C441" s="2" t="s">
        <v>575</v>
      </c>
      <c r="D441" s="1" t="s">
        <v>576</v>
      </c>
      <c r="E441" s="3" t="str">
        <f>""</f>
        <v/>
      </c>
      <c r="F441" s="2" t="s">
        <v>27</v>
      </c>
      <c r="G441" s="2" t="str">
        <f>CONCATENATE("AUTO HRVATSKA PRODAJNO SERVISNI CENTRI D.O.O,"," RADNIČKA CESTA 182,"," 10000 ZAGREB,"," OIB: 9064881685")</f>
        <v>AUTO HRVATSKA PRODAJNO SERVISNI CENTRI D.O.O, RADNIČKA CESTA 182, 10000 ZAGREB, OIB: 9064881685</v>
      </c>
      <c r="H441" s="4"/>
      <c r="I441" s="1" t="s">
        <v>423</v>
      </c>
      <c r="J441" s="1" t="s">
        <v>121</v>
      </c>
      <c r="K441" s="6" t="str">
        <f>"1.930,57"</f>
        <v>1.930,57</v>
      </c>
      <c r="L441" s="6" t="str">
        <f>"482,64"</f>
        <v>482,64</v>
      </c>
      <c r="M441" s="6" t="str">
        <f>"2.413,21"</f>
        <v>2.413,21</v>
      </c>
      <c r="N441" s="5">
        <v>43579</v>
      </c>
      <c r="O441" s="7"/>
      <c r="P441" s="6" t="str">
        <f>"2.413,21"</f>
        <v>2.413,21</v>
      </c>
      <c r="Q441" s="7"/>
      <c r="R441" s="1"/>
      <c r="S441" s="1" t="str">
        <f>"1-19/NOS-39-A/17"</f>
        <v>1-19/NOS-39-A/17</v>
      </c>
      <c r="T441" s="2" t="s">
        <v>33</v>
      </c>
    </row>
    <row r="442" spans="1:20" ht="25.5" x14ac:dyDescent="0.25">
      <c r="A442" s="1">
        <v>438</v>
      </c>
      <c r="B442" s="1" t="str">
        <f>"2017-356"</f>
        <v>2017-356</v>
      </c>
      <c r="C442" s="2" t="s">
        <v>575</v>
      </c>
      <c r="D442" s="1" t="s">
        <v>576</v>
      </c>
      <c r="E442" s="3" t="str">
        <f>""</f>
        <v/>
      </c>
      <c r="F442" s="2" t="s">
        <v>27</v>
      </c>
      <c r="G442" s="2" t="str">
        <f>CONCATENATE("SAFIR D.O.O.,"," HORVAĆANSKA 17,"," 10000 ZAGREB,"," OIB: 33548604975")</f>
        <v>SAFIR D.O.O., HORVAĆANSKA 17, 10000 ZAGREB, OIB: 33548604975</v>
      </c>
      <c r="H442" s="4"/>
      <c r="I442" s="1" t="s">
        <v>494</v>
      </c>
      <c r="J442" s="1" t="s">
        <v>121</v>
      </c>
      <c r="K442" s="6" t="str">
        <f>"9.057,00"</f>
        <v>9.057,00</v>
      </c>
      <c r="L442" s="6" t="str">
        <f>"2.264,25"</f>
        <v>2.264,25</v>
      </c>
      <c r="M442" s="6" t="str">
        <f>"11.321,25"</f>
        <v>11.321,25</v>
      </c>
      <c r="N442" s="5">
        <v>43601</v>
      </c>
      <c r="O442" s="7"/>
      <c r="P442" s="6" t="str">
        <f>"11.321,25"</f>
        <v>11.321,25</v>
      </c>
      <c r="Q442" s="7"/>
      <c r="R442" s="1"/>
      <c r="S442" s="1" t="str">
        <f>"2-19/NOS-39-A/17"</f>
        <v>2-19/NOS-39-A/17</v>
      </c>
      <c r="T442" s="2" t="s">
        <v>29</v>
      </c>
    </row>
    <row r="443" spans="1:20" ht="38.25" x14ac:dyDescent="0.25">
      <c r="A443" s="1">
        <v>439</v>
      </c>
      <c r="B443" s="1" t="str">
        <f>"2017-356"</f>
        <v>2017-356</v>
      </c>
      <c r="C443" s="2" t="s">
        <v>575</v>
      </c>
      <c r="D443" s="1" t="s">
        <v>576</v>
      </c>
      <c r="E443" s="3" t="str">
        <f>""</f>
        <v/>
      </c>
      <c r="F443" s="2" t="s">
        <v>27</v>
      </c>
      <c r="G443" s="2" t="str">
        <f>CONCATENATE("AUTO HRVATSKA PRODAJNO SERVISNI CENTRI D.O.O,"," RADNIČKA CESTA 182,"," 10000 ZAGREB,"," OIB: 9064881685")</f>
        <v>AUTO HRVATSKA PRODAJNO SERVISNI CENTRI D.O.O, RADNIČKA CESTA 182, 10000 ZAGREB, OIB: 9064881685</v>
      </c>
      <c r="H443" s="4"/>
      <c r="I443" s="1" t="s">
        <v>579</v>
      </c>
      <c r="J443" s="1" t="s">
        <v>114</v>
      </c>
      <c r="K443" s="6" t="str">
        <f>"1.180,86"</f>
        <v>1.180,86</v>
      </c>
      <c r="L443" s="6" t="str">
        <f>"295,22"</f>
        <v>295,22</v>
      </c>
      <c r="M443" s="6" t="str">
        <f>"1.476,08"</f>
        <v>1.476,08</v>
      </c>
      <c r="N443" s="5">
        <v>43651</v>
      </c>
      <c r="O443" s="7"/>
      <c r="P443" s="6" t="str">
        <f>"1.476,08"</f>
        <v>1.476,08</v>
      </c>
      <c r="Q443" s="7"/>
      <c r="R443" s="1"/>
      <c r="S443" s="1" t="str">
        <f>"3-19/NOS-39-A/17"</f>
        <v>3-19/NOS-39-A/17</v>
      </c>
      <c r="T443" s="2" t="s">
        <v>33</v>
      </c>
    </row>
    <row r="444" spans="1:20" ht="89.25" x14ac:dyDescent="0.25">
      <c r="A444" s="1">
        <v>440</v>
      </c>
      <c r="B444" s="1" t="str">
        <f>"2017-356"</f>
        <v>2017-356</v>
      </c>
      <c r="C444" s="2" t="s">
        <v>575</v>
      </c>
      <c r="D444" s="1" t="s">
        <v>576</v>
      </c>
      <c r="E444" s="3" t="str">
        <f>"2017/S F14-0009847"</f>
        <v>2017/S F14-0009847</v>
      </c>
      <c r="F444" s="2" t="s">
        <v>23</v>
      </c>
      <c r="G444" s="2" t="str">
        <f>CONCATENATE("ALFATREND D.O.O.,"," JOZE MARTINOVIĆA 13,"," 10000 ZAGREB,"," OIB: 45217660705",CHAR(10),"SAFIR D.O.O.,"," HORVAĆANSKA 17,"," 10000 ZAGREB,"," OIB: 33548604975",CHAR(10),"AUTO HRVATSKA PRODAJNO SERVISNI CENTRI D.O.O,"," RADNIČKA CESTA 182,"," 10000 ZAGREB,"," OIB: 9064881685")</f>
        <v>ALFATREND D.O.O., JOZE MARTINOVIĆA 13, 10000 ZAGREB, OIB: 45217660705
SAFIR D.O.O., HORVAĆANSKA 17, 10000 ZAGREB, OIB: 33548604975
AUTO HRVATSKA PRODAJNO SERVISNI CENTRI D.O.O, RADNIČKA CESTA 182, 10000 ZAGREB, OIB: 9064881685</v>
      </c>
      <c r="H444" s="4"/>
      <c r="I444" s="1" t="s">
        <v>580</v>
      </c>
      <c r="J444" s="1" t="s">
        <v>562</v>
      </c>
      <c r="K444" s="6" t="str">
        <f>"300.000,00"</f>
        <v>300.000,00</v>
      </c>
      <c r="L444" s="6" t="str">
        <f>"75.000,00"</f>
        <v>75.000,00</v>
      </c>
      <c r="M444" s="6" t="str">
        <f>"375.000,00"</f>
        <v>375.000,00</v>
      </c>
      <c r="N444" s="7"/>
      <c r="O444" s="7"/>
      <c r="P444" s="6" t="str">
        <f>""</f>
        <v/>
      </c>
      <c r="Q444" s="7"/>
      <c r="R444" s="1"/>
      <c r="S444" s="1" t="str">
        <f>"NOS-39-B/17"</f>
        <v>NOS-39-B/17</v>
      </c>
      <c r="T444" s="2" t="s">
        <v>26</v>
      </c>
    </row>
    <row r="445" spans="1:20" ht="38.25" x14ac:dyDescent="0.25">
      <c r="A445" s="1">
        <v>441</v>
      </c>
      <c r="B445" s="1" t="str">
        <f t="shared" ref="B445:B454" si="44">"2017-2499"</f>
        <v>2017-2499</v>
      </c>
      <c r="C445" s="2" t="s">
        <v>581</v>
      </c>
      <c r="D445" s="1" t="s">
        <v>582</v>
      </c>
      <c r="E445" s="3" t="str">
        <f>" 2017/S 0F2-0013433"</f>
        <v xml:space="preserve"> 2017/S 0F2-0013433</v>
      </c>
      <c r="F445" s="2" t="s">
        <v>23</v>
      </c>
      <c r="G445" s="2" t="str">
        <f t="shared" ref="G445:G454" si="45">CONCATENATE("M-COM USLUGE D.O.O.,"," TRG KREŠIMIRA ĆOSIĆA 10,"," 10000 ZAGREB,"," OIB: 85546467214")</f>
        <v>M-COM USLUGE D.O.O., TRG KREŠIMIRA ĆOSIĆA 10, 10000 ZAGREB, OIB: 85546467214</v>
      </c>
      <c r="H445" s="4"/>
      <c r="I445" s="1" t="s">
        <v>583</v>
      </c>
      <c r="J445" s="1" t="s">
        <v>584</v>
      </c>
      <c r="K445" s="6" t="str">
        <f>"18.000.000,00"</f>
        <v>18.000.000,00</v>
      </c>
      <c r="L445" s="6" t="str">
        <f>"4.500.000,00"</f>
        <v>4.500.000,00</v>
      </c>
      <c r="M445" s="6" t="str">
        <f>"22.500.000,00"</f>
        <v>22.500.000,00</v>
      </c>
      <c r="N445" s="7"/>
      <c r="O445" s="7"/>
      <c r="P445" s="6" t="str">
        <f>""</f>
        <v/>
      </c>
      <c r="Q445" s="7"/>
      <c r="R445" s="1"/>
      <c r="S445" s="1" t="str">
        <f>"NOS-40/17"</f>
        <v>NOS-40/17</v>
      </c>
      <c r="T445" s="2" t="s">
        <v>65</v>
      </c>
    </row>
    <row r="446" spans="1:20" ht="38.25" x14ac:dyDescent="0.25">
      <c r="A446" s="1">
        <v>442</v>
      </c>
      <c r="B446" s="1" t="str">
        <f t="shared" si="44"/>
        <v>2017-2499</v>
      </c>
      <c r="C446" s="2" t="s">
        <v>581</v>
      </c>
      <c r="D446" s="1" t="s">
        <v>582</v>
      </c>
      <c r="E446" s="3" t="str">
        <f>""</f>
        <v/>
      </c>
      <c r="F446" s="2" t="s">
        <v>27</v>
      </c>
      <c r="G446" s="2" t="str">
        <f t="shared" si="45"/>
        <v>M-COM USLUGE D.O.O., TRG KREŠIMIRA ĆOSIĆA 10, 10000 ZAGREB, OIB: 85546467214</v>
      </c>
      <c r="H446" s="4"/>
      <c r="I446" s="1" t="s">
        <v>585</v>
      </c>
      <c r="J446" s="1" t="s">
        <v>40</v>
      </c>
      <c r="K446" s="6" t="str">
        <f>"3.461.356,00"</f>
        <v>3.461.356,00</v>
      </c>
      <c r="L446" s="6" t="str">
        <f>"865.339,00"</f>
        <v>865.339,00</v>
      </c>
      <c r="M446" s="6" t="str">
        <f>"4.326.695,00"</f>
        <v>4.326.695,00</v>
      </c>
      <c r="N446" s="1"/>
      <c r="O446" s="5">
        <v>43223</v>
      </c>
      <c r="P446" s="6" t="str">
        <f>""</f>
        <v/>
      </c>
      <c r="Q446" s="7"/>
      <c r="R446" s="1"/>
      <c r="S446" s="1" t="str">
        <f>"3-18/NOS-40/17"</f>
        <v>3-18/NOS-40/17</v>
      </c>
      <c r="T446" s="2" t="s">
        <v>65</v>
      </c>
    </row>
    <row r="447" spans="1:20" ht="38.25" x14ac:dyDescent="0.25">
      <c r="A447" s="1">
        <v>443</v>
      </c>
      <c r="B447" s="1" t="str">
        <f t="shared" si="44"/>
        <v>2017-2499</v>
      </c>
      <c r="C447" s="2" t="s">
        <v>581</v>
      </c>
      <c r="D447" s="1" t="s">
        <v>582</v>
      </c>
      <c r="E447" s="3" t="str">
        <f>""</f>
        <v/>
      </c>
      <c r="F447" s="2" t="s">
        <v>27</v>
      </c>
      <c r="G447" s="2" t="str">
        <f t="shared" si="45"/>
        <v>M-COM USLUGE D.O.O., TRG KREŠIMIRA ĆOSIĆA 10, 10000 ZAGREB, OIB: 85546467214</v>
      </c>
      <c r="H447" s="4"/>
      <c r="I447" s="1" t="s">
        <v>586</v>
      </c>
      <c r="J447" s="1" t="s">
        <v>40</v>
      </c>
      <c r="K447" s="6" t="str">
        <f>"2.107.859,00"</f>
        <v>2.107.859,00</v>
      </c>
      <c r="L447" s="6" t="str">
        <f>"526.964,75"</f>
        <v>526.964,75</v>
      </c>
      <c r="M447" s="6" t="str">
        <f>"2.634.823,75"</f>
        <v>2.634.823,75</v>
      </c>
      <c r="N447" s="5">
        <v>43468</v>
      </c>
      <c r="O447" s="7"/>
      <c r="P447" s="6" t="str">
        <f>"2.253.052,50"</f>
        <v>2.253.052,50</v>
      </c>
      <c r="Q447" s="7"/>
      <c r="R447" s="1"/>
      <c r="S447" s="1" t="str">
        <f>"8-18/NOS-40/17"</f>
        <v>8-18/NOS-40/17</v>
      </c>
      <c r="T447" s="2" t="s">
        <v>65</v>
      </c>
    </row>
    <row r="448" spans="1:20" ht="38.25" x14ac:dyDescent="0.25">
      <c r="A448" s="1">
        <v>444</v>
      </c>
      <c r="B448" s="1" t="str">
        <f t="shared" si="44"/>
        <v>2017-2499</v>
      </c>
      <c r="C448" s="2" t="s">
        <v>581</v>
      </c>
      <c r="D448" s="4"/>
      <c r="E448" s="3" t="str">
        <f>""</f>
        <v/>
      </c>
      <c r="F448" s="2" t="s">
        <v>27</v>
      </c>
      <c r="G448" s="2" t="str">
        <f t="shared" si="45"/>
        <v>M-COM USLUGE D.O.O., TRG KREŠIMIRA ĆOSIĆA 10, 10000 ZAGREB, OIB: 85546467214</v>
      </c>
      <c r="H448" s="4"/>
      <c r="I448" s="1" t="s">
        <v>71</v>
      </c>
      <c r="J448" s="1" t="s">
        <v>587</v>
      </c>
      <c r="K448" s="6" t="str">
        <f>"3.048.560,00"</f>
        <v>3.048.560,00</v>
      </c>
      <c r="L448" s="6" t="str">
        <f>"762.140,00"</f>
        <v>762.140,00</v>
      </c>
      <c r="M448" s="6" t="str">
        <f>"3.810.700,00"</f>
        <v>3.810.700,00</v>
      </c>
      <c r="N448" s="5">
        <v>43686</v>
      </c>
      <c r="O448" s="7"/>
      <c r="P448" s="6" t="str">
        <f>"2.587.836,25"</f>
        <v>2.587.836,25</v>
      </c>
      <c r="Q448" s="7"/>
      <c r="R448" s="1"/>
      <c r="S448" s="1" t="str">
        <f>"1-19/NOS-40/17"</f>
        <v>1-19/NOS-40/17</v>
      </c>
      <c r="T448" s="2" t="s">
        <v>65</v>
      </c>
    </row>
    <row r="449" spans="1:20" ht="38.25" x14ac:dyDescent="0.25">
      <c r="A449" s="1">
        <v>445</v>
      </c>
      <c r="B449" s="1" t="str">
        <f t="shared" si="44"/>
        <v>2017-2499</v>
      </c>
      <c r="C449" s="2" t="s">
        <v>581</v>
      </c>
      <c r="D449" s="1" t="s">
        <v>582</v>
      </c>
      <c r="E449" s="3" t="str">
        <f>""</f>
        <v/>
      </c>
      <c r="F449" s="2" t="s">
        <v>27</v>
      </c>
      <c r="G449" s="2" t="str">
        <f t="shared" si="45"/>
        <v>M-COM USLUGE D.O.O., TRG KREŠIMIRA ĆOSIĆA 10, 10000 ZAGREB, OIB: 85546467214</v>
      </c>
      <c r="H449" s="4"/>
      <c r="I449" s="1" t="s">
        <v>254</v>
      </c>
      <c r="J449" s="1" t="s">
        <v>588</v>
      </c>
      <c r="K449" s="6" t="str">
        <f>"24.218,00"</f>
        <v>24.218,00</v>
      </c>
      <c r="L449" s="6" t="str">
        <f>"6.054,50"</f>
        <v>6.054,50</v>
      </c>
      <c r="M449" s="6" t="str">
        <f>"30.272,50"</f>
        <v>30.272,50</v>
      </c>
      <c r="N449" s="5">
        <v>43515</v>
      </c>
      <c r="O449" s="7"/>
      <c r="P449" s="6" t="str">
        <f>"30.272,50"</f>
        <v>30.272,50</v>
      </c>
      <c r="Q449" s="7"/>
      <c r="R449" s="1"/>
      <c r="S449" s="1" t="str">
        <f>"2-19/NOS-40/17"</f>
        <v>2-19/NOS-40/17</v>
      </c>
      <c r="T449" s="2" t="s">
        <v>65</v>
      </c>
    </row>
    <row r="450" spans="1:20" ht="38.25" x14ac:dyDescent="0.25">
      <c r="A450" s="1">
        <v>446</v>
      </c>
      <c r="B450" s="1" t="str">
        <f t="shared" si="44"/>
        <v>2017-2499</v>
      </c>
      <c r="C450" s="2" t="s">
        <v>581</v>
      </c>
      <c r="D450" s="1" t="s">
        <v>582</v>
      </c>
      <c r="E450" s="3" t="str">
        <f>""</f>
        <v/>
      </c>
      <c r="F450" s="2" t="s">
        <v>27</v>
      </c>
      <c r="G450" s="2" t="str">
        <f t="shared" si="45"/>
        <v>M-COM USLUGE D.O.O., TRG KREŠIMIRA ĆOSIĆA 10, 10000 ZAGREB, OIB: 85546467214</v>
      </c>
      <c r="H450" s="4"/>
      <c r="I450" s="1" t="s">
        <v>254</v>
      </c>
      <c r="J450" s="1" t="s">
        <v>469</v>
      </c>
      <c r="K450" s="6" t="str">
        <f>"2.800,00"</f>
        <v>2.800,00</v>
      </c>
      <c r="L450" s="6" t="str">
        <f>"700,00"</f>
        <v>700,00</v>
      </c>
      <c r="M450" s="6" t="str">
        <f>"3.500,00"</f>
        <v>3.500,00</v>
      </c>
      <c r="N450" s="5">
        <v>43501</v>
      </c>
      <c r="O450" s="7"/>
      <c r="P450" s="6" t="str">
        <f>"3.500,00"</f>
        <v>3.500,00</v>
      </c>
      <c r="Q450" s="7"/>
      <c r="R450" s="1"/>
      <c r="S450" s="1" t="str">
        <f>"3-19/NOS-40/17"</f>
        <v>3-19/NOS-40/17</v>
      </c>
      <c r="T450" s="2" t="s">
        <v>65</v>
      </c>
    </row>
    <row r="451" spans="1:20" ht="38.25" x14ac:dyDescent="0.25">
      <c r="A451" s="1">
        <v>447</v>
      </c>
      <c r="B451" s="1" t="str">
        <f t="shared" si="44"/>
        <v>2017-2499</v>
      </c>
      <c r="C451" s="2" t="s">
        <v>581</v>
      </c>
      <c r="D451" s="1" t="s">
        <v>582</v>
      </c>
      <c r="E451" s="3" t="str">
        <f>""</f>
        <v/>
      </c>
      <c r="F451" s="2" t="s">
        <v>27</v>
      </c>
      <c r="G451" s="2" t="str">
        <f t="shared" si="45"/>
        <v>M-COM USLUGE D.O.O., TRG KREŠIMIRA ĆOSIĆA 10, 10000 ZAGREB, OIB: 85546467214</v>
      </c>
      <c r="H451" s="4"/>
      <c r="I451" s="1" t="s">
        <v>423</v>
      </c>
      <c r="J451" s="1" t="s">
        <v>589</v>
      </c>
      <c r="K451" s="6" t="str">
        <f>"24.600,00"</f>
        <v>24.600,00</v>
      </c>
      <c r="L451" s="6" t="str">
        <f>"6.150,00"</f>
        <v>6.150,00</v>
      </c>
      <c r="M451" s="6" t="str">
        <f>"30.750,00"</f>
        <v>30.750,00</v>
      </c>
      <c r="N451" s="5">
        <v>43539</v>
      </c>
      <c r="O451" s="7"/>
      <c r="P451" s="6" t="str">
        <f>"30.750,00"</f>
        <v>30.750,00</v>
      </c>
      <c r="Q451" s="7"/>
      <c r="R451" s="1"/>
      <c r="S451" s="1" t="str">
        <f>"4-19/NOS-40/17"</f>
        <v>4-19/NOS-40/17</v>
      </c>
      <c r="T451" s="2" t="s">
        <v>65</v>
      </c>
    </row>
    <row r="452" spans="1:20" ht="38.25" x14ac:dyDescent="0.25">
      <c r="A452" s="1">
        <v>448</v>
      </c>
      <c r="B452" s="1" t="str">
        <f t="shared" si="44"/>
        <v>2017-2499</v>
      </c>
      <c r="C452" s="2" t="s">
        <v>581</v>
      </c>
      <c r="D452" s="1" t="s">
        <v>582</v>
      </c>
      <c r="E452" s="3" t="str">
        <f>""</f>
        <v/>
      </c>
      <c r="F452" s="2" t="s">
        <v>27</v>
      </c>
      <c r="G452" s="2" t="str">
        <f t="shared" si="45"/>
        <v>M-COM USLUGE D.O.O., TRG KREŠIMIRA ĆOSIĆA 10, 10000 ZAGREB, OIB: 85546467214</v>
      </c>
      <c r="H452" s="4"/>
      <c r="I452" s="1" t="s">
        <v>329</v>
      </c>
      <c r="J452" s="1" t="s">
        <v>588</v>
      </c>
      <c r="K452" s="6" t="str">
        <f>"36.030,00"</f>
        <v>36.030,00</v>
      </c>
      <c r="L452" s="6" t="str">
        <f>"9.007,50"</f>
        <v>9.007,50</v>
      </c>
      <c r="M452" s="6" t="str">
        <f>"45.037,50"</f>
        <v>45.037,50</v>
      </c>
      <c r="N452" s="5">
        <v>43578</v>
      </c>
      <c r="O452" s="7"/>
      <c r="P452" s="6" t="str">
        <f>"45.037,50"</f>
        <v>45.037,50</v>
      </c>
      <c r="Q452" s="7"/>
      <c r="R452" s="1"/>
      <c r="S452" s="1" t="str">
        <f>"5-19/NOS-40/17"</f>
        <v>5-19/NOS-40/17</v>
      </c>
      <c r="T452" s="2" t="s">
        <v>65</v>
      </c>
    </row>
    <row r="453" spans="1:20" ht="38.25" x14ac:dyDescent="0.25">
      <c r="A453" s="1">
        <v>449</v>
      </c>
      <c r="B453" s="1" t="str">
        <f t="shared" si="44"/>
        <v>2017-2499</v>
      </c>
      <c r="C453" s="2" t="s">
        <v>581</v>
      </c>
      <c r="D453" s="1" t="s">
        <v>582</v>
      </c>
      <c r="E453" s="3" t="str">
        <f>""</f>
        <v/>
      </c>
      <c r="F453" s="2" t="s">
        <v>27</v>
      </c>
      <c r="G453" s="2" t="str">
        <f t="shared" si="45"/>
        <v>M-COM USLUGE D.O.O., TRG KREŠIMIRA ĆOSIĆA 10, 10000 ZAGREB, OIB: 85546467214</v>
      </c>
      <c r="H453" s="4"/>
      <c r="I453" s="1" t="s">
        <v>590</v>
      </c>
      <c r="J453" s="1" t="s">
        <v>121</v>
      </c>
      <c r="K453" s="6" t="str">
        <f>"21.445,00"</f>
        <v>21.445,00</v>
      </c>
      <c r="L453" s="6" t="str">
        <f>"5.361,25"</f>
        <v>5.361,25</v>
      </c>
      <c r="M453" s="6" t="str">
        <f>"26.806,25"</f>
        <v>26.806,25</v>
      </c>
      <c r="N453" s="5">
        <v>43600</v>
      </c>
      <c r="O453" s="7"/>
      <c r="P453" s="6" t="str">
        <f>"26.806,25"</f>
        <v>26.806,25</v>
      </c>
      <c r="Q453" s="7"/>
      <c r="R453" s="1"/>
      <c r="S453" s="1" t="str">
        <f>"6-19/NOS-40/17"</f>
        <v>6-19/NOS-40/17</v>
      </c>
      <c r="T453" s="2" t="s">
        <v>65</v>
      </c>
    </row>
    <row r="454" spans="1:20" ht="38.25" x14ac:dyDescent="0.25">
      <c r="A454" s="1">
        <v>450</v>
      </c>
      <c r="B454" s="1" t="str">
        <f t="shared" si="44"/>
        <v>2017-2499</v>
      </c>
      <c r="C454" s="2" t="s">
        <v>581</v>
      </c>
      <c r="D454" s="1" t="s">
        <v>582</v>
      </c>
      <c r="E454" s="3" t="str">
        <f>""</f>
        <v/>
      </c>
      <c r="F454" s="2" t="s">
        <v>27</v>
      </c>
      <c r="G454" s="2" t="str">
        <f t="shared" si="45"/>
        <v>M-COM USLUGE D.O.O., TRG KREŠIMIRA ĆOSIĆA 10, 10000 ZAGREB, OIB: 85546467214</v>
      </c>
      <c r="H454" s="4"/>
      <c r="I454" s="1" t="s">
        <v>579</v>
      </c>
      <c r="J454" s="1" t="s">
        <v>588</v>
      </c>
      <c r="K454" s="6" t="str">
        <f>"25.470,53"</f>
        <v>25.470,53</v>
      </c>
      <c r="L454" s="6" t="str">
        <f>"6.367,63"</f>
        <v>6.367,63</v>
      </c>
      <c r="M454" s="6" t="str">
        <f>"31.838,16"</f>
        <v>31.838,16</v>
      </c>
      <c r="N454" s="5">
        <v>43629</v>
      </c>
      <c r="O454" s="7"/>
      <c r="P454" s="6" t="str">
        <f>"31.838,16"</f>
        <v>31.838,16</v>
      </c>
      <c r="Q454" s="7"/>
      <c r="R454" s="1"/>
      <c r="S454" s="1" t="str">
        <f>"7-19/NOS-40/17"</f>
        <v>7-19/NOS-40/17</v>
      </c>
      <c r="T454" s="2" t="s">
        <v>65</v>
      </c>
    </row>
    <row r="455" spans="1:20" ht="38.25" x14ac:dyDescent="0.25">
      <c r="A455" s="1">
        <v>451</v>
      </c>
      <c r="B455" s="1" t="str">
        <f>"2017-2526"</f>
        <v>2017-2526</v>
      </c>
      <c r="C455" s="2" t="s">
        <v>591</v>
      </c>
      <c r="D455" s="1" t="s">
        <v>223</v>
      </c>
      <c r="E455" s="3" t="str">
        <f>"2017/S 0F2-0010002"</f>
        <v>2017/S 0F2-0010002</v>
      </c>
      <c r="F455" s="2" t="s">
        <v>23</v>
      </c>
      <c r="G455" s="2" t="str">
        <f>CONCATENATE("XAGENT D.O.O.,"," SAMOBORSKA CESTA 145,"," 10000 ZAGREB,"," OIB: 98512685259")</f>
        <v>XAGENT D.O.O., SAMOBORSKA CESTA 145, 10000 ZAGREB, OIB: 98512685259</v>
      </c>
      <c r="H455" s="4"/>
      <c r="I455" s="1" t="s">
        <v>583</v>
      </c>
      <c r="J455" s="1" t="s">
        <v>584</v>
      </c>
      <c r="K455" s="6" t="str">
        <f>"3.000.000,00"</f>
        <v>3.000.000,00</v>
      </c>
      <c r="L455" s="6" t="str">
        <f>"750.000,00"</f>
        <v>750.000,00</v>
      </c>
      <c r="M455" s="6" t="str">
        <f>"3.750.000,00"</f>
        <v>3.750.000,00</v>
      </c>
      <c r="N455" s="7"/>
      <c r="O455" s="7"/>
      <c r="P455" s="6" t="str">
        <f>""</f>
        <v/>
      </c>
      <c r="Q455" s="7"/>
      <c r="R455" s="1"/>
      <c r="S455" s="1" t="str">
        <f>"NOS-41/17"</f>
        <v>NOS-41/17</v>
      </c>
      <c r="T455" s="2" t="s">
        <v>60</v>
      </c>
    </row>
    <row r="456" spans="1:20" ht="38.25" x14ac:dyDescent="0.25">
      <c r="A456" s="1">
        <v>452</v>
      </c>
      <c r="B456" s="1" t="str">
        <f>"2017-2526"</f>
        <v>2017-2526</v>
      </c>
      <c r="C456" s="2" t="s">
        <v>591</v>
      </c>
      <c r="D456" s="4"/>
      <c r="E456" s="3" t="str">
        <f>""</f>
        <v/>
      </c>
      <c r="F456" s="2" t="s">
        <v>27</v>
      </c>
      <c r="G456" s="2" t="str">
        <f>CONCATENATE("XAGENT D.O.O.,"," SAMOBORSKA CESTA 145,"," 10000 ZAGREB,"," OIB: 98512685259")</f>
        <v>XAGENT D.O.O., SAMOBORSKA CESTA 145, 10000 ZAGREB, OIB: 98512685259</v>
      </c>
      <c r="H456" s="4"/>
      <c r="I456" s="1" t="s">
        <v>182</v>
      </c>
      <c r="J456" s="1" t="s">
        <v>587</v>
      </c>
      <c r="K456" s="6" t="str">
        <f>"417.700,00"</f>
        <v>417.700,00</v>
      </c>
      <c r="L456" s="6" t="str">
        <f>"104.425,00"</f>
        <v>104.425,00</v>
      </c>
      <c r="M456" s="6" t="str">
        <f>"522.125,00"</f>
        <v>522.125,00</v>
      </c>
      <c r="N456" s="5">
        <v>43708</v>
      </c>
      <c r="O456" s="7"/>
      <c r="P456" s="6" t="str">
        <f>"450.550,99"</f>
        <v>450.550,99</v>
      </c>
      <c r="Q456" s="7"/>
      <c r="R456" s="1"/>
      <c r="S456" s="1" t="str">
        <f>"3-18/NOS-41/17"</f>
        <v>3-18/NOS-41/17</v>
      </c>
      <c r="T456" s="2" t="s">
        <v>60</v>
      </c>
    </row>
    <row r="457" spans="1:20" ht="38.25" x14ac:dyDescent="0.25">
      <c r="A457" s="1">
        <v>453</v>
      </c>
      <c r="B457" s="1" t="str">
        <f>"2017-354"</f>
        <v>2017-354</v>
      </c>
      <c r="C457" s="2" t="s">
        <v>592</v>
      </c>
      <c r="D457" s="1" t="s">
        <v>197</v>
      </c>
      <c r="E457" s="3" t="str">
        <f>" 2017/S 0F2-0013875"</f>
        <v xml:space="preserve"> 2017/S 0F2-0013875</v>
      </c>
      <c r="F457" s="2" t="s">
        <v>23</v>
      </c>
      <c r="G457" s="2" t="str">
        <f>CONCATENATE("AUTO-MAG D.O.O.,"," GORNJOSTUPNIČKA 1/d,"," 10255 GORNJI STUPNIK,"," OIB: 99940897955")</f>
        <v>AUTO-MAG D.O.O., GORNJOSTUPNIČKA 1/d, 10255 GORNJI STUPNIK, OIB: 99940897955</v>
      </c>
      <c r="H457" s="4"/>
      <c r="I457" s="1" t="s">
        <v>583</v>
      </c>
      <c r="J457" s="1" t="s">
        <v>593</v>
      </c>
      <c r="K457" s="6" t="str">
        <f>"1.700.000,00"</f>
        <v>1.700.000,00</v>
      </c>
      <c r="L457" s="6" t="str">
        <f>"425.000,00"</f>
        <v>425.000,00</v>
      </c>
      <c r="M457" s="6" t="str">
        <f>"2.125.000,00"</f>
        <v>2.125.000,00</v>
      </c>
      <c r="N457" s="7"/>
      <c r="O457" s="5">
        <v>43146</v>
      </c>
      <c r="P457" s="6" t="str">
        <f>""</f>
        <v/>
      </c>
      <c r="Q457" s="7"/>
      <c r="R457" s="1"/>
      <c r="S457" s="1" t="str">
        <f>"NOS-42/17"</f>
        <v>NOS-42/17</v>
      </c>
      <c r="T457" s="2" t="s">
        <v>33</v>
      </c>
    </row>
    <row r="458" spans="1:20" ht="63.75" x14ac:dyDescent="0.25">
      <c r="A458" s="1">
        <v>454</v>
      </c>
      <c r="B458" s="1" t="str">
        <f t="shared" ref="B458:B476" si="46">"2017-443"</f>
        <v>2017-443</v>
      </c>
      <c r="C458" s="2" t="s">
        <v>594</v>
      </c>
      <c r="D458" s="1" t="s">
        <v>595</v>
      </c>
      <c r="E458" s="3" t="str">
        <f>" 2017/S 0F2-0013404"</f>
        <v xml:space="preserve"> 2017/S 0F2-0013404</v>
      </c>
      <c r="F458" s="2" t="s">
        <v>23</v>
      </c>
      <c r="G458" s="2" t="str">
        <f>CONCATENATE("GRADITELJSTVO I TRGOVINA PERIĆ D.O.O.,"," NAD LIPOM 12,"," 10000 ZAGREB,"," OIB: 43566372258",CHAR(10),"RANUS D.O.O.,"," STUBIČKA 44,"," 10000 ZAGREB,"," OIB: 65348127386")</f>
        <v>GRADITELJSTVO I TRGOVINA PERIĆ D.O.O., NAD LIPOM 12, 10000 ZAGREB, OIB: 43566372258
RANUS D.O.O., STUBIČKA 44, 10000 ZAGREB, OIB: 65348127386</v>
      </c>
      <c r="H458" s="1" t="str">
        <f t="shared" ref="H458:H476" si="47">CONCATENATE("C.I.A.K. D.O.O.,"," OIB: 47428597158")</f>
        <v>C.I.A.K. D.O.O., OIB: 47428597158</v>
      </c>
      <c r="I458" s="1" t="s">
        <v>577</v>
      </c>
      <c r="J458" s="1" t="s">
        <v>578</v>
      </c>
      <c r="K458" s="6" t="str">
        <f>"7.200.000,00"</f>
        <v>7.200.000,00</v>
      </c>
      <c r="L458" s="6" t="str">
        <f>"1.800.000,00"</f>
        <v>1.800.000,00</v>
      </c>
      <c r="M458" s="6" t="str">
        <f>"9.000.000,00"</f>
        <v>9.000.000,00</v>
      </c>
      <c r="N458" s="7"/>
      <c r="O458" s="7"/>
      <c r="P458" s="6" t="str">
        <f>""</f>
        <v/>
      </c>
      <c r="Q458" s="7"/>
      <c r="R458" s="1"/>
      <c r="S458" s="1" t="str">
        <f>"NOS-43/17"</f>
        <v>NOS-43/17</v>
      </c>
      <c r="T458" s="2" t="s">
        <v>26</v>
      </c>
    </row>
    <row r="459" spans="1:20" ht="38.25" x14ac:dyDescent="0.25">
      <c r="A459" s="1">
        <v>455</v>
      </c>
      <c r="B459" s="1" t="str">
        <f t="shared" si="46"/>
        <v>2017-443</v>
      </c>
      <c r="C459" s="2" t="s">
        <v>594</v>
      </c>
      <c r="D459" s="1" t="s">
        <v>595</v>
      </c>
      <c r="E459" s="3" t="str">
        <f>""</f>
        <v/>
      </c>
      <c r="F459" s="2" t="s">
        <v>27</v>
      </c>
      <c r="G459" s="2" t="str">
        <f t="shared" ref="G459:G476" si="48">CONCATENATE("GRADITELJSTVO I TRGOVINA PERIĆ D.O.O.,"," NAD LIPOM 12,"," 10000 ZAGREB,"," OIB: 43566372258")</f>
        <v>GRADITELJSTVO I TRGOVINA PERIĆ D.O.O., NAD LIPOM 12, 10000 ZAGREB, OIB: 43566372258</v>
      </c>
      <c r="H459" s="1" t="str">
        <f t="shared" si="47"/>
        <v>C.I.A.K. D.O.O., OIB: 47428597158</v>
      </c>
      <c r="I459" s="1" t="s">
        <v>461</v>
      </c>
      <c r="J459" s="1" t="s">
        <v>436</v>
      </c>
      <c r="K459" s="6" t="str">
        <f>"29.528,02"</f>
        <v>29.528,02</v>
      </c>
      <c r="L459" s="6" t="str">
        <f>"0,00"</f>
        <v>0,00</v>
      </c>
      <c r="M459" s="6" t="str">
        <f>"0,00"</f>
        <v>0,00</v>
      </c>
      <c r="N459" s="1" t="s">
        <v>117</v>
      </c>
      <c r="O459" s="7"/>
      <c r="P459" s="6" t="str">
        <f>"0,00"</f>
        <v>0,00</v>
      </c>
      <c r="Q459" s="7"/>
      <c r="R459" s="1"/>
      <c r="S459" s="1" t="str">
        <f>"1-19/NOS-43/17"</f>
        <v>1-19/NOS-43/17</v>
      </c>
      <c r="T459" s="2" t="s">
        <v>33</v>
      </c>
    </row>
    <row r="460" spans="1:20" ht="38.25" x14ac:dyDescent="0.25">
      <c r="A460" s="1">
        <v>456</v>
      </c>
      <c r="B460" s="1" t="str">
        <f t="shared" si="46"/>
        <v>2017-443</v>
      </c>
      <c r="C460" s="2" t="s">
        <v>594</v>
      </c>
      <c r="D460" s="1" t="s">
        <v>595</v>
      </c>
      <c r="E460" s="3" t="str">
        <f>""</f>
        <v/>
      </c>
      <c r="F460" s="2" t="s">
        <v>27</v>
      </c>
      <c r="G460" s="2" t="str">
        <f t="shared" si="48"/>
        <v>GRADITELJSTVO I TRGOVINA PERIĆ D.O.O., NAD LIPOM 12, 10000 ZAGREB, OIB: 43566372258</v>
      </c>
      <c r="H460" s="1" t="str">
        <f t="shared" si="47"/>
        <v>C.I.A.K. D.O.O., OIB: 47428597158</v>
      </c>
      <c r="I460" s="1" t="s">
        <v>596</v>
      </c>
      <c r="J460" s="1" t="s">
        <v>469</v>
      </c>
      <c r="K460" s="6" t="str">
        <f>"9.063,25"</f>
        <v>9.063,25</v>
      </c>
      <c r="L460" s="6" t="str">
        <f>"2.265,81"</f>
        <v>2.265,81</v>
      </c>
      <c r="M460" s="6" t="str">
        <f>"11.329,07"</f>
        <v>11.329,07</v>
      </c>
      <c r="N460" s="5">
        <v>43601</v>
      </c>
      <c r="O460" s="7"/>
      <c r="P460" s="6" t="str">
        <f>"11.329,06"</f>
        <v>11.329,06</v>
      </c>
      <c r="Q460" s="7"/>
      <c r="R460" s="1"/>
      <c r="S460" s="1" t="str">
        <f>"2-19/NOS-43/17"</f>
        <v>2-19/NOS-43/17</v>
      </c>
      <c r="T460" s="2" t="s">
        <v>33</v>
      </c>
    </row>
    <row r="461" spans="1:20" ht="38.25" x14ac:dyDescent="0.25">
      <c r="A461" s="1">
        <v>457</v>
      </c>
      <c r="B461" s="1" t="str">
        <f t="shared" si="46"/>
        <v>2017-443</v>
      </c>
      <c r="C461" s="2" t="s">
        <v>594</v>
      </c>
      <c r="D461" s="1" t="s">
        <v>595</v>
      </c>
      <c r="E461" s="3" t="str">
        <f>""</f>
        <v/>
      </c>
      <c r="F461" s="2" t="s">
        <v>27</v>
      </c>
      <c r="G461" s="2" t="str">
        <f t="shared" si="48"/>
        <v>GRADITELJSTVO I TRGOVINA PERIĆ D.O.O., NAD LIPOM 12, 10000 ZAGREB, OIB: 43566372258</v>
      </c>
      <c r="H461" s="1" t="str">
        <f t="shared" si="47"/>
        <v>C.I.A.K. D.O.O., OIB: 47428597158</v>
      </c>
      <c r="I461" s="1" t="s">
        <v>204</v>
      </c>
      <c r="J461" s="1" t="s">
        <v>251</v>
      </c>
      <c r="K461" s="6" t="str">
        <f>"1.142,50"</f>
        <v>1.142,50</v>
      </c>
      <c r="L461" s="6" t="str">
        <f>"285,63"</f>
        <v>285,63</v>
      </c>
      <c r="M461" s="6" t="str">
        <f>"1.428,13"</f>
        <v>1.428,13</v>
      </c>
      <c r="N461" s="5">
        <v>43530</v>
      </c>
      <c r="O461" s="7"/>
      <c r="P461" s="6" t="str">
        <f>"1.428,12"</f>
        <v>1.428,12</v>
      </c>
      <c r="Q461" s="7"/>
      <c r="R461" s="1"/>
      <c r="S461" s="1" t="str">
        <f>"3-19/NOS-43/17"</f>
        <v>3-19/NOS-43/17</v>
      </c>
      <c r="T461" s="2" t="s">
        <v>33</v>
      </c>
    </row>
    <row r="462" spans="1:20" ht="38.25" x14ac:dyDescent="0.25">
      <c r="A462" s="1">
        <v>458</v>
      </c>
      <c r="B462" s="1" t="str">
        <f t="shared" si="46"/>
        <v>2017-443</v>
      </c>
      <c r="C462" s="2" t="s">
        <v>594</v>
      </c>
      <c r="D462" s="1" t="s">
        <v>595</v>
      </c>
      <c r="E462" s="3" t="str">
        <f>""</f>
        <v/>
      </c>
      <c r="F462" s="2" t="s">
        <v>27</v>
      </c>
      <c r="G462" s="2" t="str">
        <f t="shared" si="48"/>
        <v>GRADITELJSTVO I TRGOVINA PERIĆ D.O.O., NAD LIPOM 12, 10000 ZAGREB, OIB: 43566372258</v>
      </c>
      <c r="H462" s="1" t="str">
        <f t="shared" si="47"/>
        <v>C.I.A.K. D.O.O., OIB: 47428597158</v>
      </c>
      <c r="I462" s="1" t="s">
        <v>351</v>
      </c>
      <c r="J462" s="1" t="s">
        <v>47</v>
      </c>
      <c r="K462" s="6" t="str">
        <f>"3.115,50"</f>
        <v>3.115,50</v>
      </c>
      <c r="L462" s="6" t="str">
        <f>"0,00"</f>
        <v>0,00</v>
      </c>
      <c r="M462" s="6" t="str">
        <f>"0,00"</f>
        <v>0,00</v>
      </c>
      <c r="N462" s="1" t="s">
        <v>117</v>
      </c>
      <c r="O462" s="7"/>
      <c r="P462" s="6" t="str">
        <f>"0,00"</f>
        <v>0,00</v>
      </c>
      <c r="Q462" s="7"/>
      <c r="R462" s="1"/>
      <c r="S462" s="1" t="str">
        <f>"4-19/NOS-43/17"</f>
        <v>4-19/NOS-43/17</v>
      </c>
      <c r="T462" s="2" t="s">
        <v>33</v>
      </c>
    </row>
    <row r="463" spans="1:20" ht="38.25" x14ac:dyDescent="0.25">
      <c r="A463" s="1">
        <v>459</v>
      </c>
      <c r="B463" s="1" t="str">
        <f t="shared" si="46"/>
        <v>2017-443</v>
      </c>
      <c r="C463" s="2" t="s">
        <v>594</v>
      </c>
      <c r="D463" s="1" t="s">
        <v>595</v>
      </c>
      <c r="E463" s="3" t="str">
        <f>""</f>
        <v/>
      </c>
      <c r="F463" s="2" t="s">
        <v>27</v>
      </c>
      <c r="G463" s="2" t="str">
        <f t="shared" si="48"/>
        <v>GRADITELJSTVO I TRGOVINA PERIĆ D.O.O., NAD LIPOM 12, 10000 ZAGREB, OIB: 43566372258</v>
      </c>
      <c r="H463" s="1" t="str">
        <f t="shared" si="47"/>
        <v>C.I.A.K. D.O.O., OIB: 47428597158</v>
      </c>
      <c r="I463" s="1" t="s">
        <v>480</v>
      </c>
      <c r="J463" s="1" t="s">
        <v>469</v>
      </c>
      <c r="K463" s="6" t="str">
        <f>"1.569,75"</f>
        <v>1.569,75</v>
      </c>
      <c r="L463" s="6" t="str">
        <f>"392,44"</f>
        <v>392,44</v>
      </c>
      <c r="M463" s="6" t="str">
        <f>"1.962,19"</f>
        <v>1.962,19</v>
      </c>
      <c r="N463" s="5">
        <v>43635</v>
      </c>
      <c r="O463" s="7"/>
      <c r="P463" s="6" t="str">
        <f>"1.962,19"</f>
        <v>1.962,19</v>
      </c>
      <c r="Q463" s="7"/>
      <c r="R463" s="1"/>
      <c r="S463" s="1" t="str">
        <f>"5-19/NOS-43/17"</f>
        <v>5-19/NOS-43/17</v>
      </c>
      <c r="T463" s="2" t="s">
        <v>33</v>
      </c>
    </row>
    <row r="464" spans="1:20" ht="38.25" x14ac:dyDescent="0.25">
      <c r="A464" s="1">
        <v>460</v>
      </c>
      <c r="B464" s="1" t="str">
        <f t="shared" si="46"/>
        <v>2017-443</v>
      </c>
      <c r="C464" s="2" t="s">
        <v>594</v>
      </c>
      <c r="D464" s="1" t="s">
        <v>595</v>
      </c>
      <c r="E464" s="3" t="str">
        <f>""</f>
        <v/>
      </c>
      <c r="F464" s="2" t="s">
        <v>27</v>
      </c>
      <c r="G464" s="2" t="str">
        <f t="shared" si="48"/>
        <v>GRADITELJSTVO I TRGOVINA PERIĆ D.O.O., NAD LIPOM 12, 10000 ZAGREB, OIB: 43566372258</v>
      </c>
      <c r="H464" s="1" t="str">
        <f t="shared" si="47"/>
        <v>C.I.A.K. D.O.O., OIB: 47428597158</v>
      </c>
      <c r="I464" s="1" t="s">
        <v>521</v>
      </c>
      <c r="J464" s="1" t="s">
        <v>492</v>
      </c>
      <c r="K464" s="6" t="str">
        <f>"35.358,91"</f>
        <v>35.358,91</v>
      </c>
      <c r="L464" s="6" t="str">
        <f>"0,00"</f>
        <v>0,00</v>
      </c>
      <c r="M464" s="6" t="str">
        <f>"0,00"</f>
        <v>0,00</v>
      </c>
      <c r="N464" s="1" t="s">
        <v>117</v>
      </c>
      <c r="O464" s="7"/>
      <c r="P464" s="6" t="str">
        <f>"0,00"</f>
        <v>0,00</v>
      </c>
      <c r="Q464" s="7"/>
      <c r="R464" s="1"/>
      <c r="S464" s="1" t="str">
        <f>"6-19/NOS-43/17"</f>
        <v>6-19/NOS-43/17</v>
      </c>
      <c r="T464" s="2" t="s">
        <v>33</v>
      </c>
    </row>
    <row r="465" spans="1:20" ht="38.25" x14ac:dyDescent="0.25">
      <c r="A465" s="1">
        <v>461</v>
      </c>
      <c r="B465" s="1" t="str">
        <f t="shared" si="46"/>
        <v>2017-443</v>
      </c>
      <c r="C465" s="2" t="s">
        <v>594</v>
      </c>
      <c r="D465" s="1" t="s">
        <v>595</v>
      </c>
      <c r="E465" s="3" t="str">
        <f>""</f>
        <v/>
      </c>
      <c r="F465" s="2" t="s">
        <v>27</v>
      </c>
      <c r="G465" s="2" t="str">
        <f t="shared" si="48"/>
        <v>GRADITELJSTVO I TRGOVINA PERIĆ D.O.O., NAD LIPOM 12, 10000 ZAGREB, OIB: 43566372258</v>
      </c>
      <c r="H465" s="1" t="str">
        <f t="shared" si="47"/>
        <v>C.I.A.K. D.O.O., OIB: 47428597158</v>
      </c>
      <c r="I465" s="1" t="s">
        <v>317</v>
      </c>
      <c r="J465" s="1" t="s">
        <v>251</v>
      </c>
      <c r="K465" s="6" t="str">
        <f>"3.518,00"</f>
        <v>3.518,00</v>
      </c>
      <c r="L465" s="6" t="str">
        <f>"879,50"</f>
        <v>879,50</v>
      </c>
      <c r="M465" s="6" t="str">
        <f>"4.397,50"</f>
        <v>4.397,50</v>
      </c>
      <c r="N465" s="5">
        <v>43620</v>
      </c>
      <c r="O465" s="7"/>
      <c r="P465" s="6" t="str">
        <f>"4.397,50"</f>
        <v>4.397,50</v>
      </c>
      <c r="Q465" s="7"/>
      <c r="R465" s="1"/>
      <c r="S465" s="1" t="str">
        <f>"7-19/NOS-43/17"</f>
        <v>7-19/NOS-43/17</v>
      </c>
      <c r="T465" s="2" t="s">
        <v>33</v>
      </c>
    </row>
    <row r="466" spans="1:20" ht="38.25" x14ac:dyDescent="0.25">
      <c r="A466" s="1">
        <v>462</v>
      </c>
      <c r="B466" s="1" t="str">
        <f t="shared" si="46"/>
        <v>2017-443</v>
      </c>
      <c r="C466" s="2" t="s">
        <v>594</v>
      </c>
      <c r="D466" s="1" t="s">
        <v>595</v>
      </c>
      <c r="E466" s="3" t="str">
        <f>""</f>
        <v/>
      </c>
      <c r="F466" s="2" t="s">
        <v>27</v>
      </c>
      <c r="G466" s="2" t="str">
        <f t="shared" si="48"/>
        <v>GRADITELJSTVO I TRGOVINA PERIĆ D.O.O., NAD LIPOM 12, 10000 ZAGREB, OIB: 43566372258</v>
      </c>
      <c r="H466" s="1" t="str">
        <f t="shared" si="47"/>
        <v>C.I.A.K. D.O.O., OIB: 47428597158</v>
      </c>
      <c r="I466" s="1" t="s">
        <v>32</v>
      </c>
      <c r="J466" s="1" t="s">
        <v>121</v>
      </c>
      <c r="K466" s="6" t="str">
        <f>"2.935,00"</f>
        <v>2.935,00</v>
      </c>
      <c r="L466" s="6" t="str">
        <f>"733,75"</f>
        <v>733,75</v>
      </c>
      <c r="M466" s="6" t="str">
        <f>"3.668,75"</f>
        <v>3.668,75</v>
      </c>
      <c r="N466" s="5">
        <v>43622</v>
      </c>
      <c r="O466" s="7"/>
      <c r="P466" s="6" t="str">
        <f>"3.668,75"</f>
        <v>3.668,75</v>
      </c>
      <c r="Q466" s="7"/>
      <c r="R466" s="1"/>
      <c r="S466" s="1" t="str">
        <f>"8-19/NOS-43/17"</f>
        <v>8-19/NOS-43/17</v>
      </c>
      <c r="T466" s="2" t="s">
        <v>33</v>
      </c>
    </row>
    <row r="467" spans="1:20" ht="38.25" x14ac:dyDescent="0.25">
      <c r="A467" s="1">
        <v>463</v>
      </c>
      <c r="B467" s="1" t="str">
        <f t="shared" si="46"/>
        <v>2017-443</v>
      </c>
      <c r="C467" s="2" t="s">
        <v>594</v>
      </c>
      <c r="D467" s="1" t="s">
        <v>595</v>
      </c>
      <c r="E467" s="3" t="str">
        <f>""</f>
        <v/>
      </c>
      <c r="F467" s="2" t="s">
        <v>27</v>
      </c>
      <c r="G467" s="2" t="str">
        <f t="shared" si="48"/>
        <v>GRADITELJSTVO I TRGOVINA PERIĆ D.O.O., NAD LIPOM 12, 10000 ZAGREB, OIB: 43566372258</v>
      </c>
      <c r="H467" s="1" t="str">
        <f t="shared" si="47"/>
        <v>C.I.A.K. D.O.O., OIB: 47428597158</v>
      </c>
      <c r="I467" s="1" t="s">
        <v>32</v>
      </c>
      <c r="J467" s="1" t="s">
        <v>121</v>
      </c>
      <c r="K467" s="6" t="str">
        <f>"16.677,65"</f>
        <v>16.677,65</v>
      </c>
      <c r="L467" s="6" t="str">
        <f>"4.169,41"</f>
        <v>4.169,41</v>
      </c>
      <c r="M467" s="6" t="str">
        <f>"20.847,06"</f>
        <v>20.847,06</v>
      </c>
      <c r="N467" s="5">
        <v>43640</v>
      </c>
      <c r="O467" s="7"/>
      <c r="P467" s="6" t="str">
        <f>"20.847,06"</f>
        <v>20.847,06</v>
      </c>
      <c r="Q467" s="7"/>
      <c r="R467" s="1"/>
      <c r="S467" s="1" t="str">
        <f>"9-19/NOS-43/17"</f>
        <v>9-19/NOS-43/17</v>
      </c>
      <c r="T467" s="2" t="s">
        <v>33</v>
      </c>
    </row>
    <row r="468" spans="1:20" ht="38.25" x14ac:dyDescent="0.25">
      <c r="A468" s="1">
        <v>464</v>
      </c>
      <c r="B468" s="1" t="str">
        <f t="shared" si="46"/>
        <v>2017-443</v>
      </c>
      <c r="C468" s="2" t="s">
        <v>594</v>
      </c>
      <c r="D468" s="1" t="s">
        <v>595</v>
      </c>
      <c r="E468" s="3" t="str">
        <f>""</f>
        <v/>
      </c>
      <c r="F468" s="2" t="s">
        <v>27</v>
      </c>
      <c r="G468" s="2" t="str">
        <f t="shared" si="48"/>
        <v>GRADITELJSTVO I TRGOVINA PERIĆ D.O.O., NAD LIPOM 12, 10000 ZAGREB, OIB: 43566372258</v>
      </c>
      <c r="H468" s="1" t="str">
        <f t="shared" si="47"/>
        <v>C.I.A.K. D.O.O., OIB: 47428597158</v>
      </c>
      <c r="I468" s="1" t="s">
        <v>32</v>
      </c>
      <c r="J468" s="1" t="s">
        <v>121</v>
      </c>
      <c r="K468" s="6" t="str">
        <f>"34.676,37"</f>
        <v>34.676,37</v>
      </c>
      <c r="L468" s="6" t="str">
        <f>"8.669,09"</f>
        <v>8.669,09</v>
      </c>
      <c r="M468" s="6" t="str">
        <f>"43.345,46"</f>
        <v>43.345,46</v>
      </c>
      <c r="N468" s="5">
        <v>43628</v>
      </c>
      <c r="O468" s="7"/>
      <c r="P468" s="6" t="str">
        <f>"43.345,46"</f>
        <v>43.345,46</v>
      </c>
      <c r="Q468" s="7"/>
      <c r="R468" s="1"/>
      <c r="S468" s="1" t="str">
        <f>"10-19/NOS-43/17"</f>
        <v>10-19/NOS-43/17</v>
      </c>
      <c r="T468" s="2" t="s">
        <v>33</v>
      </c>
    </row>
    <row r="469" spans="1:20" ht="38.25" x14ac:dyDescent="0.25">
      <c r="A469" s="1">
        <v>465</v>
      </c>
      <c r="B469" s="1" t="str">
        <f t="shared" si="46"/>
        <v>2017-443</v>
      </c>
      <c r="C469" s="2" t="s">
        <v>594</v>
      </c>
      <c r="D469" s="1" t="s">
        <v>595</v>
      </c>
      <c r="E469" s="3" t="str">
        <f>""</f>
        <v/>
      </c>
      <c r="F469" s="2" t="s">
        <v>27</v>
      </c>
      <c r="G469" s="2" t="str">
        <f t="shared" si="48"/>
        <v>GRADITELJSTVO I TRGOVINA PERIĆ D.O.O., NAD LIPOM 12, 10000 ZAGREB, OIB: 43566372258</v>
      </c>
      <c r="H469" s="1" t="str">
        <f t="shared" si="47"/>
        <v>C.I.A.K. D.O.O., OIB: 47428597158</v>
      </c>
      <c r="I469" s="1" t="s">
        <v>73</v>
      </c>
      <c r="J469" s="1" t="s">
        <v>121</v>
      </c>
      <c r="K469" s="6" t="str">
        <f>"3.898,73"</f>
        <v>3.898,73</v>
      </c>
      <c r="L469" s="6" t="str">
        <f>"0,00"</f>
        <v>0,00</v>
      </c>
      <c r="M469" s="6" t="str">
        <f>"0,00"</f>
        <v>0,00</v>
      </c>
      <c r="N469" s="1" t="s">
        <v>117</v>
      </c>
      <c r="O469" s="7"/>
      <c r="P469" s="6" t="str">
        <f>"0,00"</f>
        <v>0,00</v>
      </c>
      <c r="Q469" s="7"/>
      <c r="R469" s="1"/>
      <c r="S469" s="1" t="str">
        <f>"11-19/NOS-43/17"</f>
        <v>11-19/NOS-43/17</v>
      </c>
      <c r="T469" s="2" t="s">
        <v>33</v>
      </c>
    </row>
    <row r="470" spans="1:20" ht="38.25" x14ac:dyDescent="0.25">
      <c r="A470" s="1">
        <v>466</v>
      </c>
      <c r="B470" s="1" t="str">
        <f t="shared" si="46"/>
        <v>2017-443</v>
      </c>
      <c r="C470" s="2" t="s">
        <v>594</v>
      </c>
      <c r="D470" s="1" t="s">
        <v>595</v>
      </c>
      <c r="E470" s="3" t="str">
        <f>""</f>
        <v/>
      </c>
      <c r="F470" s="2" t="s">
        <v>27</v>
      </c>
      <c r="G470" s="2" t="str">
        <f t="shared" si="48"/>
        <v>GRADITELJSTVO I TRGOVINA PERIĆ D.O.O., NAD LIPOM 12, 10000 ZAGREB, OIB: 43566372258</v>
      </c>
      <c r="H470" s="1" t="str">
        <f t="shared" si="47"/>
        <v>C.I.A.K. D.O.O., OIB: 47428597158</v>
      </c>
      <c r="I470" s="1" t="s">
        <v>73</v>
      </c>
      <c r="J470" s="1" t="s">
        <v>121</v>
      </c>
      <c r="K470" s="6" t="str">
        <f>"4.937,08"</f>
        <v>4.937,08</v>
      </c>
      <c r="L470" s="6" t="str">
        <f>"0,00"</f>
        <v>0,00</v>
      </c>
      <c r="M470" s="6" t="str">
        <f>"0,00"</f>
        <v>0,00</v>
      </c>
      <c r="N470" s="1" t="s">
        <v>117</v>
      </c>
      <c r="O470" s="7"/>
      <c r="P470" s="6" t="str">
        <f>"0,00"</f>
        <v>0,00</v>
      </c>
      <c r="Q470" s="7"/>
      <c r="R470" s="1"/>
      <c r="S470" s="1" t="str">
        <f>"12-19/NOS-43/17"</f>
        <v>12-19/NOS-43/17</v>
      </c>
      <c r="T470" s="2" t="s">
        <v>33</v>
      </c>
    </row>
    <row r="471" spans="1:20" ht="38.25" x14ac:dyDescent="0.25">
      <c r="A471" s="1">
        <v>467</v>
      </c>
      <c r="B471" s="1" t="str">
        <f t="shared" si="46"/>
        <v>2017-443</v>
      </c>
      <c r="C471" s="2" t="s">
        <v>594</v>
      </c>
      <c r="D471" s="1" t="s">
        <v>595</v>
      </c>
      <c r="E471" s="3" t="str">
        <f>""</f>
        <v/>
      </c>
      <c r="F471" s="2" t="s">
        <v>27</v>
      </c>
      <c r="G471" s="2" t="str">
        <f t="shared" si="48"/>
        <v>GRADITELJSTVO I TRGOVINA PERIĆ D.O.O., NAD LIPOM 12, 10000 ZAGREB, OIB: 43566372258</v>
      </c>
      <c r="H471" s="1" t="str">
        <f t="shared" si="47"/>
        <v>C.I.A.K. D.O.O., OIB: 47428597158</v>
      </c>
      <c r="I471" s="1" t="s">
        <v>73</v>
      </c>
      <c r="J471" s="1" t="s">
        <v>121</v>
      </c>
      <c r="K471" s="6" t="str">
        <f>"6.538,65"</f>
        <v>6.538,65</v>
      </c>
      <c r="L471" s="6" t="str">
        <f>"1.634,66"</f>
        <v>1.634,66</v>
      </c>
      <c r="M471" s="6" t="str">
        <f>"8.173,31"</f>
        <v>8.173,31</v>
      </c>
      <c r="N471" s="5">
        <v>43644</v>
      </c>
      <c r="O471" s="7"/>
      <c r="P471" s="6" t="str">
        <f>"8.173,31"</f>
        <v>8.173,31</v>
      </c>
      <c r="Q471" s="7"/>
      <c r="R471" s="1"/>
      <c r="S471" s="1" t="str">
        <f>"13-19/NOS-43/17"</f>
        <v>13-19/NOS-43/17</v>
      </c>
      <c r="T471" s="2" t="s">
        <v>33</v>
      </c>
    </row>
    <row r="472" spans="1:20" ht="38.25" x14ac:dyDescent="0.25">
      <c r="A472" s="1">
        <v>468</v>
      </c>
      <c r="B472" s="1" t="str">
        <f t="shared" si="46"/>
        <v>2017-443</v>
      </c>
      <c r="C472" s="2" t="s">
        <v>594</v>
      </c>
      <c r="D472" s="1" t="s">
        <v>595</v>
      </c>
      <c r="E472" s="3" t="str">
        <f>""</f>
        <v/>
      </c>
      <c r="F472" s="2" t="s">
        <v>27</v>
      </c>
      <c r="G472" s="2" t="str">
        <f t="shared" si="48"/>
        <v>GRADITELJSTVO I TRGOVINA PERIĆ D.O.O., NAD LIPOM 12, 10000 ZAGREB, OIB: 43566372258</v>
      </c>
      <c r="H472" s="1" t="str">
        <f t="shared" si="47"/>
        <v>C.I.A.K. D.O.O., OIB: 47428597158</v>
      </c>
      <c r="I472" s="1" t="s">
        <v>73</v>
      </c>
      <c r="J472" s="1" t="s">
        <v>121</v>
      </c>
      <c r="K472" s="6" t="str">
        <f>"6.821,85"</f>
        <v>6.821,85</v>
      </c>
      <c r="L472" s="6" t="str">
        <f>"1.705,46"</f>
        <v>1.705,46</v>
      </c>
      <c r="M472" s="6" t="str">
        <f>"8.527,31"</f>
        <v>8.527,31</v>
      </c>
      <c r="N472" s="5">
        <v>43644</v>
      </c>
      <c r="O472" s="7"/>
      <c r="P472" s="6" t="str">
        <f>"8.527,31"</f>
        <v>8.527,31</v>
      </c>
      <c r="Q472" s="7"/>
      <c r="R472" s="1"/>
      <c r="S472" s="1" t="str">
        <f>"14-19/NOS-43/17"</f>
        <v>14-19/NOS-43/17</v>
      </c>
      <c r="T472" s="2" t="s">
        <v>33</v>
      </c>
    </row>
    <row r="473" spans="1:20" ht="38.25" x14ac:dyDescent="0.25">
      <c r="A473" s="1">
        <v>469</v>
      </c>
      <c r="B473" s="1" t="str">
        <f t="shared" si="46"/>
        <v>2017-443</v>
      </c>
      <c r="C473" s="2" t="s">
        <v>594</v>
      </c>
      <c r="D473" s="1" t="s">
        <v>595</v>
      </c>
      <c r="E473" s="3" t="str">
        <f>""</f>
        <v/>
      </c>
      <c r="F473" s="2" t="s">
        <v>27</v>
      </c>
      <c r="G473" s="2" t="str">
        <f t="shared" si="48"/>
        <v>GRADITELJSTVO I TRGOVINA PERIĆ D.O.O., NAD LIPOM 12, 10000 ZAGREB, OIB: 43566372258</v>
      </c>
      <c r="H473" s="1" t="str">
        <f t="shared" si="47"/>
        <v>C.I.A.K. D.O.O., OIB: 47428597158</v>
      </c>
      <c r="I473" s="1" t="s">
        <v>73</v>
      </c>
      <c r="J473" s="1" t="s">
        <v>121</v>
      </c>
      <c r="K473" s="6" t="str">
        <f>"10.024,86"</f>
        <v>10.024,86</v>
      </c>
      <c r="L473" s="6" t="str">
        <f>"2.506,22"</f>
        <v>2.506,22</v>
      </c>
      <c r="M473" s="6" t="str">
        <f>"12.531,08"</f>
        <v>12.531,08</v>
      </c>
      <c r="N473" s="5">
        <v>43644</v>
      </c>
      <c r="O473" s="7"/>
      <c r="P473" s="6" t="str">
        <f>"12.531,08"</f>
        <v>12.531,08</v>
      </c>
      <c r="Q473" s="7"/>
      <c r="R473" s="1"/>
      <c r="S473" s="1" t="str">
        <f>"15-19/NOS-43/17"</f>
        <v>15-19/NOS-43/17</v>
      </c>
      <c r="T473" s="2" t="s">
        <v>33</v>
      </c>
    </row>
    <row r="474" spans="1:20" ht="38.25" x14ac:dyDescent="0.25">
      <c r="A474" s="1">
        <v>470</v>
      </c>
      <c r="B474" s="1" t="str">
        <f t="shared" si="46"/>
        <v>2017-443</v>
      </c>
      <c r="C474" s="2" t="s">
        <v>594</v>
      </c>
      <c r="D474" s="1" t="s">
        <v>595</v>
      </c>
      <c r="E474" s="3" t="str">
        <f>""</f>
        <v/>
      </c>
      <c r="F474" s="2" t="s">
        <v>27</v>
      </c>
      <c r="G474" s="2" t="str">
        <f t="shared" si="48"/>
        <v>GRADITELJSTVO I TRGOVINA PERIĆ D.O.O., NAD LIPOM 12, 10000 ZAGREB, OIB: 43566372258</v>
      </c>
      <c r="H474" s="1" t="str">
        <f t="shared" si="47"/>
        <v>C.I.A.K. D.O.O., OIB: 47428597158</v>
      </c>
      <c r="I474" s="1" t="s">
        <v>597</v>
      </c>
      <c r="J474" s="1" t="s">
        <v>251</v>
      </c>
      <c r="K474" s="6" t="str">
        <f>"91.139,10"</f>
        <v>91.139,10</v>
      </c>
      <c r="L474" s="6" t="str">
        <f>"22.784,78"</f>
        <v>22.784,78</v>
      </c>
      <c r="M474" s="6" t="str">
        <f>"113.923,88"</f>
        <v>113.923,88</v>
      </c>
      <c r="N474" s="5">
        <v>43635</v>
      </c>
      <c r="O474" s="7"/>
      <c r="P474" s="6" t="str">
        <f>"113.923,88"</f>
        <v>113.923,88</v>
      </c>
      <c r="Q474" s="7"/>
      <c r="R474" s="1"/>
      <c r="S474" s="1" t="str">
        <f>"17-19/NOS-43/17"</f>
        <v>17-19/NOS-43/17</v>
      </c>
      <c r="T474" s="2" t="s">
        <v>33</v>
      </c>
    </row>
    <row r="475" spans="1:20" ht="38.25" x14ac:dyDescent="0.25">
      <c r="A475" s="1">
        <v>471</v>
      </c>
      <c r="B475" s="1" t="str">
        <f t="shared" si="46"/>
        <v>2017-443</v>
      </c>
      <c r="C475" s="2" t="s">
        <v>594</v>
      </c>
      <c r="D475" s="1" t="s">
        <v>595</v>
      </c>
      <c r="E475" s="3" t="str">
        <f>""</f>
        <v/>
      </c>
      <c r="F475" s="2" t="s">
        <v>27</v>
      </c>
      <c r="G475" s="2" t="str">
        <f t="shared" si="48"/>
        <v>GRADITELJSTVO I TRGOVINA PERIĆ D.O.O., NAD LIPOM 12, 10000 ZAGREB, OIB: 43566372258</v>
      </c>
      <c r="H475" s="1" t="str">
        <f t="shared" si="47"/>
        <v>C.I.A.K. D.O.O., OIB: 47428597158</v>
      </c>
      <c r="I475" s="1" t="s">
        <v>424</v>
      </c>
      <c r="J475" s="1" t="s">
        <v>469</v>
      </c>
      <c r="K475" s="6" t="str">
        <f>"161.352,10"</f>
        <v>161.352,10</v>
      </c>
      <c r="L475" s="6" t="str">
        <f>"40.318,46"</f>
        <v>40.318,46</v>
      </c>
      <c r="M475" s="6" t="str">
        <f>"201.592,29"</f>
        <v>201.592,29</v>
      </c>
      <c r="N475" s="5">
        <v>43703</v>
      </c>
      <c r="O475" s="7"/>
      <c r="P475" s="6" t="str">
        <f>"201.592,29"</f>
        <v>201.592,29</v>
      </c>
      <c r="Q475" s="7"/>
      <c r="R475" s="1"/>
      <c r="S475" s="1" t="str">
        <f>"18-19/NOS-43/17"</f>
        <v>18-19/NOS-43/17</v>
      </c>
      <c r="T475" s="2" t="s">
        <v>33</v>
      </c>
    </row>
    <row r="476" spans="1:20" ht="38.25" x14ac:dyDescent="0.25">
      <c r="A476" s="1">
        <v>472</v>
      </c>
      <c r="B476" s="1" t="str">
        <f t="shared" si="46"/>
        <v>2017-443</v>
      </c>
      <c r="C476" s="2" t="s">
        <v>594</v>
      </c>
      <c r="D476" s="1" t="s">
        <v>595</v>
      </c>
      <c r="E476" s="3" t="str">
        <f>""</f>
        <v/>
      </c>
      <c r="F476" s="2" t="s">
        <v>27</v>
      </c>
      <c r="G476" s="2" t="str">
        <f t="shared" si="48"/>
        <v>GRADITELJSTVO I TRGOVINA PERIĆ D.O.O., NAD LIPOM 12, 10000 ZAGREB, OIB: 43566372258</v>
      </c>
      <c r="H476" s="1" t="str">
        <f t="shared" si="47"/>
        <v>C.I.A.K. D.O.O., OIB: 47428597158</v>
      </c>
      <c r="I476" s="1" t="s">
        <v>46</v>
      </c>
      <c r="J476" s="1" t="s">
        <v>492</v>
      </c>
      <c r="K476" s="6" t="str">
        <f>"36.052,15"</f>
        <v>36.052,15</v>
      </c>
      <c r="L476" s="6" t="str">
        <f>"0,00"</f>
        <v>0,00</v>
      </c>
      <c r="M476" s="6" t="str">
        <f>"0,00"</f>
        <v>0,00</v>
      </c>
      <c r="N476" s="1" t="s">
        <v>117</v>
      </c>
      <c r="O476" s="7"/>
      <c r="P476" s="6" t="str">
        <f>"0,00"</f>
        <v>0,00</v>
      </c>
      <c r="Q476" s="7"/>
      <c r="R476" s="1"/>
      <c r="S476" s="1" t="str">
        <f>"19-19/NOS-43/17"</f>
        <v>19-19/NOS-43/17</v>
      </c>
      <c r="T476" s="2" t="s">
        <v>33</v>
      </c>
    </row>
    <row r="477" spans="1:20" ht="51" x14ac:dyDescent="0.25">
      <c r="A477" s="1">
        <v>473</v>
      </c>
      <c r="B477" s="1" t="str">
        <f>"2017-355"</f>
        <v>2017-355</v>
      </c>
      <c r="C477" s="2" t="s">
        <v>598</v>
      </c>
      <c r="D477" s="1" t="s">
        <v>599</v>
      </c>
      <c r="E477" s="3" t="str">
        <f>"2017/S 0F2-0013515"</f>
        <v>2017/S 0F2-0013515</v>
      </c>
      <c r="F477" s="2" t="s">
        <v>23</v>
      </c>
      <c r="G477" s="2" t="str">
        <f>CONCATENATE("INDUSTROOPREMA D.O.O.,"," CMP OBRTNIČKA 1,"," 10000 ZAGREB,"," OIB: 01291306683",CHAR(10),"AUTO-MAG D.O.O.,"," GORNJOSTUPNIČKA 1/d,"," 10255 GORNJI STUPNIK,"," OIB: 99940897955")</f>
        <v>INDUSTROOPREMA D.O.O., CMP OBRTNIČKA 1, 10000 ZAGREB, OIB: 01291306683
AUTO-MAG D.O.O., GORNJOSTUPNIČKA 1/d, 10255 GORNJI STUPNIK, OIB: 99940897955</v>
      </c>
      <c r="H477" s="4"/>
      <c r="I477" s="1" t="s">
        <v>577</v>
      </c>
      <c r="J477" s="1" t="s">
        <v>578</v>
      </c>
      <c r="K477" s="6" t="str">
        <f>"700.000,00"</f>
        <v>700.000,00</v>
      </c>
      <c r="L477" s="6" t="str">
        <f>"175.000,00"</f>
        <v>175.000,00</v>
      </c>
      <c r="M477" s="6" t="str">
        <f>"875.000,00"</f>
        <v>875.000,00</v>
      </c>
      <c r="N477" s="7"/>
      <c r="O477" s="7"/>
      <c r="P477" s="6" t="str">
        <f>""</f>
        <v/>
      </c>
      <c r="Q477" s="7"/>
      <c r="R477" s="1"/>
      <c r="S477" s="1" t="str">
        <f>"NOS-44/17"</f>
        <v>NOS-44/17</v>
      </c>
      <c r="T477" s="2" t="s">
        <v>33</v>
      </c>
    </row>
    <row r="478" spans="1:20" ht="38.25" x14ac:dyDescent="0.25">
      <c r="A478" s="1">
        <v>474</v>
      </c>
      <c r="B478" s="1" t="str">
        <f>"2017-2613"</f>
        <v>2017-2613</v>
      </c>
      <c r="C478" s="2" t="s">
        <v>600</v>
      </c>
      <c r="D478" s="1" t="s">
        <v>483</v>
      </c>
      <c r="E478" s="3" t="str">
        <f>" 2017/S F14-0014573"</f>
        <v xml:space="preserve"> 2017/S F14-0014573</v>
      </c>
      <c r="F478" s="2" t="s">
        <v>23</v>
      </c>
      <c r="G478" s="2" t="str">
        <f>CONCATENATE("EUROTIM EKO D.O.O.,"," OIB: 52598307778")</f>
        <v>EUROTIM EKO D.O.O., OIB: 52598307778</v>
      </c>
      <c r="H478" s="4"/>
      <c r="I478" s="1" t="s">
        <v>577</v>
      </c>
      <c r="J478" s="1" t="s">
        <v>578</v>
      </c>
      <c r="K478" s="6" t="str">
        <f>"1.590.000,00"</f>
        <v>1.590.000,00</v>
      </c>
      <c r="L478" s="6" t="str">
        <f>"397.500,00"</f>
        <v>397.500,00</v>
      </c>
      <c r="M478" s="6" t="str">
        <f>"1.987.500,00"</f>
        <v>1.987.500,00</v>
      </c>
      <c r="N478" s="7"/>
      <c r="O478" s="7"/>
      <c r="P478" s="6" t="str">
        <f>""</f>
        <v/>
      </c>
      <c r="Q478" s="7"/>
      <c r="R478" s="1"/>
      <c r="S478" s="1" t="str">
        <f>"NOS-45/17"</f>
        <v>NOS-45/17</v>
      </c>
      <c r="T478" s="2" t="s">
        <v>33</v>
      </c>
    </row>
    <row r="479" spans="1:20" ht="25.5" x14ac:dyDescent="0.25">
      <c r="A479" s="1">
        <v>475</v>
      </c>
      <c r="B479" s="1" t="str">
        <f>"2017-2613"</f>
        <v>2017-2613</v>
      </c>
      <c r="C479" s="2" t="s">
        <v>600</v>
      </c>
      <c r="D479" s="1" t="s">
        <v>483</v>
      </c>
      <c r="E479" s="3" t="str">
        <f>""</f>
        <v/>
      </c>
      <c r="F479" s="2" t="s">
        <v>27</v>
      </c>
      <c r="G479" s="2" t="str">
        <f>CONCATENATE("EUROTIM EKO D.O.O.,"," OIB: 52598307778")</f>
        <v>EUROTIM EKO D.O.O., OIB: 52598307778</v>
      </c>
      <c r="H479" s="4"/>
      <c r="I479" s="1" t="s">
        <v>601</v>
      </c>
      <c r="J479" s="1" t="s">
        <v>53</v>
      </c>
      <c r="K479" s="6" t="str">
        <f>"1.008.000,00"</f>
        <v>1.008.000,00</v>
      </c>
      <c r="L479" s="6" t="str">
        <f>"252.000,00"</f>
        <v>252.000,00</v>
      </c>
      <c r="M479" s="6" t="str">
        <f>"1.260.000,00"</f>
        <v>1.260.000,00</v>
      </c>
      <c r="N479" s="5">
        <v>43358</v>
      </c>
      <c r="O479" s="7"/>
      <c r="P479" s="6" t="str">
        <f>"360.000,00"</f>
        <v>360.000,00</v>
      </c>
      <c r="Q479" s="7"/>
      <c r="R479" s="1"/>
      <c r="S479" s="1" t="str">
        <f>"2-18/NOS-45/17"</f>
        <v>2-18/NOS-45/17</v>
      </c>
      <c r="T479" s="2" t="s">
        <v>33</v>
      </c>
    </row>
    <row r="480" spans="1:20" ht="38.25" x14ac:dyDescent="0.25">
      <c r="A480" s="1">
        <v>476</v>
      </c>
      <c r="B480" s="1" t="str">
        <f t="shared" ref="B480:B488" si="49">"2017-402"</f>
        <v>2017-402</v>
      </c>
      <c r="C480" s="2" t="s">
        <v>602</v>
      </c>
      <c r="D480" s="1" t="s">
        <v>603</v>
      </c>
      <c r="E480" s="3" t="str">
        <f>"2017/S 0F2-0009130"</f>
        <v>2017/S 0F2-0009130</v>
      </c>
      <c r="F480" s="2" t="s">
        <v>23</v>
      </c>
      <c r="G480" s="2" t="str">
        <f>CONCATENATE("ELEKTROKEM D.O.O.,"," VUGROVEC,"," AUGUSTA ŠENOE 69,"," 10360 SESVETE,"," OIB: 38411868043")</f>
        <v>ELEKTROKEM D.O.O., VUGROVEC, AUGUSTA ŠENOE 69, 10360 SESVETE, OIB: 38411868043</v>
      </c>
      <c r="H480" s="4"/>
      <c r="I480" s="1" t="s">
        <v>580</v>
      </c>
      <c r="J480" s="1" t="s">
        <v>562</v>
      </c>
      <c r="K480" s="6" t="str">
        <f>"400.000,00"</f>
        <v>400.000,00</v>
      </c>
      <c r="L480" s="6" t="str">
        <f>"100.000,00"</f>
        <v>100.000,00</v>
      </c>
      <c r="M480" s="6" t="str">
        <f>"500.000,00"</f>
        <v>500.000,00</v>
      </c>
      <c r="N480" s="7"/>
      <c r="O480" s="7"/>
      <c r="P480" s="6" t="str">
        <f>""</f>
        <v/>
      </c>
      <c r="Q480" s="7"/>
      <c r="R480" s="1"/>
      <c r="S480" s="1" t="str">
        <f>"NOS-47-A/17"</f>
        <v>NOS-47-A/17</v>
      </c>
      <c r="T480" s="2" t="s">
        <v>33</v>
      </c>
    </row>
    <row r="481" spans="1:20" ht="38.25" x14ac:dyDescent="0.25">
      <c r="A481" s="1">
        <v>477</v>
      </c>
      <c r="B481" s="1" t="str">
        <f t="shared" si="49"/>
        <v>2017-402</v>
      </c>
      <c r="C481" s="2" t="s">
        <v>602</v>
      </c>
      <c r="D481" s="1" t="s">
        <v>603</v>
      </c>
      <c r="E481" s="3" t="str">
        <f>"2017/S 0F2-0009130"</f>
        <v>2017/S 0F2-0009130</v>
      </c>
      <c r="F481" s="2" t="s">
        <v>23</v>
      </c>
      <c r="G481" s="2" t="str">
        <f>CONCATENATE("SELEKTA PRIMA D.O.O.,"," I. TRNAVA 49,"," 10000 ZAGREB,"," OIB: 68651120977")</f>
        <v>SELEKTA PRIMA D.O.O., I. TRNAVA 49, 10000 ZAGREB, OIB: 68651120977</v>
      </c>
      <c r="H481" s="4"/>
      <c r="I481" s="1" t="s">
        <v>604</v>
      </c>
      <c r="J481" s="1" t="s">
        <v>605</v>
      </c>
      <c r="K481" s="6" t="str">
        <f>"300.000,00"</f>
        <v>300.000,00</v>
      </c>
      <c r="L481" s="6" t="str">
        <f>"75.000,00"</f>
        <v>75.000,00</v>
      </c>
      <c r="M481" s="6" t="str">
        <f>"375.000,00"</f>
        <v>375.000,00</v>
      </c>
      <c r="N481" s="7"/>
      <c r="O481" s="7"/>
      <c r="P481" s="6" t="str">
        <f>""</f>
        <v/>
      </c>
      <c r="Q481" s="7"/>
      <c r="R481" s="1"/>
      <c r="S481" s="1" t="str">
        <f>"NOS-47-B/17"</f>
        <v>NOS-47-B/17</v>
      </c>
      <c r="T481" s="2" t="s">
        <v>33</v>
      </c>
    </row>
    <row r="482" spans="1:20" ht="38.25" x14ac:dyDescent="0.25">
      <c r="A482" s="1">
        <v>478</v>
      </c>
      <c r="B482" s="1" t="str">
        <f t="shared" si="49"/>
        <v>2017-402</v>
      </c>
      <c r="C482" s="2" t="s">
        <v>602</v>
      </c>
      <c r="D482" s="1" t="s">
        <v>603</v>
      </c>
      <c r="E482" s="3" t="str">
        <f>"2017/S 0F2-0009130"</f>
        <v>2017/S 0F2-0009130</v>
      </c>
      <c r="F482" s="2" t="s">
        <v>23</v>
      </c>
      <c r="G482" s="2" t="str">
        <f>CONCATENATE("PEEK PROMET D.O.O.,"," SPREČKA 8,"," 10000 ZAGREB,"," OIB: 79421023865")</f>
        <v>PEEK PROMET D.O.O., SPREČKA 8, 10000 ZAGREB, OIB: 79421023865</v>
      </c>
      <c r="H482" s="4"/>
      <c r="I482" s="1" t="s">
        <v>580</v>
      </c>
      <c r="J482" s="1" t="s">
        <v>562</v>
      </c>
      <c r="K482" s="6" t="str">
        <f>"500.000,00"</f>
        <v>500.000,00</v>
      </c>
      <c r="L482" s="6" t="str">
        <f>"125.000,00"</f>
        <v>125.000,00</v>
      </c>
      <c r="M482" s="6" t="str">
        <f>"625.000,00"</f>
        <v>625.000,00</v>
      </c>
      <c r="N482" s="7"/>
      <c r="O482" s="7"/>
      <c r="P482" s="6" t="str">
        <f>""</f>
        <v/>
      </c>
      <c r="Q482" s="7"/>
      <c r="R482" s="1"/>
      <c r="S482" s="1" t="str">
        <f>"NOS-47-C/17"</f>
        <v>NOS-47-C/17</v>
      </c>
      <c r="T482" s="2" t="s">
        <v>33</v>
      </c>
    </row>
    <row r="483" spans="1:20" ht="25.5" x14ac:dyDescent="0.25">
      <c r="A483" s="1">
        <v>479</v>
      </c>
      <c r="B483" s="1" t="str">
        <f t="shared" si="49"/>
        <v>2017-402</v>
      </c>
      <c r="C483" s="2" t="s">
        <v>602</v>
      </c>
      <c r="D483" s="1" t="s">
        <v>603</v>
      </c>
      <c r="E483" s="3" t="str">
        <f>""</f>
        <v/>
      </c>
      <c r="F483" s="2" t="s">
        <v>27</v>
      </c>
      <c r="G483" s="2" t="str">
        <f>CONCATENATE("PEEK PROMET D.O.O.,"," SPREČKA 8,"," 10000 ZAGREB,"," OIB: 79421023865")</f>
        <v>PEEK PROMET D.O.O., SPREČKA 8, 10000 ZAGREB, OIB: 79421023865</v>
      </c>
      <c r="H483" s="4"/>
      <c r="I483" s="1" t="s">
        <v>394</v>
      </c>
      <c r="J483" s="1" t="s">
        <v>121</v>
      </c>
      <c r="K483" s="6" t="str">
        <f>"230.037,20"</f>
        <v>230.037,20</v>
      </c>
      <c r="L483" s="6" t="str">
        <f>"57.852,50"</f>
        <v>57.852,50</v>
      </c>
      <c r="M483" s="6" t="str">
        <f>"289.262,50"</f>
        <v>289.262,50</v>
      </c>
      <c r="N483" s="5">
        <v>43609</v>
      </c>
      <c r="O483" s="7"/>
      <c r="P483" s="6" t="str">
        <f>"289.262,50"</f>
        <v>289.262,50</v>
      </c>
      <c r="Q483" s="7"/>
      <c r="R483" s="1"/>
      <c r="S483" s="1" t="str">
        <f>"1-19/NOS-47-C/17"</f>
        <v>1-19/NOS-47-C/17</v>
      </c>
      <c r="T483" s="2" t="s">
        <v>33</v>
      </c>
    </row>
    <row r="484" spans="1:20" ht="25.5" x14ac:dyDescent="0.25">
      <c r="A484" s="1">
        <v>480</v>
      </c>
      <c r="B484" s="1" t="str">
        <f t="shared" si="49"/>
        <v>2017-402</v>
      </c>
      <c r="C484" s="2" t="s">
        <v>602</v>
      </c>
      <c r="D484" s="1" t="s">
        <v>603</v>
      </c>
      <c r="E484" s="3" t="str">
        <f>""</f>
        <v/>
      </c>
      <c r="F484" s="2" t="s">
        <v>27</v>
      </c>
      <c r="G484" s="2" t="str">
        <f>CONCATENATE("PEEK PROMET D.O.O.,"," SPREČKA 8,"," 10000 ZAGREB,"," OIB: 79421023865")</f>
        <v>PEEK PROMET D.O.O., SPREČKA 8, 10000 ZAGREB, OIB: 79421023865</v>
      </c>
      <c r="H484" s="4"/>
      <c r="I484" s="1" t="s">
        <v>394</v>
      </c>
      <c r="J484" s="1" t="s">
        <v>121</v>
      </c>
      <c r="K484" s="6" t="str">
        <f>"53.550,00"</f>
        <v>53.550,00</v>
      </c>
      <c r="L484" s="6" t="str">
        <f>"13.387,50"</f>
        <v>13.387,50</v>
      </c>
      <c r="M484" s="6" t="str">
        <f>"66.937,50"</f>
        <v>66.937,50</v>
      </c>
      <c r="N484" s="5">
        <v>43559</v>
      </c>
      <c r="O484" s="7"/>
      <c r="P484" s="6" t="str">
        <f>"66.937,50"</f>
        <v>66.937,50</v>
      </c>
      <c r="Q484" s="7"/>
      <c r="R484" s="1"/>
      <c r="S484" s="1" t="str">
        <f>"2-19/NOS-47-C/17"</f>
        <v>2-19/NOS-47-C/17</v>
      </c>
      <c r="T484" s="2" t="s">
        <v>33</v>
      </c>
    </row>
    <row r="485" spans="1:20" ht="25.5" x14ac:dyDescent="0.25">
      <c r="A485" s="1">
        <v>481</v>
      </c>
      <c r="B485" s="1" t="str">
        <f t="shared" si="49"/>
        <v>2017-402</v>
      </c>
      <c r="C485" s="2" t="s">
        <v>602</v>
      </c>
      <c r="D485" s="1" t="s">
        <v>603</v>
      </c>
      <c r="E485" s="3" t="str">
        <f>""</f>
        <v/>
      </c>
      <c r="F485" s="2" t="s">
        <v>27</v>
      </c>
      <c r="G485" s="2" t="str">
        <f>CONCATENATE("PEEK PROMET D.O.O.,"," SPREČKA 8,"," 10000 ZAGREB,"," OIB: 79421023865")</f>
        <v>PEEK PROMET D.O.O., SPREČKA 8, 10000 ZAGREB, OIB: 79421023865</v>
      </c>
      <c r="H485" s="4"/>
      <c r="I485" s="1" t="s">
        <v>317</v>
      </c>
      <c r="J485" s="1" t="s">
        <v>121</v>
      </c>
      <c r="K485" s="6" t="str">
        <f>"1.372,80"</f>
        <v>1.372,80</v>
      </c>
      <c r="L485" s="6" t="str">
        <f>"0,00"</f>
        <v>0,00</v>
      </c>
      <c r="M485" s="6" t="str">
        <f>"0,00"</f>
        <v>0,00</v>
      </c>
      <c r="N485" s="1" t="s">
        <v>117</v>
      </c>
      <c r="O485" s="7"/>
      <c r="P485" s="6" t="str">
        <f>"0,00"</f>
        <v>0,00</v>
      </c>
      <c r="Q485" s="7"/>
      <c r="R485" s="1"/>
      <c r="S485" s="1" t="str">
        <f>"3-19/NOS-47-C/17"</f>
        <v>3-19/NOS-47-C/17</v>
      </c>
      <c r="T485" s="2" t="s">
        <v>33</v>
      </c>
    </row>
    <row r="486" spans="1:20" ht="38.25" x14ac:dyDescent="0.25">
      <c r="A486" s="1">
        <v>482</v>
      </c>
      <c r="B486" s="1" t="str">
        <f t="shared" si="49"/>
        <v>2017-402</v>
      </c>
      <c r="C486" s="2" t="s">
        <v>602</v>
      </c>
      <c r="D486" s="1" t="s">
        <v>603</v>
      </c>
      <c r="E486" s="3" t="str">
        <f>"2017/S 0F2-0009130"</f>
        <v>2017/S 0F2-0009130</v>
      </c>
      <c r="F486" s="2" t="s">
        <v>23</v>
      </c>
      <c r="G486" s="2" t="str">
        <f>CONCATENATE("FANOS D.O.O.,"," KRANJČEVIĆEVA 48,"," 10000 ZAGREB,"," OIB: 68945711747")</f>
        <v>FANOS D.O.O., KRANJČEVIĆEVA 48, 10000 ZAGREB, OIB: 68945711747</v>
      </c>
      <c r="H486" s="4"/>
      <c r="I486" s="1" t="s">
        <v>604</v>
      </c>
      <c r="J486" s="1" t="s">
        <v>605</v>
      </c>
      <c r="K486" s="6" t="str">
        <f>"600.000,00"</f>
        <v>600.000,00</v>
      </c>
      <c r="L486" s="6" t="str">
        <f>"150.000,00"</f>
        <v>150.000,00</v>
      </c>
      <c r="M486" s="6" t="str">
        <f>"750.000,00"</f>
        <v>750.000,00</v>
      </c>
      <c r="N486" s="7"/>
      <c r="O486" s="7"/>
      <c r="P486" s="6" t="str">
        <f>""</f>
        <v/>
      </c>
      <c r="Q486" s="7"/>
      <c r="R486" s="1"/>
      <c r="S486" s="1" t="str">
        <f>"NOS-47-D/17"</f>
        <v>NOS-47-D/17</v>
      </c>
      <c r="T486" s="2" t="s">
        <v>33</v>
      </c>
    </row>
    <row r="487" spans="1:20" ht="25.5" x14ac:dyDescent="0.25">
      <c r="A487" s="1">
        <v>483</v>
      </c>
      <c r="B487" s="1" t="str">
        <f t="shared" si="49"/>
        <v>2017-402</v>
      </c>
      <c r="C487" s="2" t="s">
        <v>602</v>
      </c>
      <c r="D487" s="1" t="s">
        <v>603</v>
      </c>
      <c r="E487" s="3" t="str">
        <f>""</f>
        <v/>
      </c>
      <c r="F487" s="2" t="s">
        <v>27</v>
      </c>
      <c r="G487" s="2" t="str">
        <f>CONCATENATE("FANOS D.O.O.,"," KRANJČEVIĆEVA 48,"," 10000 ZAGREB,"," OIB: 68945711747")</f>
        <v>FANOS D.O.O., KRANJČEVIĆEVA 48, 10000 ZAGREB, OIB: 68945711747</v>
      </c>
      <c r="H487" s="4"/>
      <c r="I487" s="1" t="s">
        <v>394</v>
      </c>
      <c r="J487" s="1" t="s">
        <v>121</v>
      </c>
      <c r="K487" s="6" t="str">
        <f>"75.900,00"</f>
        <v>75.900,00</v>
      </c>
      <c r="L487" s="6" t="str">
        <f>"18.975,00"</f>
        <v>18.975,00</v>
      </c>
      <c r="M487" s="6" t="str">
        <f>"94.875,00"</f>
        <v>94.875,00</v>
      </c>
      <c r="N487" s="5">
        <v>43572</v>
      </c>
      <c r="O487" s="7"/>
      <c r="P487" s="6" t="str">
        <f>"94.875,00"</f>
        <v>94.875,00</v>
      </c>
      <c r="Q487" s="7"/>
      <c r="R487" s="1"/>
      <c r="S487" s="1" t="str">
        <f>"1-19/NOS-47-D/17"</f>
        <v>1-19/NOS-47-D/17</v>
      </c>
      <c r="T487" s="2" t="s">
        <v>33</v>
      </c>
    </row>
    <row r="488" spans="1:20" ht="25.5" x14ac:dyDescent="0.25">
      <c r="A488" s="1">
        <v>484</v>
      </c>
      <c r="B488" s="1" t="str">
        <f t="shared" si="49"/>
        <v>2017-402</v>
      </c>
      <c r="C488" s="2" t="s">
        <v>602</v>
      </c>
      <c r="D488" s="1" t="s">
        <v>603</v>
      </c>
      <c r="E488" s="3" t="str">
        <f>""</f>
        <v/>
      </c>
      <c r="F488" s="2" t="s">
        <v>27</v>
      </c>
      <c r="G488" s="2" t="str">
        <f>CONCATENATE("FANOS D.O.O.,"," KRANJČEVIĆEVA 48,"," 10000 ZAGREB,"," OIB: 68945711747")</f>
        <v>FANOS D.O.O., KRANJČEVIĆEVA 48, 10000 ZAGREB, OIB: 68945711747</v>
      </c>
      <c r="H488" s="4"/>
      <c r="I488" s="1" t="s">
        <v>317</v>
      </c>
      <c r="J488" s="1" t="s">
        <v>121</v>
      </c>
      <c r="K488" s="6" t="str">
        <f>"810,00"</f>
        <v>810,00</v>
      </c>
      <c r="L488" s="6" t="str">
        <f>"202,50"</f>
        <v>202,50</v>
      </c>
      <c r="M488" s="6" t="str">
        <f>"1.012,50"</f>
        <v>1.012,50</v>
      </c>
      <c r="N488" s="5">
        <v>43612</v>
      </c>
      <c r="O488" s="7"/>
      <c r="P488" s="6" t="str">
        <f>"1.012,50"</f>
        <v>1.012,50</v>
      </c>
      <c r="Q488" s="7"/>
      <c r="R488" s="1"/>
      <c r="S488" s="1" t="str">
        <f>"2-19/NOS-47-D/17"</f>
        <v>2-19/NOS-47-D/17</v>
      </c>
      <c r="T488" s="2" t="s">
        <v>33</v>
      </c>
    </row>
    <row r="489" spans="1:20" ht="63.75" x14ac:dyDescent="0.25">
      <c r="A489" s="1">
        <v>485</v>
      </c>
      <c r="B489" s="1" t="str">
        <f t="shared" ref="B489:B503" si="50">"2017-411"</f>
        <v>2017-411</v>
      </c>
      <c r="C489" s="2" t="s">
        <v>606</v>
      </c>
      <c r="D489" s="1" t="s">
        <v>295</v>
      </c>
      <c r="E489" s="3" t="str">
        <f>"2017/S 0F2-0013087"</f>
        <v>2017/S 0F2-0013087</v>
      </c>
      <c r="F489" s="2" t="s">
        <v>23</v>
      </c>
      <c r="G489" s="2" t="str">
        <f t="shared" ref="G489:G503" si="51">CONCATENATE("MEDIA POLIS D.O.O.,"," OIB: 00436315186")</f>
        <v>MEDIA POLIS D.O.O., OIB: 00436315186</v>
      </c>
      <c r="H489" s="4"/>
      <c r="I489" s="1" t="s">
        <v>385</v>
      </c>
      <c r="J489" s="1" t="s">
        <v>607</v>
      </c>
      <c r="K489" s="6" t="str">
        <f>"2.632.000,00"</f>
        <v>2.632.000,00</v>
      </c>
      <c r="L489" s="6" t="str">
        <f>"658.000,00"</f>
        <v>658.000,00</v>
      </c>
      <c r="M489" s="6" t="str">
        <f>"3.290.000,00"</f>
        <v>3.290.000,00</v>
      </c>
      <c r="N489" s="7"/>
      <c r="O489" s="7"/>
      <c r="P489" s="6" t="str">
        <f>""</f>
        <v/>
      </c>
      <c r="Q489" s="7"/>
      <c r="R489" s="1"/>
      <c r="S489" s="1" t="str">
        <f>"NOS-48-A/17"</f>
        <v>NOS-48-A/17</v>
      </c>
      <c r="T489" s="2" t="s">
        <v>79</v>
      </c>
    </row>
    <row r="490" spans="1:20" ht="25.5" x14ac:dyDescent="0.25">
      <c r="A490" s="1">
        <v>486</v>
      </c>
      <c r="B490" s="1" t="str">
        <f t="shared" si="50"/>
        <v>2017-411</v>
      </c>
      <c r="C490" s="2" t="s">
        <v>606</v>
      </c>
      <c r="D490" s="1" t="s">
        <v>295</v>
      </c>
      <c r="E490" s="3" t="str">
        <f>""</f>
        <v/>
      </c>
      <c r="F490" s="2" t="s">
        <v>27</v>
      </c>
      <c r="G490" s="2" t="str">
        <f t="shared" si="51"/>
        <v>MEDIA POLIS D.O.O., OIB: 00436315186</v>
      </c>
      <c r="H490" s="4"/>
      <c r="I490" s="1" t="s">
        <v>461</v>
      </c>
      <c r="J490" s="1" t="s">
        <v>492</v>
      </c>
      <c r="K490" s="6" t="str">
        <f>"5.840,00"</f>
        <v>5.840,00</v>
      </c>
      <c r="L490" s="6" t="str">
        <f>"0,00"</f>
        <v>0,00</v>
      </c>
      <c r="M490" s="6" t="str">
        <f>"0,00"</f>
        <v>0,00</v>
      </c>
      <c r="N490" s="1" t="s">
        <v>117</v>
      </c>
      <c r="O490" s="7"/>
      <c r="P490" s="6" t="str">
        <f>"0,00"</f>
        <v>0,00</v>
      </c>
      <c r="Q490" s="7"/>
      <c r="R490" s="1"/>
      <c r="S490" s="1" t="str">
        <f>"1-19/NOS-48-A/17"</f>
        <v>1-19/NOS-48-A/17</v>
      </c>
      <c r="T490" s="2" t="s">
        <v>33</v>
      </c>
    </row>
    <row r="491" spans="1:20" ht="25.5" x14ac:dyDescent="0.25">
      <c r="A491" s="1">
        <v>487</v>
      </c>
      <c r="B491" s="1" t="str">
        <f t="shared" si="50"/>
        <v>2017-411</v>
      </c>
      <c r="C491" s="2" t="s">
        <v>606</v>
      </c>
      <c r="D491" s="1" t="s">
        <v>295</v>
      </c>
      <c r="E491" s="3" t="str">
        <f>""</f>
        <v/>
      </c>
      <c r="F491" s="2" t="s">
        <v>27</v>
      </c>
      <c r="G491" s="2" t="str">
        <f t="shared" si="51"/>
        <v>MEDIA POLIS D.O.O., OIB: 00436315186</v>
      </c>
      <c r="H491" s="4"/>
      <c r="I491" s="1" t="s">
        <v>401</v>
      </c>
      <c r="J491" s="1" t="s">
        <v>492</v>
      </c>
      <c r="K491" s="6" t="str">
        <f>"12.915,00"</f>
        <v>12.915,00</v>
      </c>
      <c r="L491" s="6" t="str">
        <f>"3.228,75"</f>
        <v>3.228,75</v>
      </c>
      <c r="M491" s="6" t="str">
        <f>"16.143,75"</f>
        <v>16.143,75</v>
      </c>
      <c r="N491" s="5">
        <v>43585</v>
      </c>
      <c r="O491" s="7"/>
      <c r="P491" s="6" t="str">
        <f>"16.143,75"</f>
        <v>16.143,75</v>
      </c>
      <c r="Q491" s="7"/>
      <c r="R491" s="1"/>
      <c r="S491" s="1" t="str">
        <f>"2-19/NOS-48-A/17"</f>
        <v>2-19/NOS-48-A/17</v>
      </c>
      <c r="T491" s="2" t="s">
        <v>33</v>
      </c>
    </row>
    <row r="492" spans="1:20" ht="25.5" x14ac:dyDescent="0.25">
      <c r="A492" s="1">
        <v>488</v>
      </c>
      <c r="B492" s="1" t="str">
        <f t="shared" si="50"/>
        <v>2017-411</v>
      </c>
      <c r="C492" s="2" t="s">
        <v>606</v>
      </c>
      <c r="D492" s="1" t="s">
        <v>295</v>
      </c>
      <c r="E492" s="3" t="str">
        <f>""</f>
        <v/>
      </c>
      <c r="F492" s="2" t="s">
        <v>27</v>
      </c>
      <c r="G492" s="2" t="str">
        <f t="shared" si="51"/>
        <v>MEDIA POLIS D.O.O., OIB: 00436315186</v>
      </c>
      <c r="H492" s="4"/>
      <c r="I492" s="1" t="s">
        <v>551</v>
      </c>
      <c r="J492" s="1" t="s">
        <v>242</v>
      </c>
      <c r="K492" s="6" t="str">
        <f>"6.075,00"</f>
        <v>6.075,00</v>
      </c>
      <c r="L492" s="6" t="str">
        <f>"1.518,75"</f>
        <v>1.518,75</v>
      </c>
      <c r="M492" s="6" t="str">
        <f>"7.593,75"</f>
        <v>7.593,75</v>
      </c>
      <c r="N492" s="5">
        <v>43616</v>
      </c>
      <c r="O492" s="7"/>
      <c r="P492" s="6" t="str">
        <f>"7.593,75"</f>
        <v>7.593,75</v>
      </c>
      <c r="Q492" s="7"/>
      <c r="R492" s="1"/>
      <c r="S492" s="1" t="str">
        <f>"3-19/NOS-48-A/17"</f>
        <v>3-19/NOS-48-A/17</v>
      </c>
      <c r="T492" s="2" t="s">
        <v>33</v>
      </c>
    </row>
    <row r="493" spans="1:20" ht="25.5" x14ac:dyDescent="0.25">
      <c r="A493" s="1">
        <v>489</v>
      </c>
      <c r="B493" s="1" t="str">
        <f t="shared" si="50"/>
        <v>2017-411</v>
      </c>
      <c r="C493" s="2" t="s">
        <v>606</v>
      </c>
      <c r="D493" s="1" t="s">
        <v>295</v>
      </c>
      <c r="E493" s="3" t="str">
        <f>""</f>
        <v/>
      </c>
      <c r="F493" s="2" t="s">
        <v>27</v>
      </c>
      <c r="G493" s="2" t="str">
        <f t="shared" si="51"/>
        <v>MEDIA POLIS D.O.O., OIB: 00436315186</v>
      </c>
      <c r="H493" s="4"/>
      <c r="I493" s="1" t="s">
        <v>402</v>
      </c>
      <c r="J493" s="1" t="s">
        <v>251</v>
      </c>
      <c r="K493" s="6" t="str">
        <f>"15.210,00"</f>
        <v>15.210,00</v>
      </c>
      <c r="L493" s="6" t="str">
        <f>"1.012,50"</f>
        <v>1.012,50</v>
      </c>
      <c r="M493" s="6" t="str">
        <f>"5.062,50"</f>
        <v>5.062,50</v>
      </c>
      <c r="N493" s="5">
        <v>43646</v>
      </c>
      <c r="O493" s="7"/>
      <c r="P493" s="6" t="str">
        <f>"5.062,50"</f>
        <v>5.062,50</v>
      </c>
      <c r="Q493" s="7"/>
      <c r="R493" s="1"/>
      <c r="S493" s="1" t="str">
        <f>"4-19/NOS-48-A/17"</f>
        <v>4-19/NOS-48-A/17</v>
      </c>
      <c r="T493" s="2" t="s">
        <v>33</v>
      </c>
    </row>
    <row r="494" spans="1:20" ht="63.75" x14ac:dyDescent="0.25">
      <c r="A494" s="1">
        <v>490</v>
      </c>
      <c r="B494" s="1" t="str">
        <f t="shared" si="50"/>
        <v>2017-411</v>
      </c>
      <c r="C494" s="2" t="s">
        <v>606</v>
      </c>
      <c r="D494" s="1" t="s">
        <v>295</v>
      </c>
      <c r="E494" s="3" t="str">
        <f>"2017/S 0F2-0013087"</f>
        <v>2017/S 0F2-0013087</v>
      </c>
      <c r="F494" s="2" t="s">
        <v>23</v>
      </c>
      <c r="G494" s="2" t="str">
        <f t="shared" si="51"/>
        <v>MEDIA POLIS D.O.O., OIB: 00436315186</v>
      </c>
      <c r="H494" s="4"/>
      <c r="I494" s="1" t="s">
        <v>385</v>
      </c>
      <c r="J494" s="1" t="s">
        <v>607</v>
      </c>
      <c r="K494" s="6" t="str">
        <f>"3.032.000,00"</f>
        <v>3.032.000,00</v>
      </c>
      <c r="L494" s="6" t="str">
        <f>"758.000,00"</f>
        <v>758.000,00</v>
      </c>
      <c r="M494" s="6" t="str">
        <f>"3.790.000,00"</f>
        <v>3.790.000,00</v>
      </c>
      <c r="N494" s="7"/>
      <c r="O494" s="7"/>
      <c r="P494" s="6" t="str">
        <f>""</f>
        <v/>
      </c>
      <c r="Q494" s="7"/>
      <c r="R494" s="1"/>
      <c r="S494" s="1" t="str">
        <f>"NOS-48-B/17"</f>
        <v>NOS-48-B/17</v>
      </c>
      <c r="T494" s="2" t="s">
        <v>79</v>
      </c>
    </row>
    <row r="495" spans="1:20" ht="25.5" x14ac:dyDescent="0.25">
      <c r="A495" s="1">
        <v>491</v>
      </c>
      <c r="B495" s="1" t="str">
        <f t="shared" si="50"/>
        <v>2017-411</v>
      </c>
      <c r="C495" s="2" t="s">
        <v>606</v>
      </c>
      <c r="D495" s="1" t="s">
        <v>295</v>
      </c>
      <c r="E495" s="3" t="str">
        <f>""</f>
        <v/>
      </c>
      <c r="F495" s="2" t="s">
        <v>27</v>
      </c>
      <c r="G495" s="2" t="str">
        <f t="shared" si="51"/>
        <v>MEDIA POLIS D.O.O., OIB: 00436315186</v>
      </c>
      <c r="H495" s="4"/>
      <c r="I495" s="1" t="s">
        <v>461</v>
      </c>
      <c r="J495" s="1" t="s">
        <v>492</v>
      </c>
      <c r="K495" s="6" t="str">
        <f>"980,00"</f>
        <v>980,00</v>
      </c>
      <c r="L495" s="6" t="str">
        <f>"0,00"</f>
        <v>0,00</v>
      </c>
      <c r="M495" s="6" t="str">
        <f>"0,00"</f>
        <v>0,00</v>
      </c>
      <c r="N495" s="1" t="s">
        <v>117</v>
      </c>
      <c r="O495" s="7"/>
      <c r="P495" s="6" t="str">
        <f>"0,00"</f>
        <v>0,00</v>
      </c>
      <c r="Q495" s="7"/>
      <c r="R495" s="1"/>
      <c r="S495" s="1" t="str">
        <f>"1-19/NOS-48-B/17"</f>
        <v>1-19/NOS-48-B/17</v>
      </c>
      <c r="T495" s="2" t="s">
        <v>33</v>
      </c>
    </row>
    <row r="496" spans="1:20" ht="25.5" x14ac:dyDescent="0.25">
      <c r="A496" s="1">
        <v>492</v>
      </c>
      <c r="B496" s="1" t="str">
        <f t="shared" si="50"/>
        <v>2017-411</v>
      </c>
      <c r="C496" s="2" t="s">
        <v>606</v>
      </c>
      <c r="D496" s="1" t="s">
        <v>295</v>
      </c>
      <c r="E496" s="3" t="str">
        <f>""</f>
        <v/>
      </c>
      <c r="F496" s="2" t="s">
        <v>27</v>
      </c>
      <c r="G496" s="2" t="str">
        <f t="shared" si="51"/>
        <v>MEDIA POLIS D.O.O., OIB: 00436315186</v>
      </c>
      <c r="H496" s="4"/>
      <c r="I496" s="1" t="s">
        <v>71</v>
      </c>
      <c r="J496" s="1" t="s">
        <v>492</v>
      </c>
      <c r="K496" s="6" t="str">
        <f>"5.550,16"</f>
        <v>5.550,16</v>
      </c>
      <c r="L496" s="6" t="str">
        <f>"1.387,54"</f>
        <v>1.387,54</v>
      </c>
      <c r="M496" s="6" t="str">
        <f>"6.937,70"</f>
        <v>6.937,70</v>
      </c>
      <c r="N496" s="5">
        <v>43555</v>
      </c>
      <c r="O496" s="7"/>
      <c r="P496" s="6" t="str">
        <f>"6.937,70"</f>
        <v>6.937,70</v>
      </c>
      <c r="Q496" s="7"/>
      <c r="R496" s="1"/>
      <c r="S496" s="1" t="str">
        <f>"2-19/NOS-48-B/17"</f>
        <v>2-19/NOS-48-B/17</v>
      </c>
      <c r="T496" s="2" t="s">
        <v>33</v>
      </c>
    </row>
    <row r="497" spans="1:20" ht="25.5" x14ac:dyDescent="0.25">
      <c r="A497" s="1">
        <v>493</v>
      </c>
      <c r="B497" s="1" t="str">
        <f t="shared" si="50"/>
        <v>2017-411</v>
      </c>
      <c r="C497" s="2" t="s">
        <v>606</v>
      </c>
      <c r="D497" s="1" t="s">
        <v>295</v>
      </c>
      <c r="E497" s="3" t="str">
        <f>""</f>
        <v/>
      </c>
      <c r="F497" s="2" t="s">
        <v>27</v>
      </c>
      <c r="G497" s="2" t="str">
        <f t="shared" si="51"/>
        <v>MEDIA POLIS D.O.O., OIB: 00436315186</v>
      </c>
      <c r="H497" s="4"/>
      <c r="I497" s="1" t="s">
        <v>277</v>
      </c>
      <c r="J497" s="1" t="s">
        <v>492</v>
      </c>
      <c r="K497" s="6" t="str">
        <f>"4.107,71"</f>
        <v>4.107,71</v>
      </c>
      <c r="L497" s="6" t="str">
        <f>"1.026,93"</f>
        <v>1.026,93</v>
      </c>
      <c r="M497" s="6" t="str">
        <f>"5.134,64"</f>
        <v>5.134,64</v>
      </c>
      <c r="N497" s="5">
        <v>43524</v>
      </c>
      <c r="O497" s="7"/>
      <c r="P497" s="6" t="str">
        <f>"5.134,64"</f>
        <v>5.134,64</v>
      </c>
      <c r="Q497" s="7"/>
      <c r="R497" s="1"/>
      <c r="S497" s="1" t="str">
        <f>"3-19/NOS-48-B/17"</f>
        <v>3-19/NOS-48-B/17</v>
      </c>
      <c r="T497" s="2" t="s">
        <v>33</v>
      </c>
    </row>
    <row r="498" spans="1:20" ht="25.5" x14ac:dyDescent="0.25">
      <c r="A498" s="1">
        <v>494</v>
      </c>
      <c r="B498" s="1" t="str">
        <f t="shared" si="50"/>
        <v>2017-411</v>
      </c>
      <c r="C498" s="2" t="s">
        <v>606</v>
      </c>
      <c r="D498" s="1" t="s">
        <v>295</v>
      </c>
      <c r="E498" s="3" t="str">
        <f>""</f>
        <v/>
      </c>
      <c r="F498" s="2" t="s">
        <v>27</v>
      </c>
      <c r="G498" s="2" t="str">
        <f t="shared" si="51"/>
        <v>MEDIA POLIS D.O.O., OIB: 00436315186</v>
      </c>
      <c r="H498" s="4"/>
      <c r="I498" s="1" t="s">
        <v>401</v>
      </c>
      <c r="J498" s="1" t="s">
        <v>492</v>
      </c>
      <c r="K498" s="6" t="str">
        <f>"22.728,94"</f>
        <v>22.728,94</v>
      </c>
      <c r="L498" s="6" t="str">
        <f>"5.682,24"</f>
        <v>5.682,24</v>
      </c>
      <c r="M498" s="6" t="str">
        <f>"28.411,18"</f>
        <v>28.411,18</v>
      </c>
      <c r="N498" s="5">
        <v>43585</v>
      </c>
      <c r="O498" s="7"/>
      <c r="P498" s="6" t="str">
        <f>"28.411,18"</f>
        <v>28.411,18</v>
      </c>
      <c r="Q498" s="7"/>
      <c r="R498" s="1"/>
      <c r="S498" s="1" t="str">
        <f>"4-19/NOS-48-B/17"</f>
        <v>4-19/NOS-48-B/17</v>
      </c>
      <c r="T498" s="2" t="s">
        <v>33</v>
      </c>
    </row>
    <row r="499" spans="1:20" ht="25.5" x14ac:dyDescent="0.25">
      <c r="A499" s="1">
        <v>495</v>
      </c>
      <c r="B499" s="1" t="str">
        <f t="shared" si="50"/>
        <v>2017-411</v>
      </c>
      <c r="C499" s="2" t="s">
        <v>606</v>
      </c>
      <c r="D499" s="1" t="s">
        <v>295</v>
      </c>
      <c r="E499" s="3" t="str">
        <f>""</f>
        <v/>
      </c>
      <c r="F499" s="2" t="s">
        <v>27</v>
      </c>
      <c r="G499" s="2" t="str">
        <f t="shared" si="51"/>
        <v>MEDIA POLIS D.O.O., OIB: 00436315186</v>
      </c>
      <c r="H499" s="4"/>
      <c r="I499" s="1" t="s">
        <v>64</v>
      </c>
      <c r="J499" s="1" t="s">
        <v>121</v>
      </c>
      <c r="K499" s="6" t="str">
        <f>"2.053,86"</f>
        <v>2.053,86</v>
      </c>
      <c r="L499" s="6" t="str">
        <f>"513,46"</f>
        <v>513,46</v>
      </c>
      <c r="M499" s="6" t="str">
        <f>"2.567,32"</f>
        <v>2.567,32</v>
      </c>
      <c r="N499" s="5">
        <v>43585</v>
      </c>
      <c r="O499" s="7"/>
      <c r="P499" s="6" t="str">
        <f>"2.567,32"</f>
        <v>2.567,32</v>
      </c>
      <c r="Q499" s="7"/>
      <c r="R499" s="1"/>
      <c r="S499" s="1" t="str">
        <f>"5-19/NOS-48-B/17"</f>
        <v>5-19/NOS-48-B/17</v>
      </c>
      <c r="T499" s="2" t="s">
        <v>33</v>
      </c>
    </row>
    <row r="500" spans="1:20" ht="25.5" x14ac:dyDescent="0.25">
      <c r="A500" s="1">
        <v>496</v>
      </c>
      <c r="B500" s="1" t="str">
        <f t="shared" si="50"/>
        <v>2017-411</v>
      </c>
      <c r="C500" s="2" t="s">
        <v>606</v>
      </c>
      <c r="D500" s="1" t="s">
        <v>295</v>
      </c>
      <c r="E500" s="3" t="str">
        <f>""</f>
        <v/>
      </c>
      <c r="F500" s="2" t="s">
        <v>27</v>
      </c>
      <c r="G500" s="2" t="str">
        <f t="shared" si="51"/>
        <v>MEDIA POLIS D.O.O., OIB: 00436315186</v>
      </c>
      <c r="H500" s="4"/>
      <c r="I500" s="1" t="s">
        <v>401</v>
      </c>
      <c r="J500" s="1" t="s">
        <v>121</v>
      </c>
      <c r="K500" s="6" t="str">
        <f>"2.053,86"</f>
        <v>2.053,86</v>
      </c>
      <c r="L500" s="6" t="str">
        <f>"513,46"</f>
        <v>513,46</v>
      </c>
      <c r="M500" s="6" t="str">
        <f>"2.567,32"</f>
        <v>2.567,32</v>
      </c>
      <c r="N500" s="5">
        <v>43616</v>
      </c>
      <c r="O500" s="7"/>
      <c r="P500" s="6" t="str">
        <f>"2.567,32"</f>
        <v>2.567,32</v>
      </c>
      <c r="Q500" s="7"/>
      <c r="R500" s="1"/>
      <c r="S500" s="1" t="str">
        <f>"6-19/NOS-48-B/17"</f>
        <v>6-19/NOS-48-B/17</v>
      </c>
      <c r="T500" s="2" t="s">
        <v>33</v>
      </c>
    </row>
    <row r="501" spans="1:20" ht="25.5" x14ac:dyDescent="0.25">
      <c r="A501" s="1">
        <v>497</v>
      </c>
      <c r="B501" s="1" t="str">
        <f t="shared" si="50"/>
        <v>2017-411</v>
      </c>
      <c r="C501" s="2" t="s">
        <v>606</v>
      </c>
      <c r="D501" s="1" t="s">
        <v>295</v>
      </c>
      <c r="E501" s="3" t="str">
        <f>""</f>
        <v/>
      </c>
      <c r="F501" s="2" t="s">
        <v>27</v>
      </c>
      <c r="G501" s="2" t="str">
        <f t="shared" si="51"/>
        <v>MEDIA POLIS D.O.O., OIB: 00436315186</v>
      </c>
      <c r="H501" s="4"/>
      <c r="I501" s="1" t="s">
        <v>590</v>
      </c>
      <c r="J501" s="1" t="s">
        <v>121</v>
      </c>
      <c r="K501" s="6" t="str">
        <f>"10.497,50"</f>
        <v>10.497,50</v>
      </c>
      <c r="L501" s="6" t="str">
        <f>"2.624,38"</f>
        <v>2.624,38</v>
      </c>
      <c r="M501" s="6" t="str">
        <f>"13.121,88"</f>
        <v>13.121,88</v>
      </c>
      <c r="N501" s="5">
        <v>43585</v>
      </c>
      <c r="O501" s="7"/>
      <c r="P501" s="6" t="str">
        <f>"13.121,88"</f>
        <v>13.121,88</v>
      </c>
      <c r="Q501" s="7"/>
      <c r="R501" s="1"/>
      <c r="S501" s="1" t="str">
        <f>"7-19/NOS-48-B/17"</f>
        <v>7-19/NOS-48-B/17</v>
      </c>
      <c r="T501" s="2" t="s">
        <v>33</v>
      </c>
    </row>
    <row r="502" spans="1:20" ht="25.5" x14ac:dyDescent="0.25">
      <c r="A502" s="1">
        <v>498</v>
      </c>
      <c r="B502" s="1" t="str">
        <f t="shared" si="50"/>
        <v>2017-411</v>
      </c>
      <c r="C502" s="2" t="s">
        <v>606</v>
      </c>
      <c r="D502" s="1" t="s">
        <v>295</v>
      </c>
      <c r="E502" s="3" t="str">
        <f>""</f>
        <v/>
      </c>
      <c r="F502" s="2" t="s">
        <v>27</v>
      </c>
      <c r="G502" s="2" t="str">
        <f t="shared" si="51"/>
        <v>MEDIA POLIS D.O.O., OIB: 00436315186</v>
      </c>
      <c r="H502" s="4"/>
      <c r="I502" s="1" t="s">
        <v>396</v>
      </c>
      <c r="J502" s="1" t="s">
        <v>492</v>
      </c>
      <c r="K502" s="6" t="str">
        <f>"15.000,00"</f>
        <v>15.000,00</v>
      </c>
      <c r="L502" s="6" t="str">
        <f>"0,00"</f>
        <v>0,00</v>
      </c>
      <c r="M502" s="6" t="str">
        <f>"0,00"</f>
        <v>0,00</v>
      </c>
      <c r="N502" s="1" t="s">
        <v>117</v>
      </c>
      <c r="O502" s="7"/>
      <c r="P502" s="6" t="str">
        <f>"0,00"</f>
        <v>0,00</v>
      </c>
      <c r="Q502" s="7"/>
      <c r="R502" s="1"/>
      <c r="S502" s="1" t="str">
        <f>"8-19/NOS-48-B/17"</f>
        <v>8-19/NOS-48-B/17</v>
      </c>
      <c r="T502" s="2" t="s">
        <v>33</v>
      </c>
    </row>
    <row r="503" spans="1:20" ht="63.75" x14ac:dyDescent="0.25">
      <c r="A503" s="1">
        <v>499</v>
      </c>
      <c r="B503" s="1" t="str">
        <f t="shared" si="50"/>
        <v>2017-411</v>
      </c>
      <c r="C503" s="2" t="s">
        <v>606</v>
      </c>
      <c r="D503" s="1" t="s">
        <v>295</v>
      </c>
      <c r="E503" s="3" t="str">
        <f>"2017/S 0F2-0013087"</f>
        <v>2017/S 0F2-0013087</v>
      </c>
      <c r="F503" s="2" t="s">
        <v>23</v>
      </c>
      <c r="G503" s="2" t="str">
        <f t="shared" si="51"/>
        <v>MEDIA POLIS D.O.O., OIB: 00436315186</v>
      </c>
      <c r="H503" s="4"/>
      <c r="I503" s="1" t="s">
        <v>385</v>
      </c>
      <c r="J503" s="1" t="s">
        <v>607</v>
      </c>
      <c r="K503" s="6" t="str">
        <f>"600.000,00"</f>
        <v>600.000,00</v>
      </c>
      <c r="L503" s="6" t="str">
        <f>"150.000,00"</f>
        <v>150.000,00</v>
      </c>
      <c r="M503" s="6" t="str">
        <f>"750.000,00"</f>
        <v>750.000,00</v>
      </c>
      <c r="N503" s="7"/>
      <c r="O503" s="7"/>
      <c r="P503" s="6" t="str">
        <f>""</f>
        <v/>
      </c>
      <c r="Q503" s="7"/>
      <c r="R503" s="1"/>
      <c r="S503" s="1" t="str">
        <f>"NOS-48-C/17"</f>
        <v>NOS-48-C/17</v>
      </c>
      <c r="T503" s="2" t="s">
        <v>79</v>
      </c>
    </row>
    <row r="504" spans="1:20" ht="63.75" x14ac:dyDescent="0.25">
      <c r="A504" s="1">
        <v>500</v>
      </c>
      <c r="B504" s="1" t="str">
        <f t="shared" ref="B504:B512" si="52">"2017-370"</f>
        <v>2017-370</v>
      </c>
      <c r="C504" s="2" t="s">
        <v>608</v>
      </c>
      <c r="D504" s="1" t="s">
        <v>609</v>
      </c>
      <c r="E504" s="3" t="str">
        <f>"2017/S 0F2-0010014"</f>
        <v>2017/S 0F2-0010014</v>
      </c>
      <c r="F504" s="2" t="s">
        <v>23</v>
      </c>
      <c r="G504" s="2" t="str">
        <f>CONCATENATE("VIATOR TRANSPORTI D.O.O.,"," TADIJE SMIČIKLASA 7,"," 10360 SESVETE,"," OIB: 10920448135",CHAR(10),"MBM VRTNI CENTAR D.O.O.,"," DOLENICA 8,"," 10250 LUČKO,"," OIB: 19462674595")</f>
        <v>VIATOR TRANSPORTI D.O.O., TADIJE SMIČIKLASA 7, 10360 SESVETE, OIB: 10920448135
MBM VRTNI CENTAR D.O.O., DOLENICA 8, 10250 LUČKO, OIB: 19462674595</v>
      </c>
      <c r="H504" s="4"/>
      <c r="I504" s="1" t="s">
        <v>385</v>
      </c>
      <c r="J504" s="1" t="s">
        <v>386</v>
      </c>
      <c r="K504" s="6" t="str">
        <f>"1.350.000,00"</f>
        <v>1.350.000,00</v>
      </c>
      <c r="L504" s="6" t="str">
        <f>"337.500,00"</f>
        <v>337.500,00</v>
      </c>
      <c r="M504" s="6" t="str">
        <f>"1.687.500,00"</f>
        <v>1.687.500,00</v>
      </c>
      <c r="N504" s="7"/>
      <c r="O504" s="7"/>
      <c r="P504" s="6" t="str">
        <f>""</f>
        <v/>
      </c>
      <c r="Q504" s="7"/>
      <c r="R504" s="1"/>
      <c r="S504" s="1" t="str">
        <f>"NOS-49-A/17"</f>
        <v>NOS-49-A/17</v>
      </c>
      <c r="T504" s="2" t="s">
        <v>33</v>
      </c>
    </row>
    <row r="505" spans="1:20" ht="38.25" x14ac:dyDescent="0.25">
      <c r="A505" s="1">
        <v>501</v>
      </c>
      <c r="B505" s="1" t="str">
        <f t="shared" si="52"/>
        <v>2017-370</v>
      </c>
      <c r="C505" s="2" t="s">
        <v>608</v>
      </c>
      <c r="D505" s="1" t="s">
        <v>609</v>
      </c>
      <c r="E505" s="3" t="str">
        <f>""</f>
        <v/>
      </c>
      <c r="F505" s="2" t="s">
        <v>27</v>
      </c>
      <c r="G505" s="2" t="str">
        <f>CONCATENATE("VIATOR TRANSPORTI D.O.O.,"," TADIJE SMIČIKLASA 7,"," 10360 SESVETE,"," OIB: 10920448135")</f>
        <v>VIATOR TRANSPORTI D.O.O., TADIJE SMIČIKLASA 7, 10360 SESVETE, OIB: 10920448135</v>
      </c>
      <c r="H505" s="4"/>
      <c r="I505" s="1" t="s">
        <v>596</v>
      </c>
      <c r="J505" s="1" t="s">
        <v>492</v>
      </c>
      <c r="K505" s="6" t="str">
        <f>"47.280,00"</f>
        <v>47.280,00</v>
      </c>
      <c r="L505" s="6" t="str">
        <f>"12.855,00"</f>
        <v>12.855,00</v>
      </c>
      <c r="M505" s="6" t="str">
        <f>"64.275,00"</f>
        <v>64.275,00</v>
      </c>
      <c r="N505" s="5">
        <v>43536</v>
      </c>
      <c r="O505" s="7"/>
      <c r="P505" s="6" t="str">
        <f>"64.275,00"</f>
        <v>64.275,00</v>
      </c>
      <c r="Q505" s="7"/>
      <c r="R505" s="1"/>
      <c r="S505" s="1" t="str">
        <f>"1-19/NOS-49-A/17"</f>
        <v>1-19/NOS-49-A/17</v>
      </c>
      <c r="T505" s="2" t="s">
        <v>33</v>
      </c>
    </row>
    <row r="506" spans="1:20" ht="25.5" x14ac:dyDescent="0.25">
      <c r="A506" s="1">
        <v>502</v>
      </c>
      <c r="B506" s="1" t="str">
        <f t="shared" si="52"/>
        <v>2017-370</v>
      </c>
      <c r="C506" s="2" t="s">
        <v>608</v>
      </c>
      <c r="D506" s="1" t="s">
        <v>609</v>
      </c>
      <c r="E506" s="3" t="str">
        <f>""</f>
        <v/>
      </c>
      <c r="F506" s="2" t="s">
        <v>27</v>
      </c>
      <c r="G506" s="2" t="str">
        <f>CONCATENATE("MBM VRTNI CENTAR D.O.O.,"," DOLENICA 8,"," 10250 LUČKO,"," OIB: 19462674595")</f>
        <v>MBM VRTNI CENTAR D.O.O., DOLENICA 8, 10250 LUČKO, OIB: 19462674595</v>
      </c>
      <c r="H506" s="4"/>
      <c r="I506" s="1" t="s">
        <v>257</v>
      </c>
      <c r="J506" s="1" t="s">
        <v>492</v>
      </c>
      <c r="K506" s="6" t="str">
        <f>"44.400,00"</f>
        <v>44.400,00</v>
      </c>
      <c r="L506" s="6" t="str">
        <f>"11.030,63"</f>
        <v>11.030,63</v>
      </c>
      <c r="M506" s="6" t="str">
        <f>"55.153,13"</f>
        <v>55.153,13</v>
      </c>
      <c r="N506" s="5">
        <v>43622</v>
      </c>
      <c r="O506" s="7"/>
      <c r="P506" s="6" t="str">
        <f>"55.153,12"</f>
        <v>55.153,12</v>
      </c>
      <c r="Q506" s="7"/>
      <c r="R506" s="1"/>
      <c r="S506" s="1" t="str">
        <f>"2-19/NOS-49-A/17"</f>
        <v>2-19/NOS-49-A/17</v>
      </c>
      <c r="T506" s="2" t="s">
        <v>33</v>
      </c>
    </row>
    <row r="507" spans="1:20" ht="38.25" x14ac:dyDescent="0.25">
      <c r="A507" s="1">
        <v>503</v>
      </c>
      <c r="B507" s="1" t="str">
        <f t="shared" si="52"/>
        <v>2017-370</v>
      </c>
      <c r="C507" s="2" t="s">
        <v>608</v>
      </c>
      <c r="D507" s="1" t="s">
        <v>609</v>
      </c>
      <c r="E507" s="3" t="str">
        <f>""</f>
        <v/>
      </c>
      <c r="F507" s="2" t="s">
        <v>27</v>
      </c>
      <c r="G507" s="2" t="str">
        <f>CONCATENATE("VIATOR TRANSPORTI D.O.O.,"," TADIJE SMIČIKLASA 7,"," 10360 SESVETE,"," OIB: 10920448135")</f>
        <v>VIATOR TRANSPORTI D.O.O., TADIJE SMIČIKLASA 7, 10360 SESVETE, OIB: 10920448135</v>
      </c>
      <c r="H507" s="4"/>
      <c r="I507" s="1" t="s">
        <v>329</v>
      </c>
      <c r="J507" s="1" t="s">
        <v>492</v>
      </c>
      <c r="K507" s="6" t="str">
        <f>"66.110,00"</f>
        <v>66.110,00</v>
      </c>
      <c r="L507" s="6" t="str">
        <f>"18.073,50"</f>
        <v>18.073,50</v>
      </c>
      <c r="M507" s="6" t="str">
        <f>"90.367,50"</f>
        <v>90.367,50</v>
      </c>
      <c r="N507" s="5">
        <v>43609</v>
      </c>
      <c r="O507" s="7"/>
      <c r="P507" s="6" t="str">
        <f>"90.367,50"</f>
        <v>90.367,50</v>
      </c>
      <c r="Q507" s="7"/>
      <c r="R507" s="1"/>
      <c r="S507" s="1" t="str">
        <f>"3-19/NOS-49-A/17"</f>
        <v>3-19/NOS-49-A/17</v>
      </c>
      <c r="T507" s="2" t="s">
        <v>33</v>
      </c>
    </row>
    <row r="508" spans="1:20" ht="38.25" x14ac:dyDescent="0.25">
      <c r="A508" s="1">
        <v>504</v>
      </c>
      <c r="B508" s="1" t="str">
        <f t="shared" si="52"/>
        <v>2017-370</v>
      </c>
      <c r="C508" s="2" t="s">
        <v>608</v>
      </c>
      <c r="D508" s="1" t="s">
        <v>609</v>
      </c>
      <c r="E508" s="3" t="str">
        <f>""</f>
        <v/>
      </c>
      <c r="F508" s="2" t="s">
        <v>27</v>
      </c>
      <c r="G508" s="2" t="str">
        <f>CONCATENATE("VIATOR TRANSPORTI D.O.O.,"," TADIJE SMIČIKLASA 7,"," 10360 SESVETE,"," OIB: 10920448135")</f>
        <v>VIATOR TRANSPORTI D.O.O., TADIJE SMIČIKLASA 7, 10360 SESVETE, OIB: 10920448135</v>
      </c>
      <c r="H508" s="4"/>
      <c r="I508" s="1" t="s">
        <v>73</v>
      </c>
      <c r="J508" s="1" t="s">
        <v>492</v>
      </c>
      <c r="K508" s="6" t="str">
        <f>"77.000,00"</f>
        <v>77.000,00</v>
      </c>
      <c r="L508" s="6" t="str">
        <f>"21.168,50"</f>
        <v>21.168,50</v>
      </c>
      <c r="M508" s="6" t="str">
        <f>"105.842,50"</f>
        <v>105.842,50</v>
      </c>
      <c r="N508" s="5">
        <v>43718</v>
      </c>
      <c r="O508" s="7"/>
      <c r="P508" s="6" t="str">
        <f>"105.842,50"</f>
        <v>105.842,50</v>
      </c>
      <c r="Q508" s="7"/>
      <c r="R508" s="1"/>
      <c r="S508" s="1" t="str">
        <f>"4-19/NOS-49-A/17"</f>
        <v>4-19/NOS-49-A/17</v>
      </c>
      <c r="T508" s="2" t="s">
        <v>33</v>
      </c>
    </row>
    <row r="509" spans="1:20" ht="25.5" x14ac:dyDescent="0.25">
      <c r="A509" s="1">
        <v>505</v>
      </c>
      <c r="B509" s="1" t="str">
        <f t="shared" si="52"/>
        <v>2017-370</v>
      </c>
      <c r="C509" s="2" t="s">
        <v>608</v>
      </c>
      <c r="D509" s="1" t="s">
        <v>609</v>
      </c>
      <c r="E509" s="3" t="str">
        <f>""</f>
        <v/>
      </c>
      <c r="F509" s="2" t="s">
        <v>27</v>
      </c>
      <c r="G509" s="2" t="str">
        <f>CONCATENATE("MBM VRTNI CENTAR D.O.O.,"," DOLENICA 8,"," 10250 LUČKO,"," OIB: 19462674595")</f>
        <v>MBM VRTNI CENTAR D.O.O., DOLENICA 8, 10250 LUČKO, OIB: 19462674595</v>
      </c>
      <c r="H509" s="4"/>
      <c r="I509" s="1" t="s">
        <v>597</v>
      </c>
      <c r="J509" s="1" t="s">
        <v>492</v>
      </c>
      <c r="K509" s="6" t="str">
        <f>"66.737,50"</f>
        <v>66.737,50</v>
      </c>
      <c r="L509" s="6" t="str">
        <f>"16.591,25"</f>
        <v>16.591,25</v>
      </c>
      <c r="M509" s="6" t="str">
        <f>"82.956,25"</f>
        <v>82.956,25</v>
      </c>
      <c r="N509" s="5">
        <v>43713</v>
      </c>
      <c r="O509" s="7"/>
      <c r="P509" s="6" t="str">
        <f>"82.956,25"</f>
        <v>82.956,25</v>
      </c>
      <c r="Q509" s="7"/>
      <c r="R509" s="1"/>
      <c r="S509" s="1" t="str">
        <f>"5-19/NOS-49-A/17"</f>
        <v>5-19/NOS-49-A/17</v>
      </c>
      <c r="T509" s="2" t="s">
        <v>33</v>
      </c>
    </row>
    <row r="510" spans="1:20" ht="63.75" x14ac:dyDescent="0.25">
      <c r="A510" s="1">
        <v>506</v>
      </c>
      <c r="B510" s="1" t="str">
        <f t="shared" si="52"/>
        <v>2017-370</v>
      </c>
      <c r="C510" s="2" t="s">
        <v>608</v>
      </c>
      <c r="D510" s="1" t="s">
        <v>609</v>
      </c>
      <c r="E510" s="3" t="str">
        <f>"2017/S 0F2-0010014"</f>
        <v>2017/S 0F2-0010014</v>
      </c>
      <c r="F510" s="2" t="s">
        <v>23</v>
      </c>
      <c r="G510" s="2" t="str">
        <f>CONCATENATE("VIATOR TRANSPORTI D.O.O.,"," TADIJE SMIČIKLASA 7,"," 10360 SESVETE,"," OIB: 10920448135",CHAR(10),"MBM VRTNI CENTAR D.O.O.,"," DOLENICA 8,"," 10250 LUČKO,"," OIB: 19462674595")</f>
        <v>VIATOR TRANSPORTI D.O.O., TADIJE SMIČIKLASA 7, 10360 SESVETE, OIB: 10920448135
MBM VRTNI CENTAR D.O.O., DOLENICA 8, 10250 LUČKO, OIB: 19462674595</v>
      </c>
      <c r="H510" s="4"/>
      <c r="I510" s="1" t="s">
        <v>385</v>
      </c>
      <c r="J510" s="1" t="s">
        <v>386</v>
      </c>
      <c r="K510" s="6" t="str">
        <f>"500.000,00"</f>
        <v>500.000,00</v>
      </c>
      <c r="L510" s="6" t="str">
        <f>"125.000,00"</f>
        <v>125.000,00</v>
      </c>
      <c r="M510" s="6" t="str">
        <f>"625.000,00"</f>
        <v>625.000,00</v>
      </c>
      <c r="N510" s="7"/>
      <c r="O510" s="7"/>
      <c r="P510" s="6" t="str">
        <f>""</f>
        <v/>
      </c>
      <c r="Q510" s="7"/>
      <c r="R510" s="1"/>
      <c r="S510" s="1" t="str">
        <f>"NOS-49-B/17"</f>
        <v>NOS-49-B/17</v>
      </c>
      <c r="T510" s="2" t="s">
        <v>33</v>
      </c>
    </row>
    <row r="511" spans="1:20" ht="38.25" x14ac:dyDescent="0.25">
      <c r="A511" s="1">
        <v>507</v>
      </c>
      <c r="B511" s="1" t="str">
        <f t="shared" si="52"/>
        <v>2017-370</v>
      </c>
      <c r="C511" s="2" t="s">
        <v>608</v>
      </c>
      <c r="D511" s="1" t="s">
        <v>609</v>
      </c>
      <c r="E511" s="3" t="str">
        <f>""</f>
        <v/>
      </c>
      <c r="F511" s="2" t="s">
        <v>27</v>
      </c>
      <c r="G511" s="2" t="str">
        <f>CONCATENATE("VIATOR TRANSPORTI D.O.O.,"," TADIJE SMIČIKLASA 7,"," 10360 SESVETE,"," OIB: 10920448135")</f>
        <v>VIATOR TRANSPORTI D.O.O., TADIJE SMIČIKLASA 7, 10360 SESVETE, OIB: 10920448135</v>
      </c>
      <c r="H511" s="4"/>
      <c r="I511" s="1" t="s">
        <v>596</v>
      </c>
      <c r="J511" s="1" t="s">
        <v>492</v>
      </c>
      <c r="K511" s="6" t="str">
        <f>"43.932,00"</f>
        <v>43.932,00</v>
      </c>
      <c r="L511" s="6" t="str">
        <f>"11.741,50"</f>
        <v>11.741,50</v>
      </c>
      <c r="M511" s="6" t="str">
        <f>"58.707,50"</f>
        <v>58.707,50</v>
      </c>
      <c r="N511" s="5">
        <v>43599</v>
      </c>
      <c r="O511" s="7"/>
      <c r="P511" s="6" t="str">
        <f>"58.707,50"</f>
        <v>58.707,50</v>
      </c>
      <c r="Q511" s="7"/>
      <c r="R511" s="1"/>
      <c r="S511" s="1" t="str">
        <f>"1-19/NOS-49-B/17"</f>
        <v>1-19/NOS-49-B/17</v>
      </c>
      <c r="T511" s="2" t="s">
        <v>33</v>
      </c>
    </row>
    <row r="512" spans="1:20" ht="38.25" x14ac:dyDescent="0.25">
      <c r="A512" s="1">
        <v>508</v>
      </c>
      <c r="B512" s="1" t="str">
        <f t="shared" si="52"/>
        <v>2017-370</v>
      </c>
      <c r="C512" s="2" t="s">
        <v>608</v>
      </c>
      <c r="D512" s="1" t="s">
        <v>609</v>
      </c>
      <c r="E512" s="3" t="str">
        <f>""</f>
        <v/>
      </c>
      <c r="F512" s="2" t="s">
        <v>27</v>
      </c>
      <c r="G512" s="2" t="str">
        <f>CONCATENATE("VIATOR TRANSPORTI D.O.O.,"," TADIJE SMIČIKLASA 7,"," 10360 SESVETE,"," OIB: 10920448135")</f>
        <v>VIATOR TRANSPORTI D.O.O., TADIJE SMIČIKLASA 7, 10360 SESVETE, OIB: 10920448135</v>
      </c>
      <c r="H512" s="4"/>
      <c r="I512" s="1" t="s">
        <v>73</v>
      </c>
      <c r="J512" s="1" t="s">
        <v>492</v>
      </c>
      <c r="K512" s="6" t="str">
        <f>"100.248,00"</f>
        <v>100.248,00</v>
      </c>
      <c r="L512" s="6" t="str">
        <f>"26.319,00"</f>
        <v>26.319,00</v>
      </c>
      <c r="M512" s="6" t="str">
        <f>"131.595,00"</f>
        <v>131.595,00</v>
      </c>
      <c r="N512" s="5">
        <v>43718</v>
      </c>
      <c r="O512" s="7"/>
      <c r="P512" s="6" t="str">
        <f>"131.595,00"</f>
        <v>131.595,00</v>
      </c>
      <c r="Q512" s="7"/>
      <c r="R512" s="1"/>
      <c r="S512" s="1" t="str">
        <f>"2-19/NOS-49-B/17"</f>
        <v>2-19/NOS-49-B/17</v>
      </c>
      <c r="T512" s="2" t="s">
        <v>33</v>
      </c>
    </row>
    <row r="513" spans="1:20" ht="102" x14ac:dyDescent="0.25">
      <c r="A513" s="1">
        <v>509</v>
      </c>
      <c r="B513" s="1" t="str">
        <f>"2017-121"</f>
        <v>2017-121</v>
      </c>
      <c r="C513" s="2" t="s">
        <v>610</v>
      </c>
      <c r="D513" s="1" t="s">
        <v>611</v>
      </c>
      <c r="E513" s="3" t="str">
        <f>"2017/S 0F2-0010710"</f>
        <v>2017/S 0F2-0010710</v>
      </c>
      <c r="F513" s="2" t="s">
        <v>23</v>
      </c>
      <c r="G513" s="2" t="str">
        <f>CONCATENATE("MAKSIM IV D.O.O.,"," BREZOVEC ZELINSKI 25B,"," 10382 DONJA ZELINA,"," OIB: 76386705170",CHAR(10),"GRADNJAPROJEKT-ZAGREB D.O.O.,"," TITA BREZOVAČKOG 6,"," 10000 ZAGREB,"," OIB: 71120174296",CHAR(10),"GRADITELJSTVO PAVE VUKELIĆ D.O.O.,"," LUKARSKA,"," LUKARIŠĆE 43,"," 10370 DUGO SELO,"," OIB: 21229144792")</f>
        <v>MAKSIM IV D.O.O., BREZOVEC ZELINSKI 25B, 10382 DONJA ZELINA, OIB: 76386705170
GRADNJAPROJEKT-ZAGREB D.O.O., TITA BREZOVAČKOG 6, 10000 ZAGREB, OIB: 71120174296
GRADITELJSTVO PAVE VUKELIĆ D.O.O., LUKARSKA, LUKARIŠĆE 43, 10370 DUGO SELO, OIB: 21229144792</v>
      </c>
      <c r="H513" s="4"/>
      <c r="I513" s="1" t="s">
        <v>612</v>
      </c>
      <c r="J513" s="1" t="s">
        <v>613</v>
      </c>
      <c r="K513" s="6" t="str">
        <f>"4.120.000,00"</f>
        <v>4.120.000,00</v>
      </c>
      <c r="L513" s="6" t="str">
        <f>"1.030.000,00"</f>
        <v>1.030.000,00</v>
      </c>
      <c r="M513" s="6" t="str">
        <f>"5.150.000,00"</f>
        <v>5.150.000,00</v>
      </c>
      <c r="N513" s="7"/>
      <c r="O513" s="7"/>
      <c r="P513" s="6" t="str">
        <f>""</f>
        <v/>
      </c>
      <c r="Q513" s="7"/>
      <c r="R513" s="1"/>
      <c r="S513" s="1" t="str">
        <f>"NOS-50/17"</f>
        <v>NOS-50/17</v>
      </c>
      <c r="T513" s="2" t="s">
        <v>167</v>
      </c>
    </row>
    <row r="514" spans="1:20" ht="38.25" x14ac:dyDescent="0.25">
      <c r="A514" s="1">
        <v>510</v>
      </c>
      <c r="B514" s="1" t="str">
        <f>"2017-121"</f>
        <v>2017-121</v>
      </c>
      <c r="C514" s="2" t="s">
        <v>610</v>
      </c>
      <c r="D514" s="1" t="s">
        <v>611</v>
      </c>
      <c r="E514" s="3" t="str">
        <f>""</f>
        <v/>
      </c>
      <c r="F514" s="2" t="s">
        <v>27</v>
      </c>
      <c r="G514" s="2" t="str">
        <f>CONCATENATE("GRADITELJSTVO PAVE VUKELIĆ D.O.O.,"," LUKARSKA,"," LUKARIŠĆE 43,"," 10370 DUGO SELO,"," OIB: 21229144792")</f>
        <v>GRADITELJSTVO PAVE VUKELIĆ D.O.O., LUKARSKA, LUKARIŠĆE 43, 10370 DUGO SELO, OIB: 21229144792</v>
      </c>
      <c r="H514" s="4"/>
      <c r="I514" s="1" t="s">
        <v>614</v>
      </c>
      <c r="J514" s="1" t="s">
        <v>121</v>
      </c>
      <c r="K514" s="6" t="str">
        <f>"48.557,80"</f>
        <v>48.557,80</v>
      </c>
      <c r="L514" s="6" t="str">
        <f>"11.331,05"</f>
        <v>11.331,05</v>
      </c>
      <c r="M514" s="6" t="str">
        <f>"56.655,24"</f>
        <v>56.655,24</v>
      </c>
      <c r="N514" s="5">
        <v>43549</v>
      </c>
      <c r="O514" s="7"/>
      <c r="P514" s="6" t="str">
        <f>"56.655,24"</f>
        <v>56.655,24</v>
      </c>
      <c r="Q514" s="7"/>
      <c r="R514" s="1"/>
      <c r="S514" s="1" t="str">
        <f>"1-19/NOS-50/17"</f>
        <v>1-19/NOS-50/17</v>
      </c>
      <c r="T514" s="2" t="s">
        <v>33</v>
      </c>
    </row>
    <row r="515" spans="1:20" ht="38.25" x14ac:dyDescent="0.25">
      <c r="A515" s="1">
        <v>511</v>
      </c>
      <c r="B515" s="1" t="str">
        <f>"2017-121"</f>
        <v>2017-121</v>
      </c>
      <c r="C515" s="2" t="s">
        <v>610</v>
      </c>
      <c r="D515" s="1" t="s">
        <v>611</v>
      </c>
      <c r="E515" s="3" t="str">
        <f>""</f>
        <v/>
      </c>
      <c r="F515" s="2" t="s">
        <v>27</v>
      </c>
      <c r="G515" s="2" t="str">
        <f>CONCATENATE("GRADITELJSTVO PAVE VUKELIĆ D.O.O.,"," LUKARSKA,"," LUKARIŠĆE 43,"," 10370 DUGO SELO,"," OIB: 21229144792")</f>
        <v>GRADITELJSTVO PAVE VUKELIĆ D.O.O., LUKARSKA, LUKARIŠĆE 43, 10370 DUGO SELO, OIB: 21229144792</v>
      </c>
      <c r="H515" s="4"/>
      <c r="I515" s="1" t="s">
        <v>373</v>
      </c>
      <c r="J515" s="1" t="s">
        <v>303</v>
      </c>
      <c r="K515" s="6" t="str">
        <f>"1.011,00"</f>
        <v>1.011,00</v>
      </c>
      <c r="L515" s="6" t="str">
        <f>"246,40"</f>
        <v>246,40</v>
      </c>
      <c r="M515" s="6" t="str">
        <f>"1.231,99"</f>
        <v>1.231,99</v>
      </c>
      <c r="N515" s="5">
        <v>43538</v>
      </c>
      <c r="O515" s="7"/>
      <c r="P515" s="6" t="str">
        <f>"1.231,99"</f>
        <v>1.231,99</v>
      </c>
      <c r="Q515" s="7"/>
      <c r="R515" s="1"/>
      <c r="S515" s="1" t="str">
        <f>"2-19/NOS-50/17"</f>
        <v>2-19/NOS-50/17</v>
      </c>
      <c r="T515" s="2" t="s">
        <v>60</v>
      </c>
    </row>
    <row r="516" spans="1:20" ht="38.25" x14ac:dyDescent="0.25">
      <c r="A516" s="1">
        <v>512</v>
      </c>
      <c r="B516" s="1" t="str">
        <f>"2017-121"</f>
        <v>2017-121</v>
      </c>
      <c r="C516" s="2" t="s">
        <v>610</v>
      </c>
      <c r="D516" s="1" t="s">
        <v>611</v>
      </c>
      <c r="E516" s="3" t="str">
        <f>""</f>
        <v/>
      </c>
      <c r="F516" s="2" t="s">
        <v>27</v>
      </c>
      <c r="G516" s="2" t="str">
        <f>CONCATENATE("GRADITELJSTVO PAVE VUKELIĆ D.O.O.,"," LUKARSKA,"," LUKARIŠĆE 43,"," 10370 DUGO SELO,"," OIB: 21229144792")</f>
        <v>GRADITELJSTVO PAVE VUKELIĆ D.O.O., LUKARSKA, LUKARIŠĆE 43, 10370 DUGO SELO, OIB: 21229144792</v>
      </c>
      <c r="H516" s="4"/>
      <c r="I516" s="1" t="s">
        <v>394</v>
      </c>
      <c r="J516" s="1" t="s">
        <v>121</v>
      </c>
      <c r="K516" s="6" t="str">
        <f>"19.991,34"</f>
        <v>19.991,34</v>
      </c>
      <c r="L516" s="6" t="str">
        <f>"4.997,84"</f>
        <v>4.997,84</v>
      </c>
      <c r="M516" s="6" t="str">
        <f>"24.989,18"</f>
        <v>24.989,18</v>
      </c>
      <c r="N516" s="5">
        <v>43581</v>
      </c>
      <c r="O516" s="7"/>
      <c r="P516" s="6" t="str">
        <f>"24.989,18"</f>
        <v>24.989,18</v>
      </c>
      <c r="Q516" s="7"/>
      <c r="R516" s="1"/>
      <c r="S516" s="1" t="str">
        <f>"3-19/NOS-50/17"</f>
        <v>3-19/NOS-50/17</v>
      </c>
      <c r="T516" s="2" t="s">
        <v>33</v>
      </c>
    </row>
    <row r="517" spans="1:20" ht="38.25" x14ac:dyDescent="0.25">
      <c r="A517" s="1">
        <v>513</v>
      </c>
      <c r="B517" s="1" t="str">
        <f>"2017-121"</f>
        <v>2017-121</v>
      </c>
      <c r="C517" s="2" t="s">
        <v>610</v>
      </c>
      <c r="D517" s="1" t="s">
        <v>611</v>
      </c>
      <c r="E517" s="3" t="str">
        <f>""</f>
        <v/>
      </c>
      <c r="F517" s="2" t="s">
        <v>27</v>
      </c>
      <c r="G517" s="2" t="str">
        <f>CONCATENATE("GRADITELJSTVO PAVE VUKELIĆ D.O.O.,"," LUKARSKA,"," LUKARIŠĆE 43,"," 10370 DUGO SELO,"," OIB: 21229144792")</f>
        <v>GRADITELJSTVO PAVE VUKELIĆ D.O.O., LUKARSKA, LUKARIŠĆE 43, 10370 DUGO SELO, OIB: 21229144792</v>
      </c>
      <c r="H517" s="4"/>
      <c r="I517" s="1" t="s">
        <v>320</v>
      </c>
      <c r="J517" s="1" t="s">
        <v>303</v>
      </c>
      <c r="K517" s="6" t="str">
        <f>"16.393,60"</f>
        <v>16.393,60</v>
      </c>
      <c r="L517" s="6" t="str">
        <f>"4.098,40"</f>
        <v>4.098,40</v>
      </c>
      <c r="M517" s="6" t="str">
        <f>"20.492,00"</f>
        <v>20.492,00</v>
      </c>
      <c r="N517" s="5">
        <v>43621</v>
      </c>
      <c r="O517" s="7"/>
      <c r="P517" s="6" t="str">
        <f>"20.492,00"</f>
        <v>20.492,00</v>
      </c>
      <c r="Q517" s="7"/>
      <c r="R517" s="1"/>
      <c r="S517" s="1" t="str">
        <f>"5-19/NOS-50/17"</f>
        <v>5-19/NOS-50/17</v>
      </c>
      <c r="T517" s="2" t="s">
        <v>33</v>
      </c>
    </row>
    <row r="518" spans="1:20" ht="89.25" x14ac:dyDescent="0.25">
      <c r="A518" s="1">
        <v>514</v>
      </c>
      <c r="B518" s="1" t="str">
        <f>"2017-2514"</f>
        <v>2017-2514</v>
      </c>
      <c r="C518" s="2" t="s">
        <v>615</v>
      </c>
      <c r="D518" s="1" t="s">
        <v>487</v>
      </c>
      <c r="E518" s="3" t="str">
        <f>"2017/S 0F2-0010419"</f>
        <v>2017/S 0F2-0010419</v>
      </c>
      <c r="F518" s="2" t="s">
        <v>23</v>
      </c>
      <c r="G518" s="2" t="str">
        <f>CONCATENATE("CETIS-ZG D.O.O.,"," INDUSTRIJSKA 11,"," 10431 SVETA NEDELJA,"," OIB: 41792612890",CHAR(10),"APIS IT D.O.O.,"," PALJETKOVA 18,"," 10000 ZAGREB,"," OIB: 02994650199",CHAR(10),"HITRA PRODUKCIJA DOKUMENATA D.O.O.,"," IVEKOVIĆEVA 2,"," 10000 ZAGREB,"," OIB: 65443507068")</f>
        <v>CETIS-ZG D.O.O., INDUSTRIJSKA 11, 10431 SVETA NEDELJA, OIB: 41792612890
APIS IT D.O.O., PALJETKOVA 18, 10000 ZAGREB, OIB: 02994650199
HITRA PRODUKCIJA DOKUMENATA D.O.O., IVEKOVIĆEVA 2, 10000 ZAGREB, OIB: 65443507068</v>
      </c>
      <c r="H518" s="4"/>
      <c r="I518" s="1" t="s">
        <v>616</v>
      </c>
      <c r="J518" s="1" t="s">
        <v>617</v>
      </c>
      <c r="K518" s="6" t="str">
        <f>"1.500.000,00"</f>
        <v>1.500.000,00</v>
      </c>
      <c r="L518" s="6" t="str">
        <f>"375.000,00"</f>
        <v>375.000,00</v>
      </c>
      <c r="M518" s="6" t="str">
        <f>"1.875.000,00"</f>
        <v>1.875.000,00</v>
      </c>
      <c r="N518" s="7"/>
      <c r="O518" s="7"/>
      <c r="P518" s="6" t="str">
        <f>""</f>
        <v/>
      </c>
      <c r="Q518" s="7"/>
      <c r="R518" s="1"/>
      <c r="S518" s="1" t="str">
        <f>"NOS-51/17"</f>
        <v>NOS-51/17</v>
      </c>
      <c r="T518" s="2" t="s">
        <v>26</v>
      </c>
    </row>
    <row r="519" spans="1:20" ht="38.25" x14ac:dyDescent="0.25">
      <c r="A519" s="1">
        <v>515</v>
      </c>
      <c r="B519" s="1" t="str">
        <f>"2017-2514"</f>
        <v>2017-2514</v>
      </c>
      <c r="C519" s="2" t="s">
        <v>615</v>
      </c>
      <c r="D519" s="4"/>
      <c r="E519" s="3" t="str">
        <f>""</f>
        <v/>
      </c>
      <c r="F519" s="2" t="s">
        <v>27</v>
      </c>
      <c r="G519" s="2" t="str">
        <f>CONCATENATE("HITRA PRODUKCIJA DOKUMENATA D.O.O.,"," IVEKOVIĆEVA 2,"," 10000 ZAGREB,"," OIB: 65443507068")</f>
        <v>HITRA PRODUKCIJA DOKUMENATA D.O.O., IVEKOVIĆEVA 2, 10000 ZAGREB, OIB: 65443507068</v>
      </c>
      <c r="H519" s="4"/>
      <c r="I519" s="1" t="s">
        <v>618</v>
      </c>
      <c r="J519" s="1" t="s">
        <v>114</v>
      </c>
      <c r="K519" s="6" t="str">
        <f>"27.494,00"</f>
        <v>27.494,00</v>
      </c>
      <c r="L519" s="6" t="str">
        <f>"6.873,50"</f>
        <v>6.873,50</v>
      </c>
      <c r="M519" s="6" t="str">
        <f>"34.367,50"</f>
        <v>34.367,50</v>
      </c>
      <c r="N519" s="5">
        <v>43627</v>
      </c>
      <c r="O519" s="7"/>
      <c r="P519" s="6" t="str">
        <f>"26.200,75"</f>
        <v>26.200,75</v>
      </c>
      <c r="Q519" s="7"/>
      <c r="R519" s="1"/>
      <c r="S519" s="1" t="str">
        <f>"1-18/NOS-51/17"</f>
        <v>1-18/NOS-51/17</v>
      </c>
      <c r="T519" s="2" t="s">
        <v>33</v>
      </c>
    </row>
    <row r="520" spans="1:20" ht="38.25" x14ac:dyDescent="0.25">
      <c r="A520" s="1">
        <v>516</v>
      </c>
      <c r="B520" s="1" t="str">
        <f>"2017-2514"</f>
        <v>2017-2514</v>
      </c>
      <c r="C520" s="2" t="s">
        <v>615</v>
      </c>
      <c r="D520" s="4"/>
      <c r="E520" s="3" t="str">
        <f>""</f>
        <v/>
      </c>
      <c r="F520" s="2" t="s">
        <v>27</v>
      </c>
      <c r="G520" s="2" t="str">
        <f>CONCATENATE("HITRA PRODUKCIJA DOKUMENATA D.O.O.,"," IVEKOVIĆEVA 2,"," 10000 ZAGREB,"," OIB: 65443507068")</f>
        <v>HITRA PRODUKCIJA DOKUMENATA D.O.O., IVEKOVIĆEVA 2, 10000 ZAGREB, OIB: 65443507068</v>
      </c>
      <c r="H520" s="4"/>
      <c r="I520" s="1" t="s">
        <v>451</v>
      </c>
      <c r="J520" s="1" t="s">
        <v>587</v>
      </c>
      <c r="K520" s="6" t="str">
        <f>"387.000,00"</f>
        <v>387.000,00</v>
      </c>
      <c r="L520" s="6" t="str">
        <f>"96.750,00"</f>
        <v>96.750,00</v>
      </c>
      <c r="M520" s="6" t="str">
        <f>"483.750,00"</f>
        <v>483.750,00</v>
      </c>
      <c r="N520" s="5">
        <v>43708</v>
      </c>
      <c r="O520" s="7"/>
      <c r="P520" s="6" t="str">
        <f>"249.032,44"</f>
        <v>249.032,44</v>
      </c>
      <c r="Q520" s="7"/>
      <c r="R520" s="1"/>
      <c r="S520" s="1" t="str">
        <f>"2-18/NOS-51/17"</f>
        <v>2-18/NOS-51/17</v>
      </c>
      <c r="T520" s="2" t="s">
        <v>29</v>
      </c>
    </row>
    <row r="521" spans="1:20" ht="38.25" x14ac:dyDescent="0.25">
      <c r="A521" s="1">
        <v>517</v>
      </c>
      <c r="B521" s="1" t="str">
        <f>"2017-2514"</f>
        <v>2017-2514</v>
      </c>
      <c r="C521" s="2" t="s">
        <v>615</v>
      </c>
      <c r="D521" s="1" t="s">
        <v>487</v>
      </c>
      <c r="E521" s="3" t="str">
        <f>""</f>
        <v/>
      </c>
      <c r="F521" s="2" t="s">
        <v>27</v>
      </c>
      <c r="G521" s="2" t="str">
        <f>CONCATENATE("HITRA PRODUKCIJA DOKUMENATA D.O.O.,"," IVEKOVIĆEVA 2,"," 10000 ZAGREB,"," OIB: 65443507068")</f>
        <v>HITRA PRODUKCIJA DOKUMENATA D.O.O., IVEKOVIĆEVA 2, 10000 ZAGREB, OIB: 65443507068</v>
      </c>
      <c r="H521" s="4"/>
      <c r="I521" s="1" t="s">
        <v>374</v>
      </c>
      <c r="J521" s="1" t="s">
        <v>619</v>
      </c>
      <c r="K521" s="6" t="str">
        <f>"29.518,00"</f>
        <v>29.518,00</v>
      </c>
      <c r="L521" s="6" t="str">
        <f>"7.379,50"</f>
        <v>7.379,50</v>
      </c>
      <c r="M521" s="6" t="str">
        <f>"36.897,50"</f>
        <v>36.897,50</v>
      </c>
      <c r="N521" s="5">
        <v>43677</v>
      </c>
      <c r="O521" s="7"/>
      <c r="P521" s="6" t="str">
        <f>"2.441,24"</f>
        <v>2.441,24</v>
      </c>
      <c r="Q521" s="7"/>
      <c r="R521" s="1"/>
      <c r="S521" s="1" t="str">
        <f>"2-19/NOS-51/17"</f>
        <v>2-19/NOS-51/17</v>
      </c>
      <c r="T521" s="2" t="s">
        <v>33</v>
      </c>
    </row>
    <row r="522" spans="1:20" ht="114.75" x14ac:dyDescent="0.25">
      <c r="A522" s="1">
        <v>518</v>
      </c>
      <c r="B522" s="1" t="str">
        <f>"2017-440"</f>
        <v>2017-440</v>
      </c>
      <c r="C522" s="2" t="s">
        <v>620</v>
      </c>
      <c r="D522" s="1" t="s">
        <v>621</v>
      </c>
      <c r="E522" s="3" t="str">
        <f>"2017/S 0F2-0012826"</f>
        <v>2017/S 0F2-0012826</v>
      </c>
      <c r="F522" s="2" t="s">
        <v>23</v>
      </c>
      <c r="G522" s="2" t="str">
        <f>CONCATENATE("A1 HRVATSKA D.O.O.,"," VRTNI PUT 1,"," 10000 ZAGREB,"," OIB: 29524210204")</f>
        <v>A1 HRVATSKA D.O.O., VRTNI PUT 1, 10000 ZAGREB, OIB: 29524210204</v>
      </c>
      <c r="H522" s="4"/>
      <c r="I522" s="1" t="s">
        <v>377</v>
      </c>
      <c r="J522" s="1" t="s">
        <v>378</v>
      </c>
      <c r="K522" s="6" t="str">
        <f>"6.000.000,00"</f>
        <v>6.000.000,00</v>
      </c>
      <c r="L522" s="6" t="str">
        <f>"1.500.000,00"</f>
        <v>1.500.000,00</v>
      </c>
      <c r="M522" s="6" t="str">
        <f>"7.500.000,00"</f>
        <v>7.500.000,00</v>
      </c>
      <c r="N522" s="7"/>
      <c r="O522" s="7"/>
      <c r="P522" s="6" t="str">
        <f>""</f>
        <v/>
      </c>
      <c r="Q522" s="7"/>
      <c r="R522" s="1"/>
      <c r="S522" s="1" t="str">
        <f>"NOS-52/17"</f>
        <v>NOS-52/17</v>
      </c>
      <c r="T522" s="2" t="s">
        <v>58</v>
      </c>
    </row>
    <row r="523" spans="1:20" ht="25.5" x14ac:dyDescent="0.25">
      <c r="A523" s="1">
        <v>519</v>
      </c>
      <c r="B523" s="1" t="str">
        <f>"2017-440"</f>
        <v>2017-440</v>
      </c>
      <c r="C523" s="2" t="s">
        <v>620</v>
      </c>
      <c r="D523" s="4"/>
      <c r="E523" s="3" t="str">
        <f>""</f>
        <v/>
      </c>
      <c r="F523" s="2" t="s">
        <v>27</v>
      </c>
      <c r="G523" s="2" t="str">
        <f>CONCATENATE("A1 HRVATSKA D.O.O.,"," VRTNI PUT 1,"," 10000 ZAGREB,"," OIB: 29524210204")</f>
        <v>A1 HRVATSKA D.O.O., VRTNI PUT 1, 10000 ZAGREB, OIB: 29524210204</v>
      </c>
      <c r="H523" s="4"/>
      <c r="I523" s="1" t="s">
        <v>186</v>
      </c>
      <c r="J523" s="1" t="s">
        <v>395</v>
      </c>
      <c r="K523" s="6" t="str">
        <f>"1.173.395,82"</f>
        <v>1.173.395,82</v>
      </c>
      <c r="L523" s="6" t="str">
        <f>"293.348,96"</f>
        <v>293.348,96</v>
      </c>
      <c r="M523" s="6" t="str">
        <f>"1.466.744,78"</f>
        <v>1.466.744,78</v>
      </c>
      <c r="N523" s="5">
        <v>43689</v>
      </c>
      <c r="O523" s="7"/>
      <c r="P523" s="6" t="str">
        <f>"57.022,50"</f>
        <v>57.022,50</v>
      </c>
      <c r="Q523" s="7"/>
      <c r="R523" s="1"/>
      <c r="S523" s="1" t="str">
        <f>"2-18/NOS-52/17"</f>
        <v>2-18/NOS-52/17</v>
      </c>
      <c r="T523" s="2" t="s">
        <v>33</v>
      </c>
    </row>
    <row r="524" spans="1:20" ht="38.25" x14ac:dyDescent="0.25">
      <c r="A524" s="1">
        <v>520</v>
      </c>
      <c r="B524" s="1" t="str">
        <f>"2017-2620"</f>
        <v>2017-2620</v>
      </c>
      <c r="C524" s="2" t="s">
        <v>622</v>
      </c>
      <c r="D524" s="1" t="s">
        <v>623</v>
      </c>
      <c r="E524" s="3" t="str">
        <f>"2017/S 0F2-0010398"</f>
        <v>2017/S 0F2-0010398</v>
      </c>
      <c r="F524" s="2" t="s">
        <v>23</v>
      </c>
      <c r="G524" s="2" t="str">
        <f>CONCATENATE("SMIT-COMMERCE D.O.O.,"," GORNJOSTUPNIČKA 9B,"," 10255 GORNJI STUPNIK,"," OIB: 9524348214")</f>
        <v>SMIT-COMMERCE D.O.O., GORNJOSTUPNIČKA 9B, 10255 GORNJI STUPNIK, OIB: 9524348214</v>
      </c>
      <c r="H524" s="4"/>
      <c r="I524" s="1" t="s">
        <v>377</v>
      </c>
      <c r="J524" s="1" t="s">
        <v>378</v>
      </c>
      <c r="K524" s="6" t="str">
        <f>"1.000.000,00"</f>
        <v>1.000.000,00</v>
      </c>
      <c r="L524" s="6" t="str">
        <f>"250.000,00"</f>
        <v>250.000,00</v>
      </c>
      <c r="M524" s="6" t="str">
        <f>"1.250.000,00"</f>
        <v>1.250.000,00</v>
      </c>
      <c r="N524" s="7"/>
      <c r="O524" s="7"/>
      <c r="P524" s="6" t="str">
        <f>""</f>
        <v/>
      </c>
      <c r="Q524" s="7"/>
      <c r="R524" s="1"/>
      <c r="S524" s="1" t="str">
        <f>"NOS-53/17"</f>
        <v>NOS-53/17</v>
      </c>
      <c r="T524" s="2" t="s">
        <v>33</v>
      </c>
    </row>
    <row r="525" spans="1:20" ht="38.25" x14ac:dyDescent="0.25">
      <c r="A525" s="1">
        <v>521</v>
      </c>
      <c r="B525" s="1" t="str">
        <f>"2017-2620"</f>
        <v>2017-2620</v>
      </c>
      <c r="C525" s="2" t="s">
        <v>622</v>
      </c>
      <c r="D525" s="1" t="s">
        <v>623</v>
      </c>
      <c r="E525" s="3" t="str">
        <f>""</f>
        <v/>
      </c>
      <c r="F525" s="2" t="s">
        <v>27</v>
      </c>
      <c r="G525" s="2" t="str">
        <f>CONCATENATE("SMIT-COMMERCE D.O.O.,"," GORNJOSTUPNIČKA 9B,"," 10255 GORNJI STUPNIK,"," OIB: 9524348214")</f>
        <v>SMIT-COMMERCE D.O.O., GORNJOSTUPNIČKA 9B, 10255 GORNJI STUPNIK, OIB: 9524348214</v>
      </c>
      <c r="H525" s="4"/>
      <c r="I525" s="1" t="s">
        <v>149</v>
      </c>
      <c r="J525" s="1" t="s">
        <v>140</v>
      </c>
      <c r="K525" s="6" t="str">
        <f>"671,94"</f>
        <v>671,94</v>
      </c>
      <c r="L525" s="6" t="str">
        <f>"167,99"</f>
        <v>167,99</v>
      </c>
      <c r="M525" s="6" t="str">
        <f>"839,93"</f>
        <v>839,93</v>
      </c>
      <c r="N525" s="5">
        <v>43461</v>
      </c>
      <c r="O525" s="7"/>
      <c r="P525" s="6" t="str">
        <f>"839,92"</f>
        <v>839,92</v>
      </c>
      <c r="Q525" s="7"/>
      <c r="R525" s="1"/>
      <c r="S525" s="1" t="str">
        <f>"10-18/NOS-53/17"</f>
        <v>10-18/NOS-53/17</v>
      </c>
      <c r="T525" s="2" t="s">
        <v>33</v>
      </c>
    </row>
    <row r="526" spans="1:20" ht="38.25" x14ac:dyDescent="0.25">
      <c r="A526" s="1">
        <v>522</v>
      </c>
      <c r="B526" s="1" t="str">
        <f>"2017-2620"</f>
        <v>2017-2620</v>
      </c>
      <c r="C526" s="2" t="s">
        <v>622</v>
      </c>
      <c r="D526" s="1" t="s">
        <v>623</v>
      </c>
      <c r="E526" s="3" t="str">
        <f>""</f>
        <v/>
      </c>
      <c r="F526" s="2" t="s">
        <v>27</v>
      </c>
      <c r="G526" s="2" t="str">
        <f>CONCATENATE("SMIT-COMMERCE D.O.O.,"," GORNJOSTUPNIČKA 9B,"," 10255 GORNJI STUPNIK,"," OIB: 9524348214")</f>
        <v>SMIT-COMMERCE D.O.O., GORNJOSTUPNIČKA 9B, 10255 GORNJI STUPNIK, OIB: 9524348214</v>
      </c>
      <c r="H526" s="4"/>
      <c r="I526" s="1" t="s">
        <v>44</v>
      </c>
      <c r="J526" s="1" t="s">
        <v>64</v>
      </c>
      <c r="K526" s="6" t="str">
        <f>"1.067,94"</f>
        <v>1.067,94</v>
      </c>
      <c r="L526" s="6" t="str">
        <f>"266,99"</f>
        <v>266,99</v>
      </c>
      <c r="M526" s="6" t="str">
        <f>"1.334,93"</f>
        <v>1.334,93</v>
      </c>
      <c r="N526" s="5">
        <v>43589</v>
      </c>
      <c r="O526" s="7"/>
      <c r="P526" s="6" t="str">
        <f>"1.147,80"</f>
        <v>1.147,80</v>
      </c>
      <c r="Q526" s="7"/>
      <c r="R526" s="1"/>
      <c r="S526" s="1" t="str">
        <f>"2-19/NOS-53/17"</f>
        <v>2-19/NOS-53/17</v>
      </c>
      <c r="T526" s="2" t="s">
        <v>33</v>
      </c>
    </row>
    <row r="527" spans="1:20" ht="38.25" x14ac:dyDescent="0.25">
      <c r="A527" s="1">
        <v>523</v>
      </c>
      <c r="B527" s="1" t="str">
        <f t="shared" ref="B527:B534" si="53">"2017-2470"</f>
        <v>2017-2470</v>
      </c>
      <c r="C527" s="2" t="s">
        <v>624</v>
      </c>
      <c r="D527" s="1" t="s">
        <v>625</v>
      </c>
      <c r="E527" s="3" t="str">
        <f>"2017/S 0F2-0012499"</f>
        <v>2017/S 0F2-0012499</v>
      </c>
      <c r="F527" s="2" t="s">
        <v>23</v>
      </c>
      <c r="G527" s="2" t="str">
        <f t="shared" ref="G527:G534" si="54">CONCATENATE("NASTAVNI ZAVOD ZA JAVNO ZDRAVSTVO DR. ANDRIJA ŠTAMPAR,"," MIROGOJSKA CESTA 16,"," 10000 ZAGREB,"," OIB: 3339200596")</f>
        <v>NASTAVNI ZAVOD ZA JAVNO ZDRAVSTVO DR. ANDRIJA ŠTAMPAR, MIROGOJSKA CESTA 16, 10000 ZAGREB, OIB: 3339200596</v>
      </c>
      <c r="H527" s="1" t="str">
        <f>CONCATENATE("BIOINSTITUT D.O.O.,"," OIB: 42588898414")</f>
        <v>BIOINSTITUT D.O.O., OIB: 42588898414</v>
      </c>
      <c r="I527" s="1" t="s">
        <v>616</v>
      </c>
      <c r="J527" s="1" t="s">
        <v>626</v>
      </c>
      <c r="K527" s="6" t="str">
        <f>"1.580.000,00"</f>
        <v>1.580.000,00</v>
      </c>
      <c r="L527" s="6" t="str">
        <f>"395.000,00"</f>
        <v>395.000,00</v>
      </c>
      <c r="M527" s="6" t="str">
        <f>"1.975.000,00"</f>
        <v>1.975.000,00</v>
      </c>
      <c r="N527" s="7"/>
      <c r="O527" s="7"/>
      <c r="P527" s="6" t="str">
        <f>""</f>
        <v/>
      </c>
      <c r="Q527" s="7"/>
      <c r="R527" s="1"/>
      <c r="S527" s="1" t="str">
        <f>"NOS-54/17"</f>
        <v>NOS-54/17</v>
      </c>
      <c r="T527" s="2" t="s">
        <v>26</v>
      </c>
    </row>
    <row r="528" spans="1:20" ht="38.25" x14ac:dyDescent="0.25">
      <c r="A528" s="1">
        <v>524</v>
      </c>
      <c r="B528" s="1" t="str">
        <f t="shared" si="53"/>
        <v>2017-2470</v>
      </c>
      <c r="C528" s="2" t="s">
        <v>624</v>
      </c>
      <c r="D528" s="4"/>
      <c r="E528" s="3" t="str">
        <f>""</f>
        <v/>
      </c>
      <c r="F528" s="2" t="s">
        <v>27</v>
      </c>
      <c r="G528" s="2" t="str">
        <f t="shared" si="54"/>
        <v>NASTAVNI ZAVOD ZA JAVNO ZDRAVSTVO DR. ANDRIJA ŠTAMPAR, MIROGOJSKA CESTA 16, 10000 ZAGREB, OIB: 3339200596</v>
      </c>
      <c r="H528" s="4"/>
      <c r="I528" s="1" t="s">
        <v>129</v>
      </c>
      <c r="J528" s="1" t="s">
        <v>42</v>
      </c>
      <c r="K528" s="6" t="str">
        <f>"89.735,20"</f>
        <v>89.735,20</v>
      </c>
      <c r="L528" s="6" t="str">
        <f>"22.433,80"</f>
        <v>22.433,80</v>
      </c>
      <c r="M528" s="6" t="str">
        <f>"112.169,00"</f>
        <v>112.169,00</v>
      </c>
      <c r="N528" s="5">
        <v>43654</v>
      </c>
      <c r="O528" s="7"/>
      <c r="P528" s="6" t="str">
        <f>"88.528,00"</f>
        <v>88.528,00</v>
      </c>
      <c r="Q528" s="7"/>
      <c r="R528" s="1"/>
      <c r="S528" s="1" t="str">
        <f>"9-18/NOS-54/17"</f>
        <v>9-18/NOS-54/17</v>
      </c>
      <c r="T528" s="2" t="s">
        <v>29</v>
      </c>
    </row>
    <row r="529" spans="1:20" ht="38.25" x14ac:dyDescent="0.25">
      <c r="A529" s="1">
        <v>525</v>
      </c>
      <c r="B529" s="1" t="str">
        <f t="shared" si="53"/>
        <v>2017-2470</v>
      </c>
      <c r="C529" s="2" t="s">
        <v>624</v>
      </c>
      <c r="D529" s="4"/>
      <c r="E529" s="3" t="str">
        <f>""</f>
        <v/>
      </c>
      <c r="F529" s="2" t="s">
        <v>27</v>
      </c>
      <c r="G529" s="2" t="str">
        <f t="shared" si="54"/>
        <v>NASTAVNI ZAVOD ZA JAVNO ZDRAVSTVO DR. ANDRIJA ŠTAMPAR, MIROGOJSKA CESTA 16, 10000 ZAGREB, OIB: 3339200596</v>
      </c>
      <c r="H529" s="4"/>
      <c r="I529" s="1" t="s">
        <v>46</v>
      </c>
      <c r="J529" s="1" t="s">
        <v>45</v>
      </c>
      <c r="K529" s="6" t="str">
        <f>"96.062,20"</f>
        <v>96.062,20</v>
      </c>
      <c r="L529" s="6" t="str">
        <f>"24.015,55"</f>
        <v>24.015,55</v>
      </c>
      <c r="M529" s="6" t="str">
        <f>"120.077,75"</f>
        <v>120.077,75</v>
      </c>
      <c r="N529" s="5">
        <v>43717</v>
      </c>
      <c r="O529" s="7"/>
      <c r="P529" s="6" t="str">
        <f>"18.541,00"</f>
        <v>18.541,00</v>
      </c>
      <c r="Q529" s="7"/>
      <c r="R529" s="1"/>
      <c r="S529" s="1" t="str">
        <f>"5-19/NOS-54/17"</f>
        <v>5-19/NOS-54/17</v>
      </c>
      <c r="T529" s="2" t="s">
        <v>29</v>
      </c>
    </row>
    <row r="530" spans="1:20" ht="38.25" x14ac:dyDescent="0.25">
      <c r="A530" s="1">
        <v>526</v>
      </c>
      <c r="B530" s="1" t="str">
        <f t="shared" si="53"/>
        <v>2017-2470</v>
      </c>
      <c r="C530" s="2" t="s">
        <v>624</v>
      </c>
      <c r="D530" s="1" t="s">
        <v>625</v>
      </c>
      <c r="E530" s="3" t="str">
        <f>""</f>
        <v/>
      </c>
      <c r="F530" s="2" t="s">
        <v>27</v>
      </c>
      <c r="G530" s="2" t="str">
        <f t="shared" si="54"/>
        <v>NASTAVNI ZAVOD ZA JAVNO ZDRAVSTVO DR. ANDRIJA ŠTAMPAR, MIROGOJSKA CESTA 16, 10000 ZAGREB, OIB: 3339200596</v>
      </c>
      <c r="H530" s="1" t="str">
        <f>CONCATENATE("BIOINSTITUT D.O.O.,"," OIB: 42588898414")</f>
        <v>BIOINSTITUT D.O.O., OIB: 42588898414</v>
      </c>
      <c r="I530" s="1" t="s">
        <v>194</v>
      </c>
      <c r="J530" s="1" t="s">
        <v>121</v>
      </c>
      <c r="K530" s="6" t="str">
        <f>"12.162,72"</f>
        <v>12.162,72</v>
      </c>
      <c r="L530" s="6" t="str">
        <f>"1.520,34"</f>
        <v>1.520,34</v>
      </c>
      <c r="M530" s="6" t="str">
        <f>"7.601,70"</f>
        <v>7.601,70</v>
      </c>
      <c r="N530" s="5">
        <v>43654</v>
      </c>
      <c r="O530" s="7"/>
      <c r="P530" s="6" t="str">
        <f>"7.601,70"</f>
        <v>7.601,70</v>
      </c>
      <c r="Q530" s="7"/>
      <c r="R530" s="1"/>
      <c r="S530" s="1" t="str">
        <f>"1-19/NOS-54/17"</f>
        <v>1-19/NOS-54/17</v>
      </c>
      <c r="T530" s="2" t="s">
        <v>33</v>
      </c>
    </row>
    <row r="531" spans="1:20" ht="38.25" x14ac:dyDescent="0.25">
      <c r="A531" s="1">
        <v>527</v>
      </c>
      <c r="B531" s="1" t="str">
        <f t="shared" si="53"/>
        <v>2017-2470</v>
      </c>
      <c r="C531" s="2" t="s">
        <v>624</v>
      </c>
      <c r="D531" s="1" t="s">
        <v>625</v>
      </c>
      <c r="E531" s="3" t="str">
        <f>""</f>
        <v/>
      </c>
      <c r="F531" s="2" t="s">
        <v>27</v>
      </c>
      <c r="G531" s="2" t="str">
        <f t="shared" si="54"/>
        <v>NASTAVNI ZAVOD ZA JAVNO ZDRAVSTVO DR. ANDRIJA ŠTAMPAR, MIROGOJSKA CESTA 16, 10000 ZAGREB, OIB: 3339200596</v>
      </c>
      <c r="H531" s="1" t="str">
        <f>CONCATENATE("BIOINSTITUT D.O.O.,"," OIB: 42588898414")</f>
        <v>BIOINSTITUT D.O.O., OIB: 42588898414</v>
      </c>
      <c r="I531" s="1" t="s">
        <v>195</v>
      </c>
      <c r="J531" s="1" t="s">
        <v>627</v>
      </c>
      <c r="K531" s="6" t="str">
        <f>"18.240,00"</f>
        <v>18.240,00</v>
      </c>
      <c r="L531" s="6" t="str">
        <f>"3.405,00"</f>
        <v>3.405,00</v>
      </c>
      <c r="M531" s="6" t="str">
        <f>"17.025,00"</f>
        <v>17.025,00</v>
      </c>
      <c r="N531" s="5">
        <v>43601</v>
      </c>
      <c r="O531" s="7"/>
      <c r="P531" s="6" t="str">
        <f>"17.025,00"</f>
        <v>17.025,00</v>
      </c>
      <c r="Q531" s="7"/>
      <c r="R531" s="1"/>
      <c r="S531" s="1" t="str">
        <f>"2-19/NOS-54/17"</f>
        <v>2-19/NOS-54/17</v>
      </c>
      <c r="T531" s="2" t="s">
        <v>33</v>
      </c>
    </row>
    <row r="532" spans="1:20" ht="38.25" x14ac:dyDescent="0.25">
      <c r="A532" s="1">
        <v>528</v>
      </c>
      <c r="B532" s="1" t="str">
        <f t="shared" si="53"/>
        <v>2017-2470</v>
      </c>
      <c r="C532" s="2" t="s">
        <v>624</v>
      </c>
      <c r="D532" s="1" t="s">
        <v>625</v>
      </c>
      <c r="E532" s="3" t="str">
        <f>""</f>
        <v/>
      </c>
      <c r="F532" s="2" t="s">
        <v>27</v>
      </c>
      <c r="G532" s="2" t="str">
        <f t="shared" si="54"/>
        <v>NASTAVNI ZAVOD ZA JAVNO ZDRAVSTVO DR. ANDRIJA ŠTAMPAR, MIROGOJSKA CESTA 16, 10000 ZAGREB, OIB: 3339200596</v>
      </c>
      <c r="H532" s="1" t="str">
        <f>CONCATENATE("BIOINSTITUT D.O.O.,"," OIB: 42588898414")</f>
        <v>BIOINSTITUT D.O.O., OIB: 42588898414</v>
      </c>
      <c r="I532" s="1" t="s">
        <v>257</v>
      </c>
      <c r="J532" s="1" t="s">
        <v>121</v>
      </c>
      <c r="K532" s="6" t="str">
        <f>"1.792,80"</f>
        <v>1.792,80</v>
      </c>
      <c r="L532" s="6" t="str">
        <f>"448,20"</f>
        <v>448,20</v>
      </c>
      <c r="M532" s="6" t="str">
        <f>"2.241,00"</f>
        <v>2.241,00</v>
      </c>
      <c r="N532" s="5">
        <v>43552</v>
      </c>
      <c r="O532" s="7"/>
      <c r="P532" s="6" t="str">
        <f>"2.241,00"</f>
        <v>2.241,00</v>
      </c>
      <c r="Q532" s="7"/>
      <c r="R532" s="1"/>
      <c r="S532" s="1" t="str">
        <f>"4-19/NOS-54/17"</f>
        <v>4-19/NOS-54/17</v>
      </c>
      <c r="T532" s="2" t="s">
        <v>33</v>
      </c>
    </row>
    <row r="533" spans="1:20" ht="38.25" x14ac:dyDescent="0.25">
      <c r="A533" s="1">
        <v>529</v>
      </c>
      <c r="B533" s="1" t="str">
        <f t="shared" si="53"/>
        <v>2017-2470</v>
      </c>
      <c r="C533" s="2" t="s">
        <v>624</v>
      </c>
      <c r="D533" s="1" t="s">
        <v>625</v>
      </c>
      <c r="E533" s="3" t="str">
        <f>""</f>
        <v/>
      </c>
      <c r="F533" s="2" t="s">
        <v>27</v>
      </c>
      <c r="G533" s="2" t="str">
        <f t="shared" si="54"/>
        <v>NASTAVNI ZAVOD ZA JAVNO ZDRAVSTVO DR. ANDRIJA ŠTAMPAR, MIROGOJSKA CESTA 16, 10000 ZAGREB, OIB: 3339200596</v>
      </c>
      <c r="H533" s="1" t="str">
        <f>CONCATENATE("BIOINSTITUT D.O.O.,"," OIB: 42588898414")</f>
        <v>BIOINSTITUT D.O.O., OIB: 42588898414</v>
      </c>
      <c r="I533" s="1" t="s">
        <v>628</v>
      </c>
      <c r="J533" s="1" t="s">
        <v>121</v>
      </c>
      <c r="K533" s="6" t="str">
        <f>"3.593,60"</f>
        <v>3.593,60</v>
      </c>
      <c r="L533" s="6" t="str">
        <f>"449,20"</f>
        <v>449,20</v>
      </c>
      <c r="M533" s="6" t="str">
        <f>"2.246,00"</f>
        <v>2.246,00</v>
      </c>
      <c r="N533" s="5">
        <v>43677</v>
      </c>
      <c r="O533" s="7"/>
      <c r="P533" s="6" t="str">
        <f>"2.246,00"</f>
        <v>2.246,00</v>
      </c>
      <c r="Q533" s="7"/>
      <c r="R533" s="1"/>
      <c r="S533" s="1" t="str">
        <f>"6-19/NOS-54/17"</f>
        <v>6-19/NOS-54/17</v>
      </c>
      <c r="T533" s="2" t="s">
        <v>33</v>
      </c>
    </row>
    <row r="534" spans="1:20" ht="38.25" x14ac:dyDescent="0.25">
      <c r="A534" s="1">
        <v>530</v>
      </c>
      <c r="B534" s="1" t="str">
        <f t="shared" si="53"/>
        <v>2017-2470</v>
      </c>
      <c r="C534" s="2" t="s">
        <v>624</v>
      </c>
      <c r="D534" s="1" t="s">
        <v>625</v>
      </c>
      <c r="E534" s="3" t="str">
        <f>""</f>
        <v/>
      </c>
      <c r="F534" s="2" t="s">
        <v>27</v>
      </c>
      <c r="G534" s="2" t="str">
        <f t="shared" si="54"/>
        <v>NASTAVNI ZAVOD ZA JAVNO ZDRAVSTVO DR. ANDRIJA ŠTAMPAR, MIROGOJSKA CESTA 16, 10000 ZAGREB, OIB: 3339200596</v>
      </c>
      <c r="H534" s="1" t="str">
        <f>CONCATENATE("BIOINSTITUT D.O.O.,"," OIB: 42588898414")</f>
        <v>BIOINSTITUT D.O.O., OIB: 42588898414</v>
      </c>
      <c r="I534" s="1" t="s">
        <v>628</v>
      </c>
      <c r="J534" s="1" t="s">
        <v>469</v>
      </c>
      <c r="K534" s="6" t="str">
        <f>"1.321,80"</f>
        <v>1.321,80</v>
      </c>
      <c r="L534" s="6" t="str">
        <f>"0,00"</f>
        <v>0,00</v>
      </c>
      <c r="M534" s="6" t="str">
        <f>"0,00"</f>
        <v>0,00</v>
      </c>
      <c r="N534" s="1" t="s">
        <v>117</v>
      </c>
      <c r="O534" s="7"/>
      <c r="P534" s="6" t="str">
        <f>"0,00"</f>
        <v>0,00</v>
      </c>
      <c r="Q534" s="7"/>
      <c r="R534" s="1"/>
      <c r="S534" s="1" t="str">
        <f>"7-19/NOS-54/17"</f>
        <v>7-19/NOS-54/17</v>
      </c>
      <c r="T534" s="2" t="s">
        <v>33</v>
      </c>
    </row>
    <row r="535" spans="1:20" ht="38.25" x14ac:dyDescent="0.25">
      <c r="A535" s="1">
        <v>531</v>
      </c>
      <c r="B535" s="1" t="str">
        <f>"2017-1487"</f>
        <v>2017-1487</v>
      </c>
      <c r="C535" s="2" t="s">
        <v>629</v>
      </c>
      <c r="D535" s="1" t="s">
        <v>131</v>
      </c>
      <c r="E535" s="3" t="str">
        <f>"2017/S 0F2-0012855"</f>
        <v>2017/S 0F2-0012855</v>
      </c>
      <c r="F535" s="2" t="s">
        <v>23</v>
      </c>
      <c r="G535" s="2" t="str">
        <f>CONCATENATE("POLJO-PROM,"," VL. ZLATKO KRIŽANIĆ,"," HRAŠĆE TUROPOLJSKO,"," KRIŽANIĆI 27,"," 10020 ZAGREB-NOVI ZAGREB,"," OIB: 22277452223")</f>
        <v>POLJO-PROM, VL. ZLATKO KRIŽANIĆ, HRAŠĆE TUROPOLJSKO, KRIŽANIĆI 27, 10020 ZAGREB-NOVI ZAGREB, OIB: 22277452223</v>
      </c>
      <c r="H535" s="4"/>
      <c r="I535" s="1" t="s">
        <v>377</v>
      </c>
      <c r="J535" s="1" t="s">
        <v>630</v>
      </c>
      <c r="K535" s="6" t="str">
        <f>"2.750.000,00"</f>
        <v>2.750.000,00</v>
      </c>
      <c r="L535" s="6" t="str">
        <f>"687.500,00"</f>
        <v>687.500,00</v>
      </c>
      <c r="M535" s="6" t="str">
        <f>"3.437.500,00"</f>
        <v>3.437.500,00</v>
      </c>
      <c r="N535" s="7"/>
      <c r="O535" s="7"/>
      <c r="P535" s="6" t="str">
        <f>""</f>
        <v/>
      </c>
      <c r="Q535" s="7"/>
      <c r="R535" s="1"/>
      <c r="S535" s="1" t="str">
        <f>"NOS-55-A/17"</f>
        <v>NOS-55-A/17</v>
      </c>
      <c r="T535" s="2" t="s">
        <v>33</v>
      </c>
    </row>
    <row r="536" spans="1:20" ht="38.25" x14ac:dyDescent="0.25">
      <c r="A536" s="1">
        <v>532</v>
      </c>
      <c r="B536" s="1" t="str">
        <f>"2017-1487"</f>
        <v>2017-1487</v>
      </c>
      <c r="C536" s="2" t="s">
        <v>629</v>
      </c>
      <c r="D536" s="1" t="s">
        <v>131</v>
      </c>
      <c r="E536" s="3" t="str">
        <f>""</f>
        <v/>
      </c>
      <c r="F536" s="2" t="s">
        <v>27</v>
      </c>
      <c r="G536" s="2" t="str">
        <f>CONCATENATE("POLJO-PROM,"," VL. ZLATKO KRIŽANIĆ,"," HRAŠĆE TUROPOLJSKO,"," KRIŽANIĆI 27,"," 10020 ZAGREB-NOVI ZAGREB,"," OIB: 22277452223")</f>
        <v>POLJO-PROM, VL. ZLATKO KRIŽANIĆ, HRAŠĆE TUROPOLJSKO, KRIŽANIĆI 27, 10020 ZAGREB-NOVI ZAGREB, OIB: 22277452223</v>
      </c>
      <c r="H536" s="4"/>
      <c r="I536" s="1" t="s">
        <v>631</v>
      </c>
      <c r="J536" s="1" t="s">
        <v>42</v>
      </c>
      <c r="K536" s="6" t="str">
        <f>"1.597.800,00"</f>
        <v>1.597.800,00</v>
      </c>
      <c r="L536" s="6" t="str">
        <f>"399.450,00"</f>
        <v>399.450,00</v>
      </c>
      <c r="M536" s="6" t="str">
        <f>"1.997.250,00"</f>
        <v>1.997.250,00</v>
      </c>
      <c r="N536" s="5">
        <v>43691</v>
      </c>
      <c r="O536" s="7"/>
      <c r="P536" s="6" t="str">
        <f>"1.985.618,75"</f>
        <v>1.985.618,75</v>
      </c>
      <c r="Q536" s="7"/>
      <c r="R536" s="1"/>
      <c r="S536" s="1" t="str">
        <f>"3-18/NOS-55-A/17"</f>
        <v>3-18/NOS-55-A/17</v>
      </c>
      <c r="T536" s="2" t="s">
        <v>33</v>
      </c>
    </row>
    <row r="537" spans="1:20" ht="63.75" x14ac:dyDescent="0.25">
      <c r="A537" s="1">
        <v>533</v>
      </c>
      <c r="B537" s="1" t="str">
        <f t="shared" ref="B537:B543" si="55">"2017-2020"</f>
        <v>2017-2020</v>
      </c>
      <c r="C537" s="2" t="s">
        <v>632</v>
      </c>
      <c r="D537" s="1" t="s">
        <v>633</v>
      </c>
      <c r="E537" s="3" t="str">
        <f>"2017/S 0F2-0013215"</f>
        <v>2017/S 0F2-0013215</v>
      </c>
      <c r="F537" s="2" t="s">
        <v>23</v>
      </c>
      <c r="G537" s="2" t="str">
        <f t="shared" ref="G537:G543" si="56">CONCATENATE("URIHO - ZAGREB,"," AVENIJA MARINA DRŽIĆA 1,"," 10000 ZAGREB,"," OIB: 77931216562")</f>
        <v>URIHO - ZAGREB, AVENIJA MARINA DRŽIĆA 1, 10000 ZAGREB, OIB: 77931216562</v>
      </c>
      <c r="H537" s="4"/>
      <c r="I537" s="1" t="s">
        <v>612</v>
      </c>
      <c r="J537" s="1" t="s">
        <v>634</v>
      </c>
      <c r="K537" s="6" t="str">
        <f>"5.500.000,00"</f>
        <v>5.500.000,00</v>
      </c>
      <c r="L537" s="6" t="str">
        <f>"1.375.000,00"</f>
        <v>1.375.000,00</v>
      </c>
      <c r="M537" s="6" t="str">
        <f>"6.875.000,00"</f>
        <v>6.875.000,00</v>
      </c>
      <c r="N537" s="7"/>
      <c r="O537" s="7"/>
      <c r="P537" s="6" t="str">
        <f>""</f>
        <v/>
      </c>
      <c r="Q537" s="7"/>
      <c r="R537" s="1"/>
      <c r="S537" s="1" t="str">
        <f>"NOS-56-A/17"</f>
        <v>NOS-56-A/17</v>
      </c>
      <c r="T537" s="2" t="s">
        <v>400</v>
      </c>
    </row>
    <row r="538" spans="1:20" ht="63.75" x14ac:dyDescent="0.25">
      <c r="A538" s="1">
        <v>534</v>
      </c>
      <c r="B538" s="1" t="str">
        <f t="shared" si="55"/>
        <v>2017-2020</v>
      </c>
      <c r="C538" s="2" t="s">
        <v>632</v>
      </c>
      <c r="D538" s="1" t="s">
        <v>633</v>
      </c>
      <c r="E538" s="3" t="str">
        <f>"2017/S 0F2-0013215"</f>
        <v>2017/S 0F2-0013215</v>
      </c>
      <c r="F538" s="2" t="s">
        <v>23</v>
      </c>
      <c r="G538" s="2" t="str">
        <f t="shared" si="56"/>
        <v>URIHO - ZAGREB, AVENIJA MARINA DRŽIĆA 1, 10000 ZAGREB, OIB: 77931216562</v>
      </c>
      <c r="H538" s="4"/>
      <c r="I538" s="1" t="s">
        <v>612</v>
      </c>
      <c r="J538" s="1" t="s">
        <v>634</v>
      </c>
      <c r="K538" s="6" t="str">
        <f>"10.600.000,00"</f>
        <v>10.600.000,00</v>
      </c>
      <c r="L538" s="6" t="str">
        <f>"2.650.000,00"</f>
        <v>2.650.000,00</v>
      </c>
      <c r="M538" s="6" t="str">
        <f>"13.250.000,00"</f>
        <v>13.250.000,00</v>
      </c>
      <c r="N538" s="7"/>
      <c r="O538" s="7"/>
      <c r="P538" s="6" t="str">
        <f>""</f>
        <v/>
      </c>
      <c r="Q538" s="7"/>
      <c r="R538" s="1"/>
      <c r="S538" s="1" t="str">
        <f>"NOS-56-B/17"</f>
        <v>NOS-56-B/17</v>
      </c>
      <c r="T538" s="2" t="s">
        <v>400</v>
      </c>
    </row>
    <row r="539" spans="1:20" ht="63.75" x14ac:dyDescent="0.25">
      <c r="A539" s="1">
        <v>535</v>
      </c>
      <c r="B539" s="1" t="str">
        <f t="shared" si="55"/>
        <v>2017-2020</v>
      </c>
      <c r="C539" s="2" t="s">
        <v>632</v>
      </c>
      <c r="D539" s="1" t="s">
        <v>633</v>
      </c>
      <c r="E539" s="3" t="str">
        <f>"2017/S 0F2-0013215"</f>
        <v>2017/S 0F2-0013215</v>
      </c>
      <c r="F539" s="2" t="s">
        <v>23</v>
      </c>
      <c r="G539" s="2" t="str">
        <f t="shared" si="56"/>
        <v>URIHO - ZAGREB, AVENIJA MARINA DRŽIĆA 1, 10000 ZAGREB, OIB: 77931216562</v>
      </c>
      <c r="H539" s="4"/>
      <c r="I539" s="1" t="s">
        <v>612</v>
      </c>
      <c r="J539" s="1" t="s">
        <v>634</v>
      </c>
      <c r="K539" s="6" t="str">
        <f>"320.000,00"</f>
        <v>320.000,00</v>
      </c>
      <c r="L539" s="6" t="str">
        <f>"80.000,00"</f>
        <v>80.000,00</v>
      </c>
      <c r="M539" s="6" t="str">
        <f>"400.000,00"</f>
        <v>400.000,00</v>
      </c>
      <c r="N539" s="7"/>
      <c r="O539" s="7"/>
      <c r="P539" s="6" t="str">
        <f>""</f>
        <v/>
      </c>
      <c r="Q539" s="7"/>
      <c r="R539" s="1"/>
      <c r="S539" s="1" t="str">
        <f>"NOS-56-C/17"</f>
        <v>NOS-56-C/17</v>
      </c>
      <c r="T539" s="2" t="s">
        <v>400</v>
      </c>
    </row>
    <row r="540" spans="1:20" ht="63.75" x14ac:dyDescent="0.25">
      <c r="A540" s="1">
        <v>536</v>
      </c>
      <c r="B540" s="1" t="str">
        <f t="shared" si="55"/>
        <v>2017-2020</v>
      </c>
      <c r="C540" s="2" t="s">
        <v>632</v>
      </c>
      <c r="D540" s="1" t="s">
        <v>633</v>
      </c>
      <c r="E540" s="3" t="str">
        <f>"2017/S 0F2-0013215"</f>
        <v>2017/S 0F2-0013215</v>
      </c>
      <c r="F540" s="2" t="s">
        <v>23</v>
      </c>
      <c r="G540" s="2" t="str">
        <f t="shared" si="56"/>
        <v>URIHO - ZAGREB, AVENIJA MARINA DRŽIĆA 1, 10000 ZAGREB, OIB: 77931216562</v>
      </c>
      <c r="H540" s="4"/>
      <c r="I540" s="1" t="s">
        <v>612</v>
      </c>
      <c r="J540" s="1" t="s">
        <v>634</v>
      </c>
      <c r="K540" s="6" t="str">
        <f>"250.000,00"</f>
        <v>250.000,00</v>
      </c>
      <c r="L540" s="6" t="str">
        <f>"62.500,00"</f>
        <v>62.500,00</v>
      </c>
      <c r="M540" s="6" t="str">
        <f>"312.500,00"</f>
        <v>312.500,00</v>
      </c>
      <c r="N540" s="7"/>
      <c r="O540" s="7"/>
      <c r="P540" s="6" t="str">
        <f>""</f>
        <v/>
      </c>
      <c r="Q540" s="7"/>
      <c r="R540" s="1"/>
      <c r="S540" s="1" t="str">
        <f>"NOS-56-D/17"</f>
        <v>NOS-56-D/17</v>
      </c>
      <c r="T540" s="2" t="s">
        <v>400</v>
      </c>
    </row>
    <row r="541" spans="1:20" ht="25.5" x14ac:dyDescent="0.25">
      <c r="A541" s="1">
        <v>537</v>
      </c>
      <c r="B541" s="1" t="str">
        <f t="shared" si="55"/>
        <v>2017-2020</v>
      </c>
      <c r="C541" s="2" t="s">
        <v>632</v>
      </c>
      <c r="D541" s="1" t="s">
        <v>633</v>
      </c>
      <c r="E541" s="3" t="str">
        <f>""</f>
        <v/>
      </c>
      <c r="F541" s="2" t="s">
        <v>27</v>
      </c>
      <c r="G541" s="2" t="str">
        <f t="shared" si="56"/>
        <v>URIHO - ZAGREB, AVENIJA MARINA DRŽIĆA 1, 10000 ZAGREB, OIB: 77931216562</v>
      </c>
      <c r="H541" s="4"/>
      <c r="I541" s="1" t="s">
        <v>195</v>
      </c>
      <c r="J541" s="1" t="s">
        <v>121</v>
      </c>
      <c r="K541" s="6" t="str">
        <f>"59.030,00"</f>
        <v>59.030,00</v>
      </c>
      <c r="L541" s="6" t="str">
        <f>"14.757,50"</f>
        <v>14.757,50</v>
      </c>
      <c r="M541" s="6" t="str">
        <f>"73.787,50"</f>
        <v>73.787,50</v>
      </c>
      <c r="N541" s="5">
        <v>43600</v>
      </c>
      <c r="O541" s="7"/>
      <c r="P541" s="6" t="str">
        <f>"73.787,50"</f>
        <v>73.787,50</v>
      </c>
      <c r="Q541" s="7"/>
      <c r="R541" s="1"/>
      <c r="S541" s="1" t="str">
        <f>"1-19/NOS-56-D/17"</f>
        <v>1-19/NOS-56-D/17</v>
      </c>
      <c r="T541" s="2" t="s">
        <v>60</v>
      </c>
    </row>
    <row r="542" spans="1:20" ht="51" x14ac:dyDescent="0.25">
      <c r="A542" s="1">
        <v>538</v>
      </c>
      <c r="B542" s="1" t="str">
        <f t="shared" si="55"/>
        <v>2017-2020</v>
      </c>
      <c r="C542" s="2" t="s">
        <v>635</v>
      </c>
      <c r="D542" s="1" t="s">
        <v>633</v>
      </c>
      <c r="E542" s="3" t="str">
        <f>""</f>
        <v/>
      </c>
      <c r="F542" s="2" t="s">
        <v>52</v>
      </c>
      <c r="G542" s="2" t="str">
        <f t="shared" si="56"/>
        <v>URIHO - ZAGREB, AVENIJA MARINA DRŽIĆA 1, 10000 ZAGREB, OIB: 77931216562</v>
      </c>
      <c r="H542" s="4"/>
      <c r="I542" s="1" t="s">
        <v>203</v>
      </c>
      <c r="J542" s="1" t="s">
        <v>436</v>
      </c>
      <c r="K542" s="6" t="str">
        <f>"3.185,00"</f>
        <v>3.185,00</v>
      </c>
      <c r="L542" s="6" t="str">
        <f>"796,25"</f>
        <v>796,25</v>
      </c>
      <c r="M542" s="6" t="str">
        <f>"3.981,25"</f>
        <v>3.981,25</v>
      </c>
      <c r="N542" s="5">
        <v>43585</v>
      </c>
      <c r="O542" s="7"/>
      <c r="P542" s="6" t="str">
        <f>"3.981,25"</f>
        <v>3.981,25</v>
      </c>
      <c r="Q542" s="7"/>
      <c r="R542" s="1"/>
      <c r="S542" s="1" t="str">
        <f>"1-19/NOS-56-D/17-1"</f>
        <v>1-19/NOS-56-D/17-1</v>
      </c>
      <c r="T542" s="2" t="s">
        <v>60</v>
      </c>
    </row>
    <row r="543" spans="1:20" ht="63.75" x14ac:dyDescent="0.25">
      <c r="A543" s="1">
        <v>539</v>
      </c>
      <c r="B543" s="1" t="str">
        <f t="shared" si="55"/>
        <v>2017-2020</v>
      </c>
      <c r="C543" s="2" t="s">
        <v>632</v>
      </c>
      <c r="D543" s="1" t="s">
        <v>633</v>
      </c>
      <c r="E543" s="3" t="str">
        <f>"2017/S 0F2-0013215"</f>
        <v>2017/S 0F2-0013215</v>
      </c>
      <c r="F543" s="2" t="s">
        <v>23</v>
      </c>
      <c r="G543" s="2" t="str">
        <f t="shared" si="56"/>
        <v>URIHO - ZAGREB, AVENIJA MARINA DRŽIĆA 1, 10000 ZAGREB, OIB: 77931216562</v>
      </c>
      <c r="H543" s="4"/>
      <c r="I543" s="1" t="s">
        <v>612</v>
      </c>
      <c r="J543" s="1" t="s">
        <v>634</v>
      </c>
      <c r="K543" s="6" t="str">
        <f>"115.000,00"</f>
        <v>115.000,00</v>
      </c>
      <c r="L543" s="6" t="str">
        <f>"28.750,00"</f>
        <v>28.750,00</v>
      </c>
      <c r="M543" s="6" t="str">
        <f>"143.750,00"</f>
        <v>143.750,00</v>
      </c>
      <c r="N543" s="7"/>
      <c r="O543" s="7"/>
      <c r="P543" s="6" t="str">
        <f>""</f>
        <v/>
      </c>
      <c r="Q543" s="7"/>
      <c r="R543" s="1"/>
      <c r="S543" s="1" t="str">
        <f>"NOS-56-E/17"</f>
        <v>NOS-56-E/17</v>
      </c>
      <c r="T543" s="2" t="s">
        <v>400</v>
      </c>
    </row>
    <row r="544" spans="1:20" ht="38.25" x14ac:dyDescent="0.25">
      <c r="A544" s="1">
        <v>540</v>
      </c>
      <c r="B544" s="1" t="str">
        <f t="shared" ref="B544:B591" si="57">"2017-389"</f>
        <v>2017-389</v>
      </c>
      <c r="C544" s="2" t="s">
        <v>636</v>
      </c>
      <c r="D544" s="1" t="s">
        <v>382</v>
      </c>
      <c r="E544" s="3" t="str">
        <f>"2017/S 0F2-0014791"</f>
        <v>2017/S 0F2-0014791</v>
      </c>
      <c r="F544" s="2" t="s">
        <v>23</v>
      </c>
      <c r="G544" s="2" t="str">
        <f t="shared" ref="G544:G591" si="58">CONCATENATE("AUTO HRVATSKA PRODAJNO SERVISNI CENTRI D.O.O.,"," ZASTAVNICE 25/C,"," 10251 HRVATSKI LESKOVAC,"," OIB: 87682591133")</f>
        <v>AUTO HRVATSKA PRODAJNO SERVISNI CENTRI D.O.O., ZASTAVNICE 25/C, 10251 HRVATSKI LESKOVAC, OIB: 87682591133</v>
      </c>
      <c r="H544" s="4"/>
      <c r="I544" s="1" t="s">
        <v>616</v>
      </c>
      <c r="J544" s="1" t="s">
        <v>617</v>
      </c>
      <c r="K544" s="6" t="str">
        <f>"7.400.000,00"</f>
        <v>7.400.000,00</v>
      </c>
      <c r="L544" s="6" t="str">
        <f>"1.850.000,00"</f>
        <v>1.850.000,00</v>
      </c>
      <c r="M544" s="6" t="str">
        <f>"9.250.000,00"</f>
        <v>9.250.000,00</v>
      </c>
      <c r="N544" s="7"/>
      <c r="O544" s="7"/>
      <c r="P544" s="6" t="str">
        <f>""</f>
        <v/>
      </c>
      <c r="Q544" s="7"/>
      <c r="R544" s="1"/>
      <c r="S544" s="1" t="str">
        <f>"NOS-57-A/17"</f>
        <v>NOS-57-A/17</v>
      </c>
      <c r="T544" s="2" t="s">
        <v>33</v>
      </c>
    </row>
    <row r="545" spans="1:20" ht="38.25" x14ac:dyDescent="0.25">
      <c r="A545" s="1">
        <v>541</v>
      </c>
      <c r="B545" s="1" t="str">
        <f t="shared" si="57"/>
        <v>2017-389</v>
      </c>
      <c r="C545" s="2" t="s">
        <v>636</v>
      </c>
      <c r="D545" s="1" t="s">
        <v>382</v>
      </c>
      <c r="E545" s="3" t="str">
        <f>""</f>
        <v/>
      </c>
      <c r="F545" s="2" t="s">
        <v>27</v>
      </c>
      <c r="G545" s="2" t="str">
        <f t="shared" si="58"/>
        <v>AUTO HRVATSKA PRODAJNO SERVISNI CENTRI D.O.O., ZASTAVNICE 25/C, 10251 HRVATSKI LESKOVAC, OIB: 87682591133</v>
      </c>
      <c r="H545" s="4"/>
      <c r="I545" s="1" t="s">
        <v>461</v>
      </c>
      <c r="J545" s="1" t="s">
        <v>303</v>
      </c>
      <c r="K545" s="6" t="str">
        <f>"34.665,72"</f>
        <v>34.665,72</v>
      </c>
      <c r="L545" s="6" t="str">
        <f>"8.666,43"</f>
        <v>8.666,43</v>
      </c>
      <c r="M545" s="6" t="str">
        <f>"43.332,15"</f>
        <v>43.332,15</v>
      </c>
      <c r="N545" s="5">
        <v>43516</v>
      </c>
      <c r="O545" s="7"/>
      <c r="P545" s="6" t="str">
        <f>"43.332,15"</f>
        <v>43.332,15</v>
      </c>
      <c r="Q545" s="7"/>
      <c r="R545" s="1"/>
      <c r="S545" s="1" t="str">
        <f>"1-19/NOS-57-A/17"</f>
        <v>1-19/NOS-57-A/17</v>
      </c>
      <c r="T545" s="2" t="s">
        <v>33</v>
      </c>
    </row>
    <row r="546" spans="1:20" ht="38.25" x14ac:dyDescent="0.25">
      <c r="A546" s="1">
        <v>542</v>
      </c>
      <c r="B546" s="1" t="str">
        <f t="shared" si="57"/>
        <v>2017-389</v>
      </c>
      <c r="C546" s="2" t="s">
        <v>636</v>
      </c>
      <c r="D546" s="1" t="s">
        <v>382</v>
      </c>
      <c r="E546" s="3" t="str">
        <f>""</f>
        <v/>
      </c>
      <c r="F546" s="2" t="s">
        <v>27</v>
      </c>
      <c r="G546" s="2" t="str">
        <f t="shared" si="58"/>
        <v>AUTO HRVATSKA PRODAJNO SERVISNI CENTRI D.O.O., ZASTAVNICE 25/C, 10251 HRVATSKI LESKOVAC, OIB: 87682591133</v>
      </c>
      <c r="H546" s="4"/>
      <c r="I546" s="1" t="s">
        <v>195</v>
      </c>
      <c r="J546" s="1" t="s">
        <v>303</v>
      </c>
      <c r="K546" s="6" t="str">
        <f>"6.750,00"</f>
        <v>6.750,00</v>
      </c>
      <c r="L546" s="6" t="str">
        <f>"1.687,50"</f>
        <v>1.687,50</v>
      </c>
      <c r="M546" s="6" t="str">
        <f>"8.437,50"</f>
        <v>8.437,50</v>
      </c>
      <c r="N546" s="5">
        <v>43524</v>
      </c>
      <c r="O546" s="7"/>
      <c r="P546" s="6" t="str">
        <f>"8.437,50"</f>
        <v>8.437,50</v>
      </c>
      <c r="Q546" s="7"/>
      <c r="R546" s="1"/>
      <c r="S546" s="1" t="str">
        <f>"2-19/NOS-57-A/17"</f>
        <v>2-19/NOS-57-A/17</v>
      </c>
      <c r="T546" s="2" t="s">
        <v>33</v>
      </c>
    </row>
    <row r="547" spans="1:20" ht="38.25" x14ac:dyDescent="0.25">
      <c r="A547" s="1">
        <v>543</v>
      </c>
      <c r="B547" s="1" t="str">
        <f t="shared" si="57"/>
        <v>2017-389</v>
      </c>
      <c r="C547" s="2" t="s">
        <v>636</v>
      </c>
      <c r="D547" s="1" t="s">
        <v>382</v>
      </c>
      <c r="E547" s="3" t="str">
        <f>""</f>
        <v/>
      </c>
      <c r="F547" s="2" t="s">
        <v>27</v>
      </c>
      <c r="G547" s="2" t="str">
        <f t="shared" si="58"/>
        <v>AUTO HRVATSKA PRODAJNO SERVISNI CENTRI D.O.O., ZASTAVNICE 25/C, 10251 HRVATSKI LESKOVAC, OIB: 87682591133</v>
      </c>
      <c r="H547" s="4"/>
      <c r="I547" s="1" t="s">
        <v>280</v>
      </c>
      <c r="J547" s="1" t="s">
        <v>303</v>
      </c>
      <c r="K547" s="6" t="str">
        <f>"1.729,28"</f>
        <v>1.729,28</v>
      </c>
      <c r="L547" s="6" t="str">
        <f>"432,32"</f>
        <v>432,32</v>
      </c>
      <c r="M547" s="6" t="str">
        <f>"2.161,60"</f>
        <v>2.161,60</v>
      </c>
      <c r="N547" s="5">
        <v>43537</v>
      </c>
      <c r="O547" s="7"/>
      <c r="P547" s="6" t="str">
        <f>"2.161,60"</f>
        <v>2.161,60</v>
      </c>
      <c r="Q547" s="7"/>
      <c r="R547" s="1"/>
      <c r="S547" s="1" t="str">
        <f>"3-19/NOS-57-A/17"</f>
        <v>3-19/NOS-57-A/17</v>
      </c>
      <c r="T547" s="2" t="s">
        <v>33</v>
      </c>
    </row>
    <row r="548" spans="1:20" ht="38.25" x14ac:dyDescent="0.25">
      <c r="A548" s="1">
        <v>544</v>
      </c>
      <c r="B548" s="1" t="str">
        <f t="shared" si="57"/>
        <v>2017-389</v>
      </c>
      <c r="C548" s="2" t="s">
        <v>636</v>
      </c>
      <c r="D548" s="1" t="s">
        <v>382</v>
      </c>
      <c r="E548" s="3" t="str">
        <f>""</f>
        <v/>
      </c>
      <c r="F548" s="2" t="s">
        <v>27</v>
      </c>
      <c r="G548" s="2" t="str">
        <f t="shared" si="58"/>
        <v>AUTO HRVATSKA PRODAJNO SERVISNI CENTRI D.O.O., ZASTAVNICE 25/C, 10251 HRVATSKI LESKOVAC, OIB: 87682591133</v>
      </c>
      <c r="H548" s="4"/>
      <c r="I548" s="1" t="s">
        <v>339</v>
      </c>
      <c r="J548" s="1" t="s">
        <v>303</v>
      </c>
      <c r="K548" s="6" t="str">
        <f>"1.560,00"</f>
        <v>1.560,00</v>
      </c>
      <c r="L548" s="6" t="str">
        <f>"390,00"</f>
        <v>390,00</v>
      </c>
      <c r="M548" s="6" t="str">
        <f>"1.950,00"</f>
        <v>1.950,00</v>
      </c>
      <c r="N548" s="5">
        <v>43550</v>
      </c>
      <c r="O548" s="7"/>
      <c r="P548" s="6" t="str">
        <f>"1.950,00"</f>
        <v>1.950,00</v>
      </c>
      <c r="Q548" s="7"/>
      <c r="R548" s="1"/>
      <c r="S548" s="1" t="str">
        <f>"4-19/NOS-57-A/17"</f>
        <v>4-19/NOS-57-A/17</v>
      </c>
      <c r="T548" s="2" t="s">
        <v>33</v>
      </c>
    </row>
    <row r="549" spans="1:20" ht="38.25" x14ac:dyDescent="0.25">
      <c r="A549" s="1">
        <v>545</v>
      </c>
      <c r="B549" s="1" t="str">
        <f t="shared" si="57"/>
        <v>2017-389</v>
      </c>
      <c r="C549" s="2" t="s">
        <v>636</v>
      </c>
      <c r="D549" s="1" t="s">
        <v>382</v>
      </c>
      <c r="E549" s="3" t="str">
        <f>""</f>
        <v/>
      </c>
      <c r="F549" s="2" t="s">
        <v>27</v>
      </c>
      <c r="G549" s="2" t="str">
        <f t="shared" si="58"/>
        <v>AUTO HRVATSKA PRODAJNO SERVISNI CENTRI D.O.O., ZASTAVNICE 25/C, 10251 HRVATSKI LESKOVAC, OIB: 87682591133</v>
      </c>
      <c r="H549" s="4"/>
      <c r="I549" s="1" t="s">
        <v>394</v>
      </c>
      <c r="J549" s="1" t="s">
        <v>303</v>
      </c>
      <c r="K549" s="6" t="str">
        <f>"30.696,67"</f>
        <v>30.696,67</v>
      </c>
      <c r="L549" s="6" t="str">
        <f>"7.674,17"</f>
        <v>7.674,17</v>
      </c>
      <c r="M549" s="6" t="str">
        <f>"38.370,84"</f>
        <v>38.370,84</v>
      </c>
      <c r="N549" s="5">
        <v>43564</v>
      </c>
      <c r="O549" s="7"/>
      <c r="P549" s="6" t="str">
        <f>"38.370,84"</f>
        <v>38.370,84</v>
      </c>
      <c r="Q549" s="7"/>
      <c r="R549" s="1"/>
      <c r="S549" s="1" t="str">
        <f>"5-19/NOS-57-A/17"</f>
        <v>5-19/NOS-57-A/17</v>
      </c>
      <c r="T549" s="2" t="s">
        <v>33</v>
      </c>
    </row>
    <row r="550" spans="1:20" ht="38.25" x14ac:dyDescent="0.25">
      <c r="A550" s="1">
        <v>546</v>
      </c>
      <c r="B550" s="1" t="str">
        <f t="shared" si="57"/>
        <v>2017-389</v>
      </c>
      <c r="C550" s="2" t="s">
        <v>636</v>
      </c>
      <c r="D550" s="1" t="s">
        <v>382</v>
      </c>
      <c r="E550" s="3" t="str">
        <f>""</f>
        <v/>
      </c>
      <c r="F550" s="2" t="s">
        <v>27</v>
      </c>
      <c r="G550" s="2" t="str">
        <f t="shared" si="58"/>
        <v>AUTO HRVATSKA PRODAJNO SERVISNI CENTRI D.O.O., ZASTAVNICE 25/C, 10251 HRVATSKI LESKOVAC, OIB: 87682591133</v>
      </c>
      <c r="H550" s="4"/>
      <c r="I550" s="1" t="s">
        <v>311</v>
      </c>
      <c r="J550" s="1" t="s">
        <v>303</v>
      </c>
      <c r="K550" s="6" t="str">
        <f>"241,20"</f>
        <v>241,20</v>
      </c>
      <c r="L550" s="6" t="str">
        <f>"60,30"</f>
        <v>60,30</v>
      </c>
      <c r="M550" s="6" t="str">
        <f>"301,50"</f>
        <v>301,50</v>
      </c>
      <c r="N550" s="5">
        <v>43587</v>
      </c>
      <c r="O550" s="7"/>
      <c r="P550" s="6" t="str">
        <f>"301,50"</f>
        <v>301,50</v>
      </c>
      <c r="Q550" s="7"/>
      <c r="R550" s="1"/>
      <c r="S550" s="1" t="str">
        <f>"6-19/NOS-57-A/17"</f>
        <v>6-19/NOS-57-A/17</v>
      </c>
      <c r="T550" s="2" t="s">
        <v>33</v>
      </c>
    </row>
    <row r="551" spans="1:20" ht="38.25" x14ac:dyDescent="0.25">
      <c r="A551" s="1">
        <v>547</v>
      </c>
      <c r="B551" s="1" t="str">
        <f t="shared" si="57"/>
        <v>2017-389</v>
      </c>
      <c r="C551" s="2" t="s">
        <v>636</v>
      </c>
      <c r="D551" s="1" t="s">
        <v>382</v>
      </c>
      <c r="E551" s="3" t="str">
        <f>""</f>
        <v/>
      </c>
      <c r="F551" s="2" t="s">
        <v>27</v>
      </c>
      <c r="G551" s="2" t="str">
        <f t="shared" si="58"/>
        <v>AUTO HRVATSKA PRODAJNO SERVISNI CENTRI D.O.O., ZASTAVNICE 25/C, 10251 HRVATSKI LESKOVAC, OIB: 87682591133</v>
      </c>
      <c r="H551" s="4"/>
      <c r="I551" s="1" t="s">
        <v>637</v>
      </c>
      <c r="J551" s="1" t="s">
        <v>303</v>
      </c>
      <c r="K551" s="6" t="str">
        <f>"3.450,00"</f>
        <v>3.450,00</v>
      </c>
      <c r="L551" s="6" t="str">
        <f>"862,50"</f>
        <v>862,50</v>
      </c>
      <c r="M551" s="6" t="str">
        <f>"4.312,50"</f>
        <v>4.312,50</v>
      </c>
      <c r="N551" s="5">
        <v>43595</v>
      </c>
      <c r="O551" s="7"/>
      <c r="P551" s="6" t="str">
        <f>"4.312,50"</f>
        <v>4.312,50</v>
      </c>
      <c r="Q551" s="7"/>
      <c r="R551" s="1"/>
      <c r="S551" s="1" t="str">
        <f>"7-19/NOS-57-A/17"</f>
        <v>7-19/NOS-57-A/17</v>
      </c>
      <c r="T551" s="2" t="s">
        <v>33</v>
      </c>
    </row>
    <row r="552" spans="1:20" ht="38.25" x14ac:dyDescent="0.25">
      <c r="A552" s="1">
        <v>548</v>
      </c>
      <c r="B552" s="1" t="str">
        <f t="shared" si="57"/>
        <v>2017-389</v>
      </c>
      <c r="C552" s="2" t="s">
        <v>636</v>
      </c>
      <c r="D552" s="1" t="s">
        <v>382</v>
      </c>
      <c r="E552" s="3" t="str">
        <f>""</f>
        <v/>
      </c>
      <c r="F552" s="2" t="s">
        <v>27</v>
      </c>
      <c r="G552" s="2" t="str">
        <f t="shared" si="58"/>
        <v>AUTO HRVATSKA PRODAJNO SERVISNI CENTRI D.O.O., ZASTAVNICE 25/C, 10251 HRVATSKI LESKOVAC, OIB: 87682591133</v>
      </c>
      <c r="H552" s="4"/>
      <c r="I552" s="1" t="s">
        <v>455</v>
      </c>
      <c r="J552" s="1" t="s">
        <v>303</v>
      </c>
      <c r="K552" s="6" t="str">
        <f>"1.608,00"</f>
        <v>1.608,00</v>
      </c>
      <c r="L552" s="6" t="str">
        <f>"402,00"</f>
        <v>402,00</v>
      </c>
      <c r="M552" s="6" t="str">
        <f>"2.010,00"</f>
        <v>2.010,00</v>
      </c>
      <c r="N552" s="5">
        <v>43600</v>
      </c>
      <c r="O552" s="7"/>
      <c r="P552" s="6" t="str">
        <f>"2.010,00"</f>
        <v>2.010,00</v>
      </c>
      <c r="Q552" s="7"/>
      <c r="R552" s="1"/>
      <c r="S552" s="1" t="str">
        <f>"8-19/NOS-57-A/17"</f>
        <v>8-19/NOS-57-A/17</v>
      </c>
      <c r="T552" s="2" t="s">
        <v>33</v>
      </c>
    </row>
    <row r="553" spans="1:20" ht="38.25" x14ac:dyDescent="0.25">
      <c r="A553" s="1">
        <v>549</v>
      </c>
      <c r="B553" s="1" t="str">
        <f t="shared" si="57"/>
        <v>2017-389</v>
      </c>
      <c r="C553" s="2" t="s">
        <v>636</v>
      </c>
      <c r="D553" s="1" t="s">
        <v>382</v>
      </c>
      <c r="E553" s="3" t="str">
        <f>""</f>
        <v/>
      </c>
      <c r="F553" s="2" t="s">
        <v>27</v>
      </c>
      <c r="G553" s="2" t="str">
        <f t="shared" si="58"/>
        <v>AUTO HRVATSKA PRODAJNO SERVISNI CENTRI D.O.O., ZASTAVNICE 25/C, 10251 HRVATSKI LESKOVAC, OIB: 87682591133</v>
      </c>
      <c r="H553" s="4"/>
      <c r="I553" s="1" t="s">
        <v>361</v>
      </c>
      <c r="J553" s="1" t="s">
        <v>303</v>
      </c>
      <c r="K553" s="6" t="str">
        <f>"3.942,00"</f>
        <v>3.942,00</v>
      </c>
      <c r="L553" s="6" t="str">
        <f>"985,50"</f>
        <v>985,50</v>
      </c>
      <c r="M553" s="6" t="str">
        <f>"4.927,50"</f>
        <v>4.927,50</v>
      </c>
      <c r="N553" s="5">
        <v>43614</v>
      </c>
      <c r="O553" s="7"/>
      <c r="P553" s="6" t="str">
        <f>"4.927,50"</f>
        <v>4.927,50</v>
      </c>
      <c r="Q553" s="7"/>
      <c r="R553" s="1"/>
      <c r="S553" s="1" t="str">
        <f>"9-19/NOS-57-A/17"</f>
        <v>9-19/NOS-57-A/17</v>
      </c>
      <c r="T553" s="2" t="s">
        <v>33</v>
      </c>
    </row>
    <row r="554" spans="1:20" ht="38.25" x14ac:dyDescent="0.25">
      <c r="A554" s="1">
        <v>550</v>
      </c>
      <c r="B554" s="1" t="str">
        <f t="shared" si="57"/>
        <v>2017-389</v>
      </c>
      <c r="C554" s="2" t="s">
        <v>636</v>
      </c>
      <c r="D554" s="1" t="s">
        <v>382</v>
      </c>
      <c r="E554" s="3" t="str">
        <f>""</f>
        <v/>
      </c>
      <c r="F554" s="2" t="s">
        <v>27</v>
      </c>
      <c r="G554" s="2" t="str">
        <f t="shared" si="58"/>
        <v>AUTO HRVATSKA PRODAJNO SERVISNI CENTRI D.O.O., ZASTAVNICE 25/C, 10251 HRVATSKI LESKOVAC, OIB: 87682591133</v>
      </c>
      <c r="H554" s="4"/>
      <c r="I554" s="1" t="s">
        <v>32</v>
      </c>
      <c r="J554" s="1" t="s">
        <v>303</v>
      </c>
      <c r="K554" s="6" t="str">
        <f>"1.574,00"</f>
        <v>1.574,00</v>
      </c>
      <c r="L554" s="6" t="str">
        <f>"393,50"</f>
        <v>393,50</v>
      </c>
      <c r="M554" s="6" t="str">
        <f>"1.967,50"</f>
        <v>1.967,50</v>
      </c>
      <c r="N554" s="5">
        <v>43614</v>
      </c>
      <c r="O554" s="7"/>
      <c r="P554" s="6" t="str">
        <f>"1.967,50"</f>
        <v>1.967,50</v>
      </c>
      <c r="Q554" s="7"/>
      <c r="R554" s="1"/>
      <c r="S554" s="1" t="str">
        <f>"10-19/NOS-57-A/17"</f>
        <v>10-19/NOS-57-A/17</v>
      </c>
      <c r="T554" s="2" t="s">
        <v>33</v>
      </c>
    </row>
    <row r="555" spans="1:20" ht="38.25" x14ac:dyDescent="0.25">
      <c r="A555" s="1">
        <v>551</v>
      </c>
      <c r="B555" s="1" t="str">
        <f t="shared" si="57"/>
        <v>2017-389</v>
      </c>
      <c r="C555" s="2" t="s">
        <v>636</v>
      </c>
      <c r="D555" s="1" t="s">
        <v>382</v>
      </c>
      <c r="E555" s="3" t="str">
        <f>""</f>
        <v/>
      </c>
      <c r="F555" s="2" t="s">
        <v>27</v>
      </c>
      <c r="G555" s="2" t="str">
        <f t="shared" si="58"/>
        <v>AUTO HRVATSKA PRODAJNO SERVISNI CENTRI D.O.O., ZASTAVNICE 25/C, 10251 HRVATSKI LESKOVAC, OIB: 87682591133</v>
      </c>
      <c r="H555" s="4"/>
      <c r="I555" s="1" t="s">
        <v>402</v>
      </c>
      <c r="J555" s="1" t="s">
        <v>303</v>
      </c>
      <c r="K555" s="6" t="str">
        <f>"8.283,00"</f>
        <v>8.283,00</v>
      </c>
      <c r="L555" s="6" t="str">
        <f>"2.070,75"</f>
        <v>2.070,75</v>
      </c>
      <c r="M555" s="6" t="str">
        <f>"10.353,75"</f>
        <v>10.353,75</v>
      </c>
      <c r="N555" s="5">
        <v>43627</v>
      </c>
      <c r="O555" s="7"/>
      <c r="P555" s="6" t="str">
        <f>"10.353,75"</f>
        <v>10.353,75</v>
      </c>
      <c r="Q555" s="7"/>
      <c r="R555" s="1"/>
      <c r="S555" s="1" t="str">
        <f>"11-19/NOS-57-A/17"</f>
        <v>11-19/NOS-57-A/17</v>
      </c>
      <c r="T555" s="2" t="s">
        <v>33</v>
      </c>
    </row>
    <row r="556" spans="1:20" ht="38.25" x14ac:dyDescent="0.25">
      <c r="A556" s="1">
        <v>552</v>
      </c>
      <c r="B556" s="1" t="str">
        <f t="shared" si="57"/>
        <v>2017-389</v>
      </c>
      <c r="C556" s="2" t="s">
        <v>636</v>
      </c>
      <c r="D556" s="1" t="s">
        <v>382</v>
      </c>
      <c r="E556" s="3" t="str">
        <f>""</f>
        <v/>
      </c>
      <c r="F556" s="2" t="s">
        <v>27</v>
      </c>
      <c r="G556" s="2" t="str">
        <f t="shared" si="58"/>
        <v>AUTO HRVATSKA PRODAJNO SERVISNI CENTRI D.O.O., ZASTAVNICE 25/C, 10251 HRVATSKI LESKOVAC, OIB: 87682591133</v>
      </c>
      <c r="H556" s="4"/>
      <c r="I556" s="1" t="s">
        <v>440</v>
      </c>
      <c r="J556" s="1" t="s">
        <v>303</v>
      </c>
      <c r="K556" s="6" t="str">
        <f>"2.707,00"</f>
        <v>2.707,00</v>
      </c>
      <c r="L556" s="6" t="str">
        <f>"676,75"</f>
        <v>676,75</v>
      </c>
      <c r="M556" s="6" t="str">
        <f>"3.383,75"</f>
        <v>3.383,75</v>
      </c>
      <c r="N556" s="5">
        <v>43642</v>
      </c>
      <c r="O556" s="7"/>
      <c r="P556" s="6" t="str">
        <f>"3.383,75"</f>
        <v>3.383,75</v>
      </c>
      <c r="Q556" s="7"/>
      <c r="R556" s="1"/>
      <c r="S556" s="1" t="str">
        <f>"12-19/NOS-57-A/17"</f>
        <v>12-19/NOS-57-A/17</v>
      </c>
      <c r="T556" s="2" t="s">
        <v>33</v>
      </c>
    </row>
    <row r="557" spans="1:20" ht="38.25" x14ac:dyDescent="0.25">
      <c r="A557" s="1">
        <v>553</v>
      </c>
      <c r="B557" s="1" t="str">
        <f t="shared" si="57"/>
        <v>2017-389</v>
      </c>
      <c r="C557" s="2" t="s">
        <v>636</v>
      </c>
      <c r="D557" s="1" t="s">
        <v>382</v>
      </c>
      <c r="E557" s="3" t="str">
        <f>""</f>
        <v/>
      </c>
      <c r="F557" s="2" t="s">
        <v>27</v>
      </c>
      <c r="G557" s="2" t="str">
        <f t="shared" si="58"/>
        <v>AUTO HRVATSKA PRODAJNO SERVISNI CENTRI D.O.O., ZASTAVNICE 25/C, 10251 HRVATSKI LESKOVAC, OIB: 87682591133</v>
      </c>
      <c r="H557" s="4"/>
      <c r="I557" s="1" t="s">
        <v>638</v>
      </c>
      <c r="J557" s="1" t="s">
        <v>303</v>
      </c>
      <c r="K557" s="6" t="str">
        <f>"1.896,00"</f>
        <v>1.896,00</v>
      </c>
      <c r="L557" s="6" t="str">
        <f>"0,00"</f>
        <v>0,00</v>
      </c>
      <c r="M557" s="6" t="str">
        <f>"0,00"</f>
        <v>0,00</v>
      </c>
      <c r="N557" s="1" t="s">
        <v>117</v>
      </c>
      <c r="O557" s="7"/>
      <c r="P557" s="6" t="str">
        <f>"0,00"</f>
        <v>0,00</v>
      </c>
      <c r="Q557" s="7"/>
      <c r="R557" s="1"/>
      <c r="S557" s="1" t="str">
        <f>"13-19/NOS-57-A/17"</f>
        <v>13-19/NOS-57-A/17</v>
      </c>
      <c r="T557" s="2" t="s">
        <v>33</v>
      </c>
    </row>
    <row r="558" spans="1:20" ht="38.25" x14ac:dyDescent="0.25">
      <c r="A558" s="1">
        <v>554</v>
      </c>
      <c r="B558" s="1" t="str">
        <f t="shared" si="57"/>
        <v>2017-389</v>
      </c>
      <c r="C558" s="2" t="s">
        <v>636</v>
      </c>
      <c r="D558" s="1" t="s">
        <v>382</v>
      </c>
      <c r="E558" s="3" t="str">
        <f>"2017/S 0F2-0014791"</f>
        <v>2017/S 0F2-0014791</v>
      </c>
      <c r="F558" s="2" t="s">
        <v>23</v>
      </c>
      <c r="G558" s="2" t="str">
        <f t="shared" si="58"/>
        <v>AUTO HRVATSKA PRODAJNO SERVISNI CENTRI D.O.O., ZASTAVNICE 25/C, 10251 HRVATSKI LESKOVAC, OIB: 87682591133</v>
      </c>
      <c r="H558" s="4"/>
      <c r="I558" s="1" t="s">
        <v>616</v>
      </c>
      <c r="J558" s="1" t="s">
        <v>617</v>
      </c>
      <c r="K558" s="6" t="str">
        <f>"8.200.000,00"</f>
        <v>8.200.000,00</v>
      </c>
      <c r="L558" s="6" t="str">
        <f>"2.050.000,00"</f>
        <v>2.050.000,00</v>
      </c>
      <c r="M558" s="6" t="str">
        <f>"10.250.000,00"</f>
        <v>10.250.000,00</v>
      </c>
      <c r="N558" s="7"/>
      <c r="O558" s="7"/>
      <c r="P558" s="6" t="str">
        <f>""</f>
        <v/>
      </c>
      <c r="Q558" s="7"/>
      <c r="R558" s="1"/>
      <c r="S558" s="1" t="str">
        <f>"NOS-57-B/17"</f>
        <v>NOS-57-B/17</v>
      </c>
      <c r="T558" s="2" t="s">
        <v>33</v>
      </c>
    </row>
    <row r="559" spans="1:20" ht="38.25" x14ac:dyDescent="0.25">
      <c r="A559" s="1">
        <v>555</v>
      </c>
      <c r="B559" s="1" t="str">
        <f t="shared" si="57"/>
        <v>2017-389</v>
      </c>
      <c r="C559" s="2" t="s">
        <v>636</v>
      </c>
      <c r="D559" s="1" t="s">
        <v>382</v>
      </c>
      <c r="E559" s="3" t="str">
        <f>""</f>
        <v/>
      </c>
      <c r="F559" s="2" t="s">
        <v>27</v>
      </c>
      <c r="G559" s="2" t="str">
        <f t="shared" si="58"/>
        <v>AUTO HRVATSKA PRODAJNO SERVISNI CENTRI D.O.O., ZASTAVNICE 25/C, 10251 HRVATSKI LESKOVAC, OIB: 87682591133</v>
      </c>
      <c r="H559" s="4"/>
      <c r="I559" s="1" t="s">
        <v>461</v>
      </c>
      <c r="J559" s="1" t="s">
        <v>303</v>
      </c>
      <c r="K559" s="6" t="str">
        <f>"11.163,17"</f>
        <v>11.163,17</v>
      </c>
      <c r="L559" s="6" t="str">
        <f>"2.790,79"</f>
        <v>2.790,79</v>
      </c>
      <c r="M559" s="6" t="str">
        <f>"13.953,96"</f>
        <v>13.953,96</v>
      </c>
      <c r="N559" s="5">
        <v>43516</v>
      </c>
      <c r="O559" s="7"/>
      <c r="P559" s="6" t="str">
        <f>"13.953,96"</f>
        <v>13.953,96</v>
      </c>
      <c r="Q559" s="7"/>
      <c r="R559" s="1"/>
      <c r="S559" s="1" t="str">
        <f>"1-19/NOS-57-B/17"</f>
        <v>1-19/NOS-57-B/17</v>
      </c>
      <c r="T559" s="2" t="s">
        <v>33</v>
      </c>
    </row>
    <row r="560" spans="1:20" ht="38.25" x14ac:dyDescent="0.25">
      <c r="A560" s="1">
        <v>556</v>
      </c>
      <c r="B560" s="1" t="str">
        <f t="shared" si="57"/>
        <v>2017-389</v>
      </c>
      <c r="C560" s="2" t="s">
        <v>636</v>
      </c>
      <c r="D560" s="1" t="s">
        <v>382</v>
      </c>
      <c r="E560" s="3" t="str">
        <f>""</f>
        <v/>
      </c>
      <c r="F560" s="2" t="s">
        <v>27</v>
      </c>
      <c r="G560" s="2" t="str">
        <f t="shared" si="58"/>
        <v>AUTO HRVATSKA PRODAJNO SERVISNI CENTRI D.O.O., ZASTAVNICE 25/C, 10251 HRVATSKI LESKOVAC, OIB: 87682591133</v>
      </c>
      <c r="H560" s="4"/>
      <c r="I560" s="1" t="s">
        <v>257</v>
      </c>
      <c r="J560" s="1" t="s">
        <v>303</v>
      </c>
      <c r="K560" s="6" t="str">
        <f>"6.559,00"</f>
        <v>6.559,00</v>
      </c>
      <c r="L560" s="6" t="str">
        <f>"1.639,75"</f>
        <v>1.639,75</v>
      </c>
      <c r="M560" s="6" t="str">
        <f>"8.198,75"</f>
        <v>8.198,75</v>
      </c>
      <c r="N560" s="5">
        <v>43529</v>
      </c>
      <c r="O560" s="7"/>
      <c r="P560" s="6" t="str">
        <f>"8.198,75"</f>
        <v>8.198,75</v>
      </c>
      <c r="Q560" s="7"/>
      <c r="R560" s="1"/>
      <c r="S560" s="1" t="str">
        <f>"2-19/NOS-57-B/17"</f>
        <v>2-19/NOS-57-B/17</v>
      </c>
      <c r="T560" s="2" t="s">
        <v>33</v>
      </c>
    </row>
    <row r="561" spans="1:20" ht="38.25" x14ac:dyDescent="0.25">
      <c r="A561" s="1">
        <v>557</v>
      </c>
      <c r="B561" s="1" t="str">
        <f t="shared" si="57"/>
        <v>2017-389</v>
      </c>
      <c r="C561" s="2" t="s">
        <v>636</v>
      </c>
      <c r="D561" s="1" t="s">
        <v>382</v>
      </c>
      <c r="E561" s="3" t="str">
        <f>""</f>
        <v/>
      </c>
      <c r="F561" s="2" t="s">
        <v>27</v>
      </c>
      <c r="G561" s="2" t="str">
        <f t="shared" si="58"/>
        <v>AUTO HRVATSKA PRODAJNO SERVISNI CENTRI D.O.O., ZASTAVNICE 25/C, 10251 HRVATSKI LESKOVAC, OIB: 87682591133</v>
      </c>
      <c r="H561" s="4"/>
      <c r="I561" s="1" t="s">
        <v>280</v>
      </c>
      <c r="J561" s="1" t="s">
        <v>303</v>
      </c>
      <c r="K561" s="6" t="str">
        <f>"4.137,00"</f>
        <v>4.137,00</v>
      </c>
      <c r="L561" s="6" t="str">
        <f>"1.034,25"</f>
        <v>1.034,25</v>
      </c>
      <c r="M561" s="6" t="str">
        <f>"5.171,25"</f>
        <v>5.171,25</v>
      </c>
      <c r="N561" s="5">
        <v>43536</v>
      </c>
      <c r="O561" s="7"/>
      <c r="P561" s="6" t="str">
        <f>"5.171,25"</f>
        <v>5.171,25</v>
      </c>
      <c r="Q561" s="7"/>
      <c r="R561" s="1"/>
      <c r="S561" s="1" t="str">
        <f>"3-19/NOS-57-B/17"</f>
        <v>3-19/NOS-57-B/17</v>
      </c>
      <c r="T561" s="2" t="s">
        <v>33</v>
      </c>
    </row>
    <row r="562" spans="1:20" ht="38.25" x14ac:dyDescent="0.25">
      <c r="A562" s="1">
        <v>558</v>
      </c>
      <c r="B562" s="1" t="str">
        <f t="shared" si="57"/>
        <v>2017-389</v>
      </c>
      <c r="C562" s="2" t="s">
        <v>636</v>
      </c>
      <c r="D562" s="1" t="s">
        <v>382</v>
      </c>
      <c r="E562" s="3" t="str">
        <f>""</f>
        <v/>
      </c>
      <c r="F562" s="2" t="s">
        <v>27</v>
      </c>
      <c r="G562" s="2" t="str">
        <f t="shared" si="58"/>
        <v>AUTO HRVATSKA PRODAJNO SERVISNI CENTRI D.O.O., ZASTAVNICE 25/C, 10251 HRVATSKI LESKOVAC, OIB: 87682591133</v>
      </c>
      <c r="H562" s="4"/>
      <c r="I562" s="1" t="s">
        <v>286</v>
      </c>
      <c r="J562" s="1" t="s">
        <v>303</v>
      </c>
      <c r="K562" s="6" t="str">
        <f>"284,00"</f>
        <v>284,00</v>
      </c>
      <c r="L562" s="6" t="str">
        <f>"71,00"</f>
        <v>71,00</v>
      </c>
      <c r="M562" s="6" t="str">
        <f>"355,00"</f>
        <v>355,00</v>
      </c>
      <c r="N562" s="5">
        <v>43537</v>
      </c>
      <c r="O562" s="7"/>
      <c r="P562" s="6" t="str">
        <f>"355,00"</f>
        <v>355,00</v>
      </c>
      <c r="Q562" s="7"/>
      <c r="R562" s="1"/>
      <c r="S562" s="1" t="str">
        <f>"4-19/NOS-57-B/17"</f>
        <v>4-19/NOS-57-B/17</v>
      </c>
      <c r="T562" s="2" t="s">
        <v>33</v>
      </c>
    </row>
    <row r="563" spans="1:20" ht="38.25" x14ac:dyDescent="0.25">
      <c r="A563" s="1">
        <v>559</v>
      </c>
      <c r="B563" s="1" t="str">
        <f t="shared" si="57"/>
        <v>2017-389</v>
      </c>
      <c r="C563" s="2" t="s">
        <v>636</v>
      </c>
      <c r="D563" s="1" t="s">
        <v>382</v>
      </c>
      <c r="E563" s="3" t="str">
        <f>""</f>
        <v/>
      </c>
      <c r="F563" s="2" t="s">
        <v>27</v>
      </c>
      <c r="G563" s="2" t="str">
        <f t="shared" si="58"/>
        <v>AUTO HRVATSKA PRODAJNO SERVISNI CENTRI D.O.O., ZASTAVNICE 25/C, 10251 HRVATSKI LESKOVAC, OIB: 87682591133</v>
      </c>
      <c r="H563" s="4"/>
      <c r="I563" s="1" t="s">
        <v>423</v>
      </c>
      <c r="J563" s="1" t="s">
        <v>303</v>
      </c>
      <c r="K563" s="6" t="str">
        <f>"1.922,00"</f>
        <v>1.922,00</v>
      </c>
      <c r="L563" s="6" t="str">
        <f>"480,50"</f>
        <v>480,50</v>
      </c>
      <c r="M563" s="6" t="str">
        <f>"2.402,50"</f>
        <v>2.402,50</v>
      </c>
      <c r="N563" s="5">
        <v>43539</v>
      </c>
      <c r="O563" s="7"/>
      <c r="P563" s="6" t="str">
        <f>"2.402,50"</f>
        <v>2.402,50</v>
      </c>
      <c r="Q563" s="7"/>
      <c r="R563" s="1"/>
      <c r="S563" s="1" t="str">
        <f>"5-19/NOS-57-B/17"</f>
        <v>5-19/NOS-57-B/17</v>
      </c>
      <c r="T563" s="2" t="s">
        <v>33</v>
      </c>
    </row>
    <row r="564" spans="1:20" ht="38.25" x14ac:dyDescent="0.25">
      <c r="A564" s="1">
        <v>560</v>
      </c>
      <c r="B564" s="1" t="str">
        <f t="shared" si="57"/>
        <v>2017-389</v>
      </c>
      <c r="C564" s="2" t="s">
        <v>636</v>
      </c>
      <c r="D564" s="1" t="s">
        <v>382</v>
      </c>
      <c r="E564" s="3" t="str">
        <f>""</f>
        <v/>
      </c>
      <c r="F564" s="2" t="s">
        <v>27</v>
      </c>
      <c r="G564" s="2" t="str">
        <f t="shared" si="58"/>
        <v>AUTO HRVATSKA PRODAJNO SERVISNI CENTRI D.O.O., ZASTAVNICE 25/C, 10251 HRVATSKI LESKOVAC, OIB: 87682591133</v>
      </c>
      <c r="H564" s="4"/>
      <c r="I564" s="1" t="s">
        <v>277</v>
      </c>
      <c r="J564" s="1" t="s">
        <v>303</v>
      </c>
      <c r="K564" s="6" t="str">
        <f>"5.062,50"</f>
        <v>5.062,50</v>
      </c>
      <c r="L564" s="6" t="str">
        <f>"1.265,63"</f>
        <v>1.265,63</v>
      </c>
      <c r="M564" s="6" t="str">
        <f>"6.328,13"</f>
        <v>6.328,13</v>
      </c>
      <c r="N564" s="5">
        <v>43545</v>
      </c>
      <c r="O564" s="7"/>
      <c r="P564" s="6" t="str">
        <f>"6.328,12"</f>
        <v>6.328,12</v>
      </c>
      <c r="Q564" s="7"/>
      <c r="R564" s="1"/>
      <c r="S564" s="1" t="str">
        <f>"6-19/NOS-57-B/17"</f>
        <v>6-19/NOS-57-B/17</v>
      </c>
      <c r="T564" s="2" t="s">
        <v>33</v>
      </c>
    </row>
    <row r="565" spans="1:20" ht="38.25" x14ac:dyDescent="0.25">
      <c r="A565" s="1">
        <v>561</v>
      </c>
      <c r="B565" s="1" t="str">
        <f t="shared" si="57"/>
        <v>2017-389</v>
      </c>
      <c r="C565" s="2" t="s">
        <v>636</v>
      </c>
      <c r="D565" s="1" t="s">
        <v>382</v>
      </c>
      <c r="E565" s="3" t="str">
        <f>""</f>
        <v/>
      </c>
      <c r="F565" s="2" t="s">
        <v>27</v>
      </c>
      <c r="G565" s="2" t="str">
        <f t="shared" si="58"/>
        <v>AUTO HRVATSKA PRODAJNO SERVISNI CENTRI D.O.O., ZASTAVNICE 25/C, 10251 HRVATSKI LESKOVAC, OIB: 87682591133</v>
      </c>
      <c r="H565" s="4"/>
      <c r="I565" s="1" t="s">
        <v>340</v>
      </c>
      <c r="J565" s="1" t="s">
        <v>303</v>
      </c>
      <c r="K565" s="6" t="str">
        <f>"1.742,00"</f>
        <v>1.742,00</v>
      </c>
      <c r="L565" s="6" t="str">
        <f>"435,50"</f>
        <v>435,50</v>
      </c>
      <c r="M565" s="6" t="str">
        <f>"2.177,50"</f>
        <v>2.177,50</v>
      </c>
      <c r="N565" s="5">
        <v>43563</v>
      </c>
      <c r="O565" s="7"/>
      <c r="P565" s="6" t="str">
        <f>"2.177,50"</f>
        <v>2.177,50</v>
      </c>
      <c r="Q565" s="7"/>
      <c r="R565" s="1"/>
      <c r="S565" s="1" t="str">
        <f>"7-19/NOS-57-B/17"</f>
        <v>7-19/NOS-57-B/17</v>
      </c>
      <c r="T565" s="2" t="s">
        <v>33</v>
      </c>
    </row>
    <row r="566" spans="1:20" ht="38.25" x14ac:dyDescent="0.25">
      <c r="A566" s="1">
        <v>562</v>
      </c>
      <c r="B566" s="1" t="str">
        <f t="shared" si="57"/>
        <v>2017-389</v>
      </c>
      <c r="C566" s="2" t="s">
        <v>636</v>
      </c>
      <c r="D566" s="1" t="s">
        <v>382</v>
      </c>
      <c r="E566" s="3" t="str">
        <f>""</f>
        <v/>
      </c>
      <c r="F566" s="2" t="s">
        <v>27</v>
      </c>
      <c r="G566" s="2" t="str">
        <f t="shared" si="58"/>
        <v>AUTO HRVATSKA PRODAJNO SERVISNI CENTRI D.O.O., ZASTAVNICE 25/C, 10251 HRVATSKI LESKOVAC, OIB: 87682591133</v>
      </c>
      <c r="H566" s="4"/>
      <c r="I566" s="1" t="s">
        <v>318</v>
      </c>
      <c r="J566" s="1" t="s">
        <v>303</v>
      </c>
      <c r="K566" s="6" t="str">
        <f>"1.843,00"</f>
        <v>1.843,00</v>
      </c>
      <c r="L566" s="6" t="str">
        <f>"460,75"</f>
        <v>460,75</v>
      </c>
      <c r="M566" s="6" t="str">
        <f>"2.303,75"</f>
        <v>2.303,75</v>
      </c>
      <c r="N566" s="5">
        <v>43578</v>
      </c>
      <c r="O566" s="7"/>
      <c r="P566" s="6" t="str">
        <f>"2.303,75"</f>
        <v>2.303,75</v>
      </c>
      <c r="Q566" s="7"/>
      <c r="R566" s="1"/>
      <c r="S566" s="1" t="str">
        <f>"8-19/NOS-57-B/17"</f>
        <v>8-19/NOS-57-B/17</v>
      </c>
      <c r="T566" s="2" t="s">
        <v>33</v>
      </c>
    </row>
    <row r="567" spans="1:20" ht="38.25" x14ac:dyDescent="0.25">
      <c r="A567" s="1">
        <v>563</v>
      </c>
      <c r="B567" s="1" t="str">
        <f t="shared" si="57"/>
        <v>2017-389</v>
      </c>
      <c r="C567" s="2" t="s">
        <v>636</v>
      </c>
      <c r="D567" s="1" t="s">
        <v>382</v>
      </c>
      <c r="E567" s="3" t="str">
        <f>""</f>
        <v/>
      </c>
      <c r="F567" s="2" t="s">
        <v>27</v>
      </c>
      <c r="G567" s="2" t="str">
        <f t="shared" si="58"/>
        <v>AUTO HRVATSKA PRODAJNO SERVISNI CENTRI D.O.O., ZASTAVNICE 25/C, 10251 HRVATSKI LESKOVAC, OIB: 87682591133</v>
      </c>
      <c r="H567" s="4"/>
      <c r="I567" s="1" t="s">
        <v>311</v>
      </c>
      <c r="J567" s="1" t="s">
        <v>303</v>
      </c>
      <c r="K567" s="6" t="str">
        <f>"341,40"</f>
        <v>341,40</v>
      </c>
      <c r="L567" s="6" t="str">
        <f>"85,35"</f>
        <v>85,35</v>
      </c>
      <c r="M567" s="6" t="str">
        <f>"426,75"</f>
        <v>426,75</v>
      </c>
      <c r="N567" s="5">
        <v>43587</v>
      </c>
      <c r="O567" s="7"/>
      <c r="P567" s="6" t="str">
        <f>"426,75"</f>
        <v>426,75</v>
      </c>
      <c r="Q567" s="7"/>
      <c r="R567" s="1"/>
      <c r="S567" s="1" t="str">
        <f>"9-19/NOS-57-B/17"</f>
        <v>9-19/NOS-57-B/17</v>
      </c>
      <c r="T567" s="2" t="s">
        <v>33</v>
      </c>
    </row>
    <row r="568" spans="1:20" ht="38.25" x14ac:dyDescent="0.25">
      <c r="A568" s="1">
        <v>564</v>
      </c>
      <c r="B568" s="1" t="str">
        <f t="shared" si="57"/>
        <v>2017-389</v>
      </c>
      <c r="C568" s="2" t="s">
        <v>636</v>
      </c>
      <c r="D568" s="1" t="s">
        <v>382</v>
      </c>
      <c r="E568" s="3" t="str">
        <f>""</f>
        <v/>
      </c>
      <c r="F568" s="2" t="s">
        <v>27</v>
      </c>
      <c r="G568" s="2" t="str">
        <f t="shared" si="58"/>
        <v>AUTO HRVATSKA PRODAJNO SERVISNI CENTRI D.O.O., ZASTAVNICE 25/C, 10251 HRVATSKI LESKOVAC, OIB: 87682591133</v>
      </c>
      <c r="H568" s="4"/>
      <c r="I568" s="1" t="s">
        <v>637</v>
      </c>
      <c r="J568" s="1" t="s">
        <v>303</v>
      </c>
      <c r="K568" s="6" t="str">
        <f>"1.711,32"</f>
        <v>1.711,32</v>
      </c>
      <c r="L568" s="6" t="str">
        <f>"427,83"</f>
        <v>427,83</v>
      </c>
      <c r="M568" s="6" t="str">
        <f>"2.139,15"</f>
        <v>2.139,15</v>
      </c>
      <c r="N568" s="5">
        <v>43595</v>
      </c>
      <c r="O568" s="7"/>
      <c r="P568" s="6" t="str">
        <f>"2.139,15"</f>
        <v>2.139,15</v>
      </c>
      <c r="Q568" s="7"/>
      <c r="R568" s="1"/>
      <c r="S568" s="1" t="str">
        <f>"10-19/NOS-57-B/17"</f>
        <v>10-19/NOS-57-B/17</v>
      </c>
      <c r="T568" s="2" t="s">
        <v>33</v>
      </c>
    </row>
    <row r="569" spans="1:20" ht="38.25" x14ac:dyDescent="0.25">
      <c r="A569" s="1">
        <v>565</v>
      </c>
      <c r="B569" s="1" t="str">
        <f t="shared" si="57"/>
        <v>2017-389</v>
      </c>
      <c r="C569" s="2" t="s">
        <v>636</v>
      </c>
      <c r="D569" s="1" t="s">
        <v>382</v>
      </c>
      <c r="E569" s="3" t="str">
        <f>""</f>
        <v/>
      </c>
      <c r="F569" s="2" t="s">
        <v>27</v>
      </c>
      <c r="G569" s="2" t="str">
        <f t="shared" si="58"/>
        <v>AUTO HRVATSKA PRODAJNO SERVISNI CENTRI D.O.O., ZASTAVNICE 25/C, 10251 HRVATSKI LESKOVAC, OIB: 87682591133</v>
      </c>
      <c r="H569" s="4"/>
      <c r="I569" s="1" t="s">
        <v>455</v>
      </c>
      <c r="J569" s="1" t="s">
        <v>303</v>
      </c>
      <c r="K569" s="6" t="str">
        <f>"306,00"</f>
        <v>306,00</v>
      </c>
      <c r="L569" s="6" t="str">
        <f>"76,50"</f>
        <v>76,50</v>
      </c>
      <c r="M569" s="6" t="str">
        <f>"382,50"</f>
        <v>382,50</v>
      </c>
      <c r="N569" s="5">
        <v>43600</v>
      </c>
      <c r="O569" s="7"/>
      <c r="P569" s="6" t="str">
        <f>"382,50"</f>
        <v>382,50</v>
      </c>
      <c r="Q569" s="7"/>
      <c r="R569" s="1"/>
      <c r="S569" s="1" t="str">
        <f>"11-19/NOS-57-B/17"</f>
        <v>11-19/NOS-57-B/17</v>
      </c>
      <c r="T569" s="2" t="s">
        <v>33</v>
      </c>
    </row>
    <row r="570" spans="1:20" ht="38.25" x14ac:dyDescent="0.25">
      <c r="A570" s="1">
        <v>566</v>
      </c>
      <c r="B570" s="1" t="str">
        <f t="shared" si="57"/>
        <v>2017-389</v>
      </c>
      <c r="C570" s="2" t="s">
        <v>636</v>
      </c>
      <c r="D570" s="1" t="s">
        <v>382</v>
      </c>
      <c r="E570" s="3" t="str">
        <f>""</f>
        <v/>
      </c>
      <c r="F570" s="2" t="s">
        <v>27</v>
      </c>
      <c r="G570" s="2" t="str">
        <f t="shared" si="58"/>
        <v>AUTO HRVATSKA PRODAJNO SERVISNI CENTRI D.O.O., ZASTAVNICE 25/C, 10251 HRVATSKI LESKOVAC, OIB: 87682591133</v>
      </c>
      <c r="H570" s="4"/>
      <c r="I570" s="1" t="s">
        <v>435</v>
      </c>
      <c r="J570" s="1" t="s">
        <v>303</v>
      </c>
      <c r="K570" s="6" t="str">
        <f>"4.532,90"</f>
        <v>4.532,90</v>
      </c>
      <c r="L570" s="6" t="str">
        <f>"0,00"</f>
        <v>0,00</v>
      </c>
      <c r="M570" s="6" t="str">
        <f>"0,00"</f>
        <v>0,00</v>
      </c>
      <c r="N570" s="1" t="s">
        <v>117</v>
      </c>
      <c r="O570" s="7"/>
      <c r="P570" s="6" t="str">
        <f>"0,00"</f>
        <v>0,00</v>
      </c>
      <c r="Q570" s="7"/>
      <c r="R570" s="1"/>
      <c r="S570" s="1" t="str">
        <f>"12-19/NOS-57-B/17"</f>
        <v>12-19/NOS-57-B/17</v>
      </c>
      <c r="T570" s="2" t="s">
        <v>33</v>
      </c>
    </row>
    <row r="571" spans="1:20" ht="38.25" x14ac:dyDescent="0.25">
      <c r="A571" s="1">
        <v>567</v>
      </c>
      <c r="B571" s="1" t="str">
        <f t="shared" si="57"/>
        <v>2017-389</v>
      </c>
      <c r="C571" s="2" t="s">
        <v>636</v>
      </c>
      <c r="D571" s="1" t="s">
        <v>382</v>
      </c>
      <c r="E571" s="3" t="str">
        <f>""</f>
        <v/>
      </c>
      <c r="F571" s="2" t="s">
        <v>27</v>
      </c>
      <c r="G571" s="2" t="str">
        <f t="shared" si="58"/>
        <v>AUTO HRVATSKA PRODAJNO SERVISNI CENTRI D.O.O., ZASTAVNICE 25/C, 10251 HRVATSKI LESKOVAC, OIB: 87682591133</v>
      </c>
      <c r="H571" s="4"/>
      <c r="I571" s="1" t="s">
        <v>639</v>
      </c>
      <c r="J571" s="1" t="s">
        <v>303</v>
      </c>
      <c r="K571" s="6" t="str">
        <f>"424,14"</f>
        <v>424,14</v>
      </c>
      <c r="L571" s="6" t="str">
        <f>"106,04"</f>
        <v>106,04</v>
      </c>
      <c r="M571" s="6" t="str">
        <f>"530,18"</f>
        <v>530,18</v>
      </c>
      <c r="N571" s="5">
        <v>43623</v>
      </c>
      <c r="O571" s="7"/>
      <c r="P571" s="6" t="str">
        <f>"530,18"</f>
        <v>530,18</v>
      </c>
      <c r="Q571" s="7"/>
      <c r="R571" s="1"/>
      <c r="S571" s="1" t="str">
        <f>"13-19/NOS-57-B/17"</f>
        <v>13-19/NOS-57-B/17</v>
      </c>
      <c r="T571" s="2" t="s">
        <v>33</v>
      </c>
    </row>
    <row r="572" spans="1:20" ht="38.25" x14ac:dyDescent="0.25">
      <c r="A572" s="1">
        <v>568</v>
      </c>
      <c r="B572" s="1" t="str">
        <f t="shared" si="57"/>
        <v>2017-389</v>
      </c>
      <c r="C572" s="2" t="s">
        <v>636</v>
      </c>
      <c r="D572" s="1" t="s">
        <v>382</v>
      </c>
      <c r="E572" s="3" t="str">
        <f>""</f>
        <v/>
      </c>
      <c r="F572" s="2" t="s">
        <v>27</v>
      </c>
      <c r="G572" s="2" t="str">
        <f t="shared" si="58"/>
        <v>AUTO HRVATSKA PRODAJNO SERVISNI CENTRI D.O.O., ZASTAVNICE 25/C, 10251 HRVATSKI LESKOVAC, OIB: 87682591133</v>
      </c>
      <c r="H572" s="4"/>
      <c r="I572" s="1" t="s">
        <v>374</v>
      </c>
      <c r="J572" s="1" t="s">
        <v>303</v>
      </c>
      <c r="K572" s="6" t="str">
        <f>"3.611,80"</f>
        <v>3.611,80</v>
      </c>
      <c r="L572" s="6" t="str">
        <f>"902,95"</f>
        <v>902,95</v>
      </c>
      <c r="M572" s="6" t="str">
        <f>"4.514,75"</f>
        <v>4.514,75</v>
      </c>
      <c r="N572" s="5">
        <v>43629</v>
      </c>
      <c r="O572" s="7"/>
      <c r="P572" s="6" t="str">
        <f>"4.514,75"</f>
        <v>4.514,75</v>
      </c>
      <c r="Q572" s="7"/>
      <c r="R572" s="1"/>
      <c r="S572" s="1" t="str">
        <f>"14-19/NOS-57-B/17"</f>
        <v>14-19/NOS-57-B/17</v>
      </c>
      <c r="T572" s="2" t="s">
        <v>33</v>
      </c>
    </row>
    <row r="573" spans="1:20" ht="38.25" x14ac:dyDescent="0.25">
      <c r="A573" s="1">
        <v>569</v>
      </c>
      <c r="B573" s="1" t="str">
        <f t="shared" si="57"/>
        <v>2017-389</v>
      </c>
      <c r="C573" s="2" t="s">
        <v>636</v>
      </c>
      <c r="D573" s="1" t="s">
        <v>382</v>
      </c>
      <c r="E573" s="3" t="str">
        <f>""</f>
        <v/>
      </c>
      <c r="F573" s="2" t="s">
        <v>27</v>
      </c>
      <c r="G573" s="2" t="str">
        <f t="shared" si="58"/>
        <v>AUTO HRVATSKA PRODAJNO SERVISNI CENTRI D.O.O., ZASTAVNICE 25/C, 10251 HRVATSKI LESKOVAC, OIB: 87682591133</v>
      </c>
      <c r="H573" s="4"/>
      <c r="I573" s="1" t="s">
        <v>440</v>
      </c>
      <c r="J573" s="1" t="s">
        <v>303</v>
      </c>
      <c r="K573" s="6" t="str">
        <f>"1.914,00"</f>
        <v>1.914,00</v>
      </c>
      <c r="L573" s="6" t="str">
        <f>"478,50"</f>
        <v>478,50</v>
      </c>
      <c r="M573" s="6" t="str">
        <f>"2.392,50"</f>
        <v>2.392,50</v>
      </c>
      <c r="N573" s="5">
        <v>43642</v>
      </c>
      <c r="O573" s="7"/>
      <c r="P573" s="6" t="str">
        <f>"2.392,50"</f>
        <v>2.392,50</v>
      </c>
      <c r="Q573" s="7"/>
      <c r="R573" s="1"/>
      <c r="S573" s="1" t="str">
        <f>"15-19/NOS-57-B/17"</f>
        <v>15-19/NOS-57-B/17</v>
      </c>
      <c r="T573" s="2" t="s">
        <v>33</v>
      </c>
    </row>
    <row r="574" spans="1:20" ht="38.25" x14ac:dyDescent="0.25">
      <c r="A574" s="1">
        <v>570</v>
      </c>
      <c r="B574" s="1" t="str">
        <f t="shared" si="57"/>
        <v>2017-389</v>
      </c>
      <c r="C574" s="2" t="s">
        <v>636</v>
      </c>
      <c r="D574" s="1" t="s">
        <v>382</v>
      </c>
      <c r="E574" s="3" t="str">
        <f>""</f>
        <v/>
      </c>
      <c r="F574" s="2" t="s">
        <v>27</v>
      </c>
      <c r="G574" s="2" t="str">
        <f t="shared" si="58"/>
        <v>AUTO HRVATSKA PRODAJNO SERVISNI CENTRI D.O.O., ZASTAVNICE 25/C, 10251 HRVATSKI LESKOVAC, OIB: 87682591133</v>
      </c>
      <c r="H574" s="4"/>
      <c r="I574" s="1" t="s">
        <v>640</v>
      </c>
      <c r="J574" s="1" t="s">
        <v>303</v>
      </c>
      <c r="K574" s="6" t="str">
        <f>"5.876,40"</f>
        <v>5.876,40</v>
      </c>
      <c r="L574" s="6" t="str">
        <f>"0,00"</f>
        <v>0,00</v>
      </c>
      <c r="M574" s="6" t="str">
        <f>"0,00"</f>
        <v>0,00</v>
      </c>
      <c r="N574" s="1" t="s">
        <v>117</v>
      </c>
      <c r="O574" s="7"/>
      <c r="P574" s="6" t="str">
        <f>"0,00"</f>
        <v>0,00</v>
      </c>
      <c r="Q574" s="7"/>
      <c r="R574" s="1"/>
      <c r="S574" s="1" t="str">
        <f>"16-19/NOS-57-B/17"</f>
        <v>16-19/NOS-57-B/17</v>
      </c>
      <c r="T574" s="2" t="s">
        <v>33</v>
      </c>
    </row>
    <row r="575" spans="1:20" ht="38.25" x14ac:dyDescent="0.25">
      <c r="A575" s="1">
        <v>571</v>
      </c>
      <c r="B575" s="1" t="str">
        <f t="shared" si="57"/>
        <v>2017-389</v>
      </c>
      <c r="C575" s="2" t="s">
        <v>636</v>
      </c>
      <c r="D575" s="1" t="s">
        <v>382</v>
      </c>
      <c r="E575" s="3" t="str">
        <f>"2017/S 0F2-0014791"</f>
        <v>2017/S 0F2-0014791</v>
      </c>
      <c r="F575" s="2" t="s">
        <v>23</v>
      </c>
      <c r="G575" s="2" t="str">
        <f t="shared" si="58"/>
        <v>AUTO HRVATSKA PRODAJNO SERVISNI CENTRI D.O.O., ZASTAVNICE 25/C, 10251 HRVATSKI LESKOVAC, OIB: 87682591133</v>
      </c>
      <c r="H575" s="4"/>
      <c r="I575" s="1" t="s">
        <v>616</v>
      </c>
      <c r="J575" s="1" t="s">
        <v>617</v>
      </c>
      <c r="K575" s="6" t="str">
        <f>"2.400.000,00"</f>
        <v>2.400.000,00</v>
      </c>
      <c r="L575" s="6" t="str">
        <f>"600.000,00"</f>
        <v>600.000,00</v>
      </c>
      <c r="M575" s="6" t="str">
        <f>"3.000.000,00"</f>
        <v>3.000.000,00</v>
      </c>
      <c r="N575" s="7"/>
      <c r="O575" s="7"/>
      <c r="P575" s="6" t="str">
        <f>""</f>
        <v/>
      </c>
      <c r="Q575" s="7"/>
      <c r="R575" s="1"/>
      <c r="S575" s="1" t="str">
        <f>"NOS-57-C/17"</f>
        <v>NOS-57-C/17</v>
      </c>
      <c r="T575" s="2" t="s">
        <v>33</v>
      </c>
    </row>
    <row r="576" spans="1:20" ht="38.25" x14ac:dyDescent="0.25">
      <c r="A576" s="1">
        <v>572</v>
      </c>
      <c r="B576" s="1" t="str">
        <f t="shared" si="57"/>
        <v>2017-389</v>
      </c>
      <c r="C576" s="2" t="s">
        <v>636</v>
      </c>
      <c r="D576" s="1" t="s">
        <v>382</v>
      </c>
      <c r="E576" s="3" t="str">
        <f>""</f>
        <v/>
      </c>
      <c r="F576" s="2" t="s">
        <v>27</v>
      </c>
      <c r="G576" s="2" t="str">
        <f t="shared" si="58"/>
        <v>AUTO HRVATSKA PRODAJNO SERVISNI CENTRI D.O.O., ZASTAVNICE 25/C, 10251 HRVATSKI LESKOVAC, OIB: 87682591133</v>
      </c>
      <c r="H576" s="4"/>
      <c r="I576" s="1" t="s">
        <v>461</v>
      </c>
      <c r="J576" s="1" t="s">
        <v>303</v>
      </c>
      <c r="K576" s="6" t="str">
        <f>"802,28"</f>
        <v>802,28</v>
      </c>
      <c r="L576" s="6" t="str">
        <f>"200,57"</f>
        <v>200,57</v>
      </c>
      <c r="M576" s="6" t="str">
        <f>"1.002,85"</f>
        <v>1.002,85</v>
      </c>
      <c r="N576" s="5">
        <v>43516</v>
      </c>
      <c r="O576" s="7"/>
      <c r="P576" s="6" t="str">
        <f>"1.002,85"</f>
        <v>1.002,85</v>
      </c>
      <c r="Q576" s="7"/>
      <c r="R576" s="1"/>
      <c r="S576" s="1" t="str">
        <f>"1-19/NOS-57-C/17"</f>
        <v>1-19/NOS-57-C/17</v>
      </c>
      <c r="T576" s="2" t="s">
        <v>33</v>
      </c>
    </row>
    <row r="577" spans="1:20" ht="38.25" x14ac:dyDescent="0.25">
      <c r="A577" s="1">
        <v>573</v>
      </c>
      <c r="B577" s="1" t="str">
        <f t="shared" si="57"/>
        <v>2017-389</v>
      </c>
      <c r="C577" s="2" t="s">
        <v>636</v>
      </c>
      <c r="D577" s="1" t="s">
        <v>382</v>
      </c>
      <c r="E577" s="3" t="str">
        <f>""</f>
        <v/>
      </c>
      <c r="F577" s="2" t="s">
        <v>27</v>
      </c>
      <c r="G577" s="2" t="str">
        <f t="shared" si="58"/>
        <v>AUTO HRVATSKA PRODAJNO SERVISNI CENTRI D.O.O., ZASTAVNICE 25/C, 10251 HRVATSKI LESKOVAC, OIB: 87682591133</v>
      </c>
      <c r="H577" s="4"/>
      <c r="I577" s="1" t="s">
        <v>257</v>
      </c>
      <c r="J577" s="1" t="s">
        <v>303</v>
      </c>
      <c r="K577" s="6" t="str">
        <f>"809,00"</f>
        <v>809,00</v>
      </c>
      <c r="L577" s="6" t="str">
        <f>"202,25"</f>
        <v>202,25</v>
      </c>
      <c r="M577" s="6" t="str">
        <f>"1.011,25"</f>
        <v>1.011,25</v>
      </c>
      <c r="N577" s="5">
        <v>43528</v>
      </c>
      <c r="O577" s="7"/>
      <c r="P577" s="6" t="str">
        <f>"1.011,25"</f>
        <v>1.011,25</v>
      </c>
      <c r="Q577" s="7"/>
      <c r="R577" s="1"/>
      <c r="S577" s="1" t="str">
        <f>"2-19/NOS-57-C/17"</f>
        <v>2-19/NOS-57-C/17</v>
      </c>
      <c r="T577" s="2" t="s">
        <v>33</v>
      </c>
    </row>
    <row r="578" spans="1:20" ht="38.25" x14ac:dyDescent="0.25">
      <c r="A578" s="1">
        <v>574</v>
      </c>
      <c r="B578" s="1" t="str">
        <f t="shared" si="57"/>
        <v>2017-389</v>
      </c>
      <c r="C578" s="2" t="s">
        <v>636</v>
      </c>
      <c r="D578" s="1" t="s">
        <v>382</v>
      </c>
      <c r="E578" s="3" t="str">
        <f>""</f>
        <v/>
      </c>
      <c r="F578" s="2" t="s">
        <v>27</v>
      </c>
      <c r="G578" s="2" t="str">
        <f t="shared" si="58"/>
        <v>AUTO HRVATSKA PRODAJNO SERVISNI CENTRI D.O.O., ZASTAVNICE 25/C, 10251 HRVATSKI LESKOVAC, OIB: 87682591133</v>
      </c>
      <c r="H578" s="4"/>
      <c r="I578" s="1" t="s">
        <v>308</v>
      </c>
      <c r="J578" s="1" t="s">
        <v>303</v>
      </c>
      <c r="K578" s="6" t="str">
        <f>"1.352,20"</f>
        <v>1.352,20</v>
      </c>
      <c r="L578" s="6" t="str">
        <f>"338,05"</f>
        <v>338,05</v>
      </c>
      <c r="M578" s="6" t="str">
        <f>"1.690,25"</f>
        <v>1.690,25</v>
      </c>
      <c r="N578" s="5">
        <v>43560</v>
      </c>
      <c r="O578" s="7"/>
      <c r="P578" s="6" t="str">
        <f>"1.690,25"</f>
        <v>1.690,25</v>
      </c>
      <c r="Q578" s="7"/>
      <c r="R578" s="1"/>
      <c r="S578" s="1" t="str">
        <f>"3-19/NOS-57-C/17"</f>
        <v>3-19/NOS-57-C/17</v>
      </c>
      <c r="T578" s="2" t="s">
        <v>33</v>
      </c>
    </row>
    <row r="579" spans="1:20" ht="38.25" x14ac:dyDescent="0.25">
      <c r="A579" s="1">
        <v>575</v>
      </c>
      <c r="B579" s="1" t="str">
        <f t="shared" si="57"/>
        <v>2017-389</v>
      </c>
      <c r="C579" s="2" t="s">
        <v>636</v>
      </c>
      <c r="D579" s="1" t="s">
        <v>382</v>
      </c>
      <c r="E579" s="3" t="str">
        <f>""</f>
        <v/>
      </c>
      <c r="F579" s="2" t="s">
        <v>27</v>
      </c>
      <c r="G579" s="2" t="str">
        <f t="shared" si="58"/>
        <v>AUTO HRVATSKA PRODAJNO SERVISNI CENTRI D.O.O., ZASTAVNICE 25/C, 10251 HRVATSKI LESKOVAC, OIB: 87682591133</v>
      </c>
      <c r="H579" s="4"/>
      <c r="I579" s="1" t="s">
        <v>311</v>
      </c>
      <c r="J579" s="1" t="s">
        <v>303</v>
      </c>
      <c r="K579" s="6" t="str">
        <f>"1.782,00"</f>
        <v>1.782,00</v>
      </c>
      <c r="L579" s="6" t="str">
        <f>"445,50"</f>
        <v>445,50</v>
      </c>
      <c r="M579" s="6" t="str">
        <f>"2.227,50"</f>
        <v>2.227,50</v>
      </c>
      <c r="N579" s="5">
        <v>43587</v>
      </c>
      <c r="O579" s="7"/>
      <c r="P579" s="6" t="str">
        <f>"2.227,50"</f>
        <v>2.227,50</v>
      </c>
      <c r="Q579" s="7"/>
      <c r="R579" s="1"/>
      <c r="S579" s="1" t="str">
        <f>"4-19/NOS-57-C/17"</f>
        <v>4-19/NOS-57-C/17</v>
      </c>
      <c r="T579" s="2" t="s">
        <v>33</v>
      </c>
    </row>
    <row r="580" spans="1:20" ht="38.25" x14ac:dyDescent="0.25">
      <c r="A580" s="1">
        <v>576</v>
      </c>
      <c r="B580" s="1" t="str">
        <f t="shared" si="57"/>
        <v>2017-389</v>
      </c>
      <c r="C580" s="2" t="s">
        <v>636</v>
      </c>
      <c r="D580" s="1" t="s">
        <v>382</v>
      </c>
      <c r="E580" s="3" t="str">
        <f>""</f>
        <v/>
      </c>
      <c r="F580" s="2" t="s">
        <v>27</v>
      </c>
      <c r="G580" s="2" t="str">
        <f t="shared" si="58"/>
        <v>AUTO HRVATSKA PRODAJNO SERVISNI CENTRI D.O.O., ZASTAVNICE 25/C, 10251 HRVATSKI LESKOVAC, OIB: 87682591133</v>
      </c>
      <c r="H580" s="4"/>
      <c r="I580" s="1" t="s">
        <v>637</v>
      </c>
      <c r="J580" s="1" t="s">
        <v>303</v>
      </c>
      <c r="K580" s="6" t="str">
        <f>"465,60"</f>
        <v>465,60</v>
      </c>
      <c r="L580" s="6" t="str">
        <f>"116,40"</f>
        <v>116,40</v>
      </c>
      <c r="M580" s="6" t="str">
        <f>"582,00"</f>
        <v>582,00</v>
      </c>
      <c r="N580" s="5">
        <v>43598</v>
      </c>
      <c r="O580" s="7"/>
      <c r="P580" s="6" t="str">
        <f>"582,00"</f>
        <v>582,00</v>
      </c>
      <c r="Q580" s="7"/>
      <c r="R580" s="1"/>
      <c r="S580" s="1" t="str">
        <f>"5-19/NOS-57-C/17"</f>
        <v>5-19/NOS-57-C/17</v>
      </c>
      <c r="T580" s="2" t="s">
        <v>33</v>
      </c>
    </row>
    <row r="581" spans="1:20" ht="38.25" x14ac:dyDescent="0.25">
      <c r="A581" s="1">
        <v>577</v>
      </c>
      <c r="B581" s="1" t="str">
        <f t="shared" si="57"/>
        <v>2017-389</v>
      </c>
      <c r="C581" s="2" t="s">
        <v>636</v>
      </c>
      <c r="D581" s="1" t="s">
        <v>382</v>
      </c>
      <c r="E581" s="3" t="str">
        <f>""</f>
        <v/>
      </c>
      <c r="F581" s="2" t="s">
        <v>27</v>
      </c>
      <c r="G581" s="2" t="str">
        <f t="shared" si="58"/>
        <v>AUTO HRVATSKA PRODAJNO SERVISNI CENTRI D.O.O., ZASTAVNICE 25/C, 10251 HRVATSKI LESKOVAC, OIB: 87682591133</v>
      </c>
      <c r="H581" s="4"/>
      <c r="I581" s="1" t="s">
        <v>641</v>
      </c>
      <c r="J581" s="1" t="s">
        <v>303</v>
      </c>
      <c r="K581" s="6" t="str">
        <f>"1.570,20"</f>
        <v>1.570,20</v>
      </c>
      <c r="L581" s="6" t="str">
        <f>"392,55"</f>
        <v>392,55</v>
      </c>
      <c r="M581" s="6" t="str">
        <f>"1.962,75"</f>
        <v>1.962,75</v>
      </c>
      <c r="N581" s="5">
        <v>43602</v>
      </c>
      <c r="O581" s="7"/>
      <c r="P581" s="6" t="str">
        <f>"1.962,75"</f>
        <v>1.962,75</v>
      </c>
      <c r="Q581" s="7"/>
      <c r="R581" s="1"/>
      <c r="S581" s="1" t="str">
        <f>"6-19/NOS-57-C/17"</f>
        <v>6-19/NOS-57-C/17</v>
      </c>
      <c r="T581" s="2" t="s">
        <v>33</v>
      </c>
    </row>
    <row r="582" spans="1:20" ht="38.25" x14ac:dyDescent="0.25">
      <c r="A582" s="1">
        <v>578</v>
      </c>
      <c r="B582" s="1" t="str">
        <f t="shared" si="57"/>
        <v>2017-389</v>
      </c>
      <c r="C582" s="2" t="s">
        <v>636</v>
      </c>
      <c r="D582" s="1" t="s">
        <v>382</v>
      </c>
      <c r="E582" s="3" t="str">
        <f>""</f>
        <v/>
      </c>
      <c r="F582" s="2" t="s">
        <v>27</v>
      </c>
      <c r="G582" s="2" t="str">
        <f t="shared" si="58"/>
        <v>AUTO HRVATSKA PRODAJNO SERVISNI CENTRI D.O.O., ZASTAVNICE 25/C, 10251 HRVATSKI LESKOVAC, OIB: 87682591133</v>
      </c>
      <c r="H582" s="4"/>
      <c r="I582" s="1" t="s">
        <v>361</v>
      </c>
      <c r="J582" s="1" t="s">
        <v>303</v>
      </c>
      <c r="K582" s="6" t="str">
        <f>"321,00"</f>
        <v>321,00</v>
      </c>
      <c r="L582" s="6" t="str">
        <f>"80,25"</f>
        <v>80,25</v>
      </c>
      <c r="M582" s="6" t="str">
        <f>"401,25"</f>
        <v>401,25</v>
      </c>
      <c r="N582" s="5">
        <v>43612</v>
      </c>
      <c r="O582" s="7"/>
      <c r="P582" s="6" t="str">
        <f>"401,25"</f>
        <v>401,25</v>
      </c>
      <c r="Q582" s="7"/>
      <c r="R582" s="1"/>
      <c r="S582" s="1" t="str">
        <f>"7-19/NOS-57-C/17"</f>
        <v>7-19/NOS-57-C/17</v>
      </c>
      <c r="T582" s="2" t="s">
        <v>33</v>
      </c>
    </row>
    <row r="583" spans="1:20" ht="38.25" x14ac:dyDescent="0.25">
      <c r="A583" s="1">
        <v>579</v>
      </c>
      <c r="B583" s="1" t="str">
        <f t="shared" si="57"/>
        <v>2017-389</v>
      </c>
      <c r="C583" s="2" t="s">
        <v>636</v>
      </c>
      <c r="D583" s="1" t="s">
        <v>382</v>
      </c>
      <c r="E583" s="3" t="str">
        <f>""</f>
        <v/>
      </c>
      <c r="F583" s="2" t="s">
        <v>27</v>
      </c>
      <c r="G583" s="2" t="str">
        <f t="shared" si="58"/>
        <v>AUTO HRVATSKA PRODAJNO SERVISNI CENTRI D.O.O., ZASTAVNICE 25/C, 10251 HRVATSKI LESKOVAC, OIB: 87682591133</v>
      </c>
      <c r="H583" s="4"/>
      <c r="I583" s="1" t="s">
        <v>32</v>
      </c>
      <c r="J583" s="1" t="s">
        <v>303</v>
      </c>
      <c r="K583" s="6" t="str">
        <f>"2.214,00"</f>
        <v>2.214,00</v>
      </c>
      <c r="L583" s="6" t="str">
        <f>"553,50"</f>
        <v>553,50</v>
      </c>
      <c r="M583" s="6" t="str">
        <f>"2.767,50"</f>
        <v>2.767,50</v>
      </c>
      <c r="N583" s="5">
        <v>43616</v>
      </c>
      <c r="O583" s="7"/>
      <c r="P583" s="6" t="str">
        <f>"2.767,50"</f>
        <v>2.767,50</v>
      </c>
      <c r="Q583" s="7"/>
      <c r="R583" s="1"/>
      <c r="S583" s="1" t="str">
        <f>"8-19/NOS-57-C/17"</f>
        <v>8-19/NOS-57-C/17</v>
      </c>
      <c r="T583" s="2" t="s">
        <v>33</v>
      </c>
    </row>
    <row r="584" spans="1:20" ht="38.25" x14ac:dyDescent="0.25">
      <c r="A584" s="1">
        <v>580</v>
      </c>
      <c r="B584" s="1" t="str">
        <f t="shared" si="57"/>
        <v>2017-389</v>
      </c>
      <c r="C584" s="2" t="s">
        <v>636</v>
      </c>
      <c r="D584" s="1" t="s">
        <v>382</v>
      </c>
      <c r="E584" s="3" t="str">
        <f>""</f>
        <v/>
      </c>
      <c r="F584" s="2" t="s">
        <v>27</v>
      </c>
      <c r="G584" s="2" t="str">
        <f t="shared" si="58"/>
        <v>AUTO HRVATSKA PRODAJNO SERVISNI CENTRI D.O.O., ZASTAVNICE 25/C, 10251 HRVATSKI LESKOVAC, OIB: 87682591133</v>
      </c>
      <c r="H584" s="4"/>
      <c r="I584" s="1" t="s">
        <v>499</v>
      </c>
      <c r="J584" s="1" t="s">
        <v>303</v>
      </c>
      <c r="K584" s="6" t="str">
        <f>"780,00"</f>
        <v>780,00</v>
      </c>
      <c r="L584" s="6" t="str">
        <f>"0,00"</f>
        <v>0,00</v>
      </c>
      <c r="M584" s="6" t="str">
        <f>"0,00"</f>
        <v>0,00</v>
      </c>
      <c r="N584" s="1" t="s">
        <v>117</v>
      </c>
      <c r="O584" s="7"/>
      <c r="P584" s="6" t="str">
        <f>"0,00"</f>
        <v>0,00</v>
      </c>
      <c r="Q584" s="7"/>
      <c r="R584" s="1"/>
      <c r="S584" s="1" t="str">
        <f>"9-19/NOS-57-C/17"</f>
        <v>9-19/NOS-57-C/17</v>
      </c>
      <c r="T584" s="2" t="s">
        <v>33</v>
      </c>
    </row>
    <row r="585" spans="1:20" ht="38.25" x14ac:dyDescent="0.25">
      <c r="A585" s="1">
        <v>581</v>
      </c>
      <c r="B585" s="1" t="str">
        <f t="shared" si="57"/>
        <v>2017-389</v>
      </c>
      <c r="C585" s="2" t="s">
        <v>636</v>
      </c>
      <c r="D585" s="1" t="s">
        <v>382</v>
      </c>
      <c r="E585" s="3" t="str">
        <f>""</f>
        <v/>
      </c>
      <c r="F585" s="2" t="s">
        <v>27</v>
      </c>
      <c r="G585" s="2" t="str">
        <f t="shared" si="58"/>
        <v>AUTO HRVATSKA PRODAJNO SERVISNI CENTRI D.O.O., ZASTAVNICE 25/C, 10251 HRVATSKI LESKOVAC, OIB: 87682591133</v>
      </c>
      <c r="H585" s="4"/>
      <c r="I585" s="1" t="s">
        <v>642</v>
      </c>
      <c r="J585" s="1" t="s">
        <v>303</v>
      </c>
      <c r="K585" s="6" t="str">
        <f>"1.800,00"</f>
        <v>1.800,00</v>
      </c>
      <c r="L585" s="6" t="str">
        <f>"450,00"</f>
        <v>450,00</v>
      </c>
      <c r="M585" s="6" t="str">
        <f>"2.250,00"</f>
        <v>2.250,00</v>
      </c>
      <c r="N585" s="5">
        <v>43616</v>
      </c>
      <c r="O585" s="7"/>
      <c r="P585" s="6" t="str">
        <f>"2.250,00"</f>
        <v>2.250,00</v>
      </c>
      <c r="Q585" s="7"/>
      <c r="R585" s="1"/>
      <c r="S585" s="1" t="str">
        <f>"11-19/NOS-57-C/17"</f>
        <v>11-19/NOS-57-C/17</v>
      </c>
      <c r="T585" s="2" t="s">
        <v>33</v>
      </c>
    </row>
    <row r="586" spans="1:20" ht="38.25" x14ac:dyDescent="0.25">
      <c r="A586" s="1">
        <v>582</v>
      </c>
      <c r="B586" s="1" t="str">
        <f t="shared" si="57"/>
        <v>2017-389</v>
      </c>
      <c r="C586" s="2" t="s">
        <v>636</v>
      </c>
      <c r="D586" s="1" t="s">
        <v>382</v>
      </c>
      <c r="E586" s="3" t="str">
        <f>""</f>
        <v/>
      </c>
      <c r="F586" s="2" t="s">
        <v>27</v>
      </c>
      <c r="G586" s="2" t="str">
        <f t="shared" si="58"/>
        <v>AUTO HRVATSKA PRODAJNO SERVISNI CENTRI D.O.O., ZASTAVNICE 25/C, 10251 HRVATSKI LESKOVAC, OIB: 87682591133</v>
      </c>
      <c r="H586" s="4"/>
      <c r="I586" s="1" t="s">
        <v>639</v>
      </c>
      <c r="J586" s="1" t="s">
        <v>303</v>
      </c>
      <c r="K586" s="6" t="str">
        <f>"3.733,60"</f>
        <v>3.733,60</v>
      </c>
      <c r="L586" s="6" t="str">
        <f>"933,40"</f>
        <v>933,40</v>
      </c>
      <c r="M586" s="6" t="str">
        <f>"4.667,00"</f>
        <v>4.667,00</v>
      </c>
      <c r="N586" s="5">
        <v>43626</v>
      </c>
      <c r="O586" s="7"/>
      <c r="P586" s="6" t="str">
        <f>"4.667,00"</f>
        <v>4.667,00</v>
      </c>
      <c r="Q586" s="7"/>
      <c r="R586" s="1"/>
      <c r="S586" s="1" t="str">
        <f>"12-19/NOS-57-C/17"</f>
        <v>12-19/NOS-57-C/17</v>
      </c>
      <c r="T586" s="2" t="s">
        <v>33</v>
      </c>
    </row>
    <row r="587" spans="1:20" ht="38.25" x14ac:dyDescent="0.25">
      <c r="A587" s="1">
        <v>583</v>
      </c>
      <c r="B587" s="1" t="str">
        <f t="shared" si="57"/>
        <v>2017-389</v>
      </c>
      <c r="C587" s="2" t="s">
        <v>636</v>
      </c>
      <c r="D587" s="1" t="s">
        <v>382</v>
      </c>
      <c r="E587" s="3" t="str">
        <f>""</f>
        <v/>
      </c>
      <c r="F587" s="2" t="s">
        <v>27</v>
      </c>
      <c r="G587" s="2" t="str">
        <f t="shared" si="58"/>
        <v>AUTO HRVATSKA PRODAJNO SERVISNI CENTRI D.O.O., ZASTAVNICE 25/C, 10251 HRVATSKI LESKOVAC, OIB: 87682591133</v>
      </c>
      <c r="H587" s="4"/>
      <c r="I587" s="1" t="s">
        <v>402</v>
      </c>
      <c r="J587" s="1" t="s">
        <v>303</v>
      </c>
      <c r="K587" s="6" t="str">
        <f>"3.380,00"</f>
        <v>3.380,00</v>
      </c>
      <c r="L587" s="6" t="str">
        <f>"845,00"</f>
        <v>845,00</v>
      </c>
      <c r="M587" s="6" t="str">
        <f>"4.225,00"</f>
        <v>4.225,00</v>
      </c>
      <c r="N587" s="5">
        <v>43629</v>
      </c>
      <c r="O587" s="7"/>
      <c r="P587" s="6" t="str">
        <f>"4.225,00"</f>
        <v>4.225,00</v>
      </c>
      <c r="Q587" s="7"/>
      <c r="R587" s="1"/>
      <c r="S587" s="1" t="str">
        <f>"13-19/NOS-57-C/17"</f>
        <v>13-19/NOS-57-C/17</v>
      </c>
      <c r="T587" s="2" t="s">
        <v>33</v>
      </c>
    </row>
    <row r="588" spans="1:20" ht="38.25" x14ac:dyDescent="0.25">
      <c r="A588" s="1">
        <v>584</v>
      </c>
      <c r="B588" s="1" t="str">
        <f t="shared" si="57"/>
        <v>2017-389</v>
      </c>
      <c r="C588" s="2" t="s">
        <v>636</v>
      </c>
      <c r="D588" s="1" t="s">
        <v>382</v>
      </c>
      <c r="E588" s="3" t="str">
        <f>""</f>
        <v/>
      </c>
      <c r="F588" s="2" t="s">
        <v>27</v>
      </c>
      <c r="G588" s="2" t="str">
        <f t="shared" si="58"/>
        <v>AUTO HRVATSKA PRODAJNO SERVISNI CENTRI D.O.O., ZASTAVNICE 25/C, 10251 HRVATSKI LESKOVAC, OIB: 87682591133</v>
      </c>
      <c r="H588" s="4"/>
      <c r="I588" s="1" t="s">
        <v>269</v>
      </c>
      <c r="J588" s="1" t="s">
        <v>303</v>
      </c>
      <c r="K588" s="6" t="str">
        <f>"380,00"</f>
        <v>380,00</v>
      </c>
      <c r="L588" s="6" t="str">
        <f>"95,00"</f>
        <v>95,00</v>
      </c>
      <c r="M588" s="6" t="str">
        <f>"475,00"</f>
        <v>475,00</v>
      </c>
      <c r="N588" s="5">
        <v>43635</v>
      </c>
      <c r="O588" s="7"/>
      <c r="P588" s="6" t="str">
        <f>"475,00"</f>
        <v>475,00</v>
      </c>
      <c r="Q588" s="7"/>
      <c r="R588" s="1"/>
      <c r="S588" s="1" t="str">
        <f>"14-19/NOS-57-C/17"</f>
        <v>14-19/NOS-57-C/17</v>
      </c>
      <c r="T588" s="2" t="s">
        <v>33</v>
      </c>
    </row>
    <row r="589" spans="1:20" ht="38.25" x14ac:dyDescent="0.25">
      <c r="A589" s="1">
        <v>585</v>
      </c>
      <c r="B589" s="1" t="str">
        <f t="shared" si="57"/>
        <v>2017-389</v>
      </c>
      <c r="C589" s="2" t="s">
        <v>636</v>
      </c>
      <c r="D589" s="1" t="s">
        <v>382</v>
      </c>
      <c r="E589" s="3" t="str">
        <f>""</f>
        <v/>
      </c>
      <c r="F589" s="2" t="s">
        <v>27</v>
      </c>
      <c r="G589" s="2" t="str">
        <f t="shared" si="58"/>
        <v>AUTO HRVATSKA PRODAJNO SERVISNI CENTRI D.O.O., ZASTAVNICE 25/C, 10251 HRVATSKI LESKOVAC, OIB: 87682591133</v>
      </c>
      <c r="H589" s="4"/>
      <c r="I589" s="1" t="s">
        <v>46</v>
      </c>
      <c r="J589" s="1" t="s">
        <v>303</v>
      </c>
      <c r="K589" s="6" t="str">
        <f>"1.052,00"</f>
        <v>1.052,00</v>
      </c>
      <c r="L589" s="6" t="str">
        <f>"263,00"</f>
        <v>263,00</v>
      </c>
      <c r="M589" s="6" t="str">
        <f>"1.315,00"</f>
        <v>1.315,00</v>
      </c>
      <c r="N589" s="5">
        <v>43642</v>
      </c>
      <c r="O589" s="7"/>
      <c r="P589" s="6" t="str">
        <f>"1.315,00"</f>
        <v>1.315,00</v>
      </c>
      <c r="Q589" s="7"/>
      <c r="R589" s="1"/>
      <c r="S589" s="1" t="str">
        <f>"15-19/NOS-57-C/17"</f>
        <v>15-19/NOS-57-C/17</v>
      </c>
      <c r="T589" s="2" t="s">
        <v>33</v>
      </c>
    </row>
    <row r="590" spans="1:20" ht="38.25" x14ac:dyDescent="0.25">
      <c r="A590" s="1">
        <v>586</v>
      </c>
      <c r="B590" s="1" t="str">
        <f t="shared" si="57"/>
        <v>2017-389</v>
      </c>
      <c r="C590" s="2" t="s">
        <v>636</v>
      </c>
      <c r="D590" s="1" t="s">
        <v>382</v>
      </c>
      <c r="E590" s="3" t="str">
        <f>""</f>
        <v/>
      </c>
      <c r="F590" s="2" t="s">
        <v>27</v>
      </c>
      <c r="G590" s="2" t="str">
        <f t="shared" si="58"/>
        <v>AUTO HRVATSKA PRODAJNO SERVISNI CENTRI D.O.O., ZASTAVNICE 25/C, 10251 HRVATSKI LESKOVAC, OIB: 87682591133</v>
      </c>
      <c r="H590" s="4"/>
      <c r="I590" s="1" t="s">
        <v>440</v>
      </c>
      <c r="J590" s="1" t="s">
        <v>303</v>
      </c>
      <c r="K590" s="6" t="str">
        <f>"3.462,00"</f>
        <v>3.462,00</v>
      </c>
      <c r="L590" s="6" t="str">
        <f>"865,50"</f>
        <v>865,50</v>
      </c>
      <c r="M590" s="6" t="str">
        <f>"4.327,50"</f>
        <v>4.327,50</v>
      </c>
      <c r="N590" s="5">
        <v>43642</v>
      </c>
      <c r="O590" s="7"/>
      <c r="P590" s="6" t="str">
        <f>"4.327,50"</f>
        <v>4.327,50</v>
      </c>
      <c r="Q590" s="7"/>
      <c r="R590" s="1"/>
      <c r="S590" s="1" t="str">
        <f>"16-19/NOS-57-C/17"</f>
        <v>16-19/NOS-57-C/17</v>
      </c>
      <c r="T590" s="2" t="s">
        <v>33</v>
      </c>
    </row>
    <row r="591" spans="1:20" ht="38.25" x14ac:dyDescent="0.25">
      <c r="A591" s="1">
        <v>587</v>
      </c>
      <c r="B591" s="1" t="str">
        <f t="shared" si="57"/>
        <v>2017-389</v>
      </c>
      <c r="C591" s="2" t="s">
        <v>636</v>
      </c>
      <c r="D591" s="1" t="s">
        <v>382</v>
      </c>
      <c r="E591" s="3" t="str">
        <f>""</f>
        <v/>
      </c>
      <c r="F591" s="2" t="s">
        <v>27</v>
      </c>
      <c r="G591" s="2" t="str">
        <f t="shared" si="58"/>
        <v>AUTO HRVATSKA PRODAJNO SERVISNI CENTRI D.O.O., ZASTAVNICE 25/C, 10251 HRVATSKI LESKOVAC, OIB: 87682591133</v>
      </c>
      <c r="H591" s="4"/>
      <c r="I591" s="1" t="s">
        <v>640</v>
      </c>
      <c r="J591" s="1" t="s">
        <v>303</v>
      </c>
      <c r="K591" s="6" t="str">
        <f>"643,00"</f>
        <v>643,00</v>
      </c>
      <c r="L591" s="6" t="str">
        <f>"15,50"</f>
        <v>15,50</v>
      </c>
      <c r="M591" s="6" t="str">
        <f>"77,50"</f>
        <v>77,50</v>
      </c>
      <c r="N591" s="5">
        <v>43655</v>
      </c>
      <c r="O591" s="7"/>
      <c r="P591" s="6" t="str">
        <f>"77,50"</f>
        <v>77,50</v>
      </c>
      <c r="Q591" s="7"/>
      <c r="R591" s="1"/>
      <c r="S591" s="1" t="str">
        <f>"17-19/NOS-57-C/17"</f>
        <v>17-19/NOS-57-C/17</v>
      </c>
      <c r="T591" s="2" t="s">
        <v>33</v>
      </c>
    </row>
    <row r="592" spans="1:20" ht="38.25" x14ac:dyDescent="0.25">
      <c r="A592" s="1">
        <v>588</v>
      </c>
      <c r="B592" s="1" t="str">
        <f>"2017-403"</f>
        <v>2017-403</v>
      </c>
      <c r="C592" s="2" t="s">
        <v>643</v>
      </c>
      <c r="D592" s="1" t="s">
        <v>644</v>
      </c>
      <c r="E592" s="3" t="str">
        <f>"2017/S 0F2-0008672"</f>
        <v>2017/S 0F2-0008672</v>
      </c>
      <c r="F592" s="2" t="s">
        <v>23</v>
      </c>
      <c r="G592" s="2" t="str">
        <f>CONCATENATE("GRADITELJ SVRATIŠTA D.O.O.,"," IVANA ČESMIČKOG 16,"," 10000 ZAGREB,"," OIB: 5204465757")</f>
        <v>GRADITELJ SVRATIŠTA D.O.O., IVANA ČESMIČKOG 16, 10000 ZAGREB, OIB: 5204465757</v>
      </c>
      <c r="H592" s="4"/>
      <c r="I592" s="1" t="s">
        <v>645</v>
      </c>
      <c r="J592" s="1" t="s">
        <v>646</v>
      </c>
      <c r="K592" s="6" t="str">
        <f>"4.000.000,00"</f>
        <v>4.000.000,00</v>
      </c>
      <c r="L592" s="6" t="str">
        <f>"1.000.000,00"</f>
        <v>1.000.000,00</v>
      </c>
      <c r="M592" s="6" t="str">
        <f>"5.000.000,00"</f>
        <v>5.000.000,00</v>
      </c>
      <c r="N592" s="7"/>
      <c r="O592" s="7"/>
      <c r="P592" s="6" t="str">
        <f>""</f>
        <v/>
      </c>
      <c r="Q592" s="7"/>
      <c r="R592" s="1"/>
      <c r="S592" s="1" t="str">
        <f>"NOS-58-A/17"</f>
        <v>NOS-58-A/17</v>
      </c>
      <c r="T592" s="2" t="s">
        <v>33</v>
      </c>
    </row>
    <row r="593" spans="1:20" ht="38.25" x14ac:dyDescent="0.25">
      <c r="A593" s="1">
        <v>589</v>
      </c>
      <c r="B593" s="1" t="str">
        <f>"2017-403"</f>
        <v>2017-403</v>
      </c>
      <c r="C593" s="2" t="s">
        <v>643</v>
      </c>
      <c r="D593" s="4"/>
      <c r="E593" s="3" t="str">
        <f>""</f>
        <v/>
      </c>
      <c r="F593" s="2" t="s">
        <v>27</v>
      </c>
      <c r="G593" s="2" t="str">
        <f>CONCATENATE("GRADITELJ SVRATIŠTA D.O.O.,"," IVANA ČESMIČKOG 16,"," 10000 ZAGREB,"," OIB: 5204465757")</f>
        <v>GRADITELJ SVRATIŠTA D.O.O., IVANA ČESMIČKOG 16, 10000 ZAGREB, OIB: 5204465757</v>
      </c>
      <c r="H593" s="4"/>
      <c r="I593" s="1" t="s">
        <v>46</v>
      </c>
      <c r="J593" s="1" t="s">
        <v>395</v>
      </c>
      <c r="K593" s="6" t="str">
        <f>"204.000,00"</f>
        <v>204.000,00</v>
      </c>
      <c r="L593" s="6" t="str">
        <f>"51.000,00"</f>
        <v>51.000,00</v>
      </c>
      <c r="M593" s="6" t="str">
        <f>"255.000,00"</f>
        <v>255.000,00</v>
      </c>
      <c r="N593" s="5">
        <v>43635</v>
      </c>
      <c r="O593" s="7"/>
      <c r="P593" s="6" t="str">
        <f>"193.825,50"</f>
        <v>193.825,50</v>
      </c>
      <c r="Q593" s="7"/>
      <c r="R593" s="1"/>
      <c r="S593" s="1" t="str">
        <f>"2-19/NOS-58-A/17"</f>
        <v>2-19/NOS-58-A/17</v>
      </c>
      <c r="T593" s="2" t="s">
        <v>33</v>
      </c>
    </row>
    <row r="594" spans="1:20" ht="38.25" x14ac:dyDescent="0.25">
      <c r="A594" s="1">
        <v>590</v>
      </c>
      <c r="B594" s="1" t="str">
        <f>"2017-403"</f>
        <v>2017-403</v>
      </c>
      <c r="C594" s="2" t="s">
        <v>643</v>
      </c>
      <c r="D594" s="1" t="s">
        <v>644</v>
      </c>
      <c r="E594" s="3" t="str">
        <f>""</f>
        <v/>
      </c>
      <c r="F594" s="2" t="s">
        <v>27</v>
      </c>
      <c r="G594" s="2" t="str">
        <f>CONCATENATE("GRADITELJ SVRATIŠTA D.O.O.,"," IVANA ČESMIČKOG 16,"," 10000 ZAGREB,"," OIB: 5204465757")</f>
        <v>GRADITELJ SVRATIŠTA D.O.O., IVANA ČESMIČKOG 16, 10000 ZAGREB, OIB: 5204465757</v>
      </c>
      <c r="H594" s="4"/>
      <c r="I594" s="1" t="s">
        <v>596</v>
      </c>
      <c r="J594" s="1" t="s">
        <v>492</v>
      </c>
      <c r="K594" s="6" t="str">
        <f>"10.200,00"</f>
        <v>10.200,00</v>
      </c>
      <c r="L594" s="6" t="str">
        <f>"0,00"</f>
        <v>0,00</v>
      </c>
      <c r="M594" s="6" t="str">
        <f>"0,00"</f>
        <v>0,00</v>
      </c>
      <c r="N594" s="1" t="s">
        <v>117</v>
      </c>
      <c r="O594" s="7"/>
      <c r="P594" s="6" t="str">
        <f>"0,00"</f>
        <v>0,00</v>
      </c>
      <c r="Q594" s="7"/>
      <c r="R594" s="1"/>
      <c r="S594" s="1" t="str">
        <f>"1-19/NOS-58-A/17"</f>
        <v>1-19/NOS-58-A/17</v>
      </c>
      <c r="T594" s="2" t="s">
        <v>33</v>
      </c>
    </row>
    <row r="595" spans="1:20" ht="38.25" x14ac:dyDescent="0.25">
      <c r="A595" s="1">
        <v>591</v>
      </c>
      <c r="B595" s="1" t="str">
        <f>"2017-403"</f>
        <v>2017-403</v>
      </c>
      <c r="C595" s="2" t="s">
        <v>643</v>
      </c>
      <c r="D595" s="1" t="s">
        <v>644</v>
      </c>
      <c r="E595" s="3" t="str">
        <f>"2017/S 0F2-0008672"</f>
        <v>2017/S 0F2-0008672</v>
      </c>
      <c r="F595" s="2" t="s">
        <v>23</v>
      </c>
      <c r="G595" s="2" t="str">
        <f>CONCATENATE("I.B. JAZBINA D.O.O.,"," JAZBINA 151,"," 10000 ZAGREB,"," OIB: 77265033209")</f>
        <v>I.B. JAZBINA D.O.O., JAZBINA 151, 10000 ZAGREB, OIB: 77265033209</v>
      </c>
      <c r="H595" s="4"/>
      <c r="I595" s="1" t="s">
        <v>377</v>
      </c>
      <c r="J595" s="1" t="s">
        <v>647</v>
      </c>
      <c r="K595" s="6" t="str">
        <f>"1.000.000,00"</f>
        <v>1.000.000,00</v>
      </c>
      <c r="L595" s="6" t="str">
        <f>"250.000,00"</f>
        <v>250.000,00</v>
      </c>
      <c r="M595" s="6" t="str">
        <f>"1.250.000,00"</f>
        <v>1.250.000,00</v>
      </c>
      <c r="N595" s="7"/>
      <c r="O595" s="7"/>
      <c r="P595" s="6" t="str">
        <f>""</f>
        <v/>
      </c>
      <c r="Q595" s="7"/>
      <c r="R595" s="1"/>
      <c r="S595" s="1" t="str">
        <f>"NOS-58-B/17"</f>
        <v>NOS-58-B/17</v>
      </c>
      <c r="T595" s="2" t="s">
        <v>33</v>
      </c>
    </row>
    <row r="596" spans="1:20" ht="25.5" x14ac:dyDescent="0.25">
      <c r="A596" s="1">
        <v>592</v>
      </c>
      <c r="B596" s="1" t="str">
        <f>"2017-403"</f>
        <v>2017-403</v>
      </c>
      <c r="C596" s="2" t="s">
        <v>643</v>
      </c>
      <c r="D596" s="1" t="s">
        <v>644</v>
      </c>
      <c r="E596" s="3" t="str">
        <f>""</f>
        <v/>
      </c>
      <c r="F596" s="2" t="s">
        <v>27</v>
      </c>
      <c r="G596" s="2" t="str">
        <f>CONCATENATE("I.B. JAZBINA D.O.O.,"," JAZBINA 151,"," 10000 ZAGREB,"," OIB: 77265033209")</f>
        <v>I.B. JAZBINA D.O.O., JAZBINA 151, 10000 ZAGREB, OIB: 77265033209</v>
      </c>
      <c r="H596" s="4"/>
      <c r="I596" s="1" t="s">
        <v>596</v>
      </c>
      <c r="J596" s="1" t="s">
        <v>492</v>
      </c>
      <c r="K596" s="6" t="str">
        <f>"8.000,00"</f>
        <v>8.000,00</v>
      </c>
      <c r="L596" s="6" t="str">
        <f>"0,00"</f>
        <v>0,00</v>
      </c>
      <c r="M596" s="6" t="str">
        <f>"0,00"</f>
        <v>0,00</v>
      </c>
      <c r="N596" s="1" t="s">
        <v>117</v>
      </c>
      <c r="O596" s="7"/>
      <c r="P596" s="6" t="str">
        <f>"0,00"</f>
        <v>0,00</v>
      </c>
      <c r="Q596" s="7"/>
      <c r="R596" s="1"/>
      <c r="S596" s="1" t="str">
        <f>"1-19/NOS-58-B/17"</f>
        <v>1-19/NOS-58-B/17</v>
      </c>
      <c r="T596" s="2" t="s">
        <v>33</v>
      </c>
    </row>
    <row r="597" spans="1:20" ht="38.25" x14ac:dyDescent="0.25">
      <c r="A597" s="1">
        <v>593</v>
      </c>
      <c r="B597" s="1" t="str">
        <f>"2017-383"</f>
        <v>2017-383</v>
      </c>
      <c r="C597" s="2" t="s">
        <v>648</v>
      </c>
      <c r="D597" s="1" t="s">
        <v>649</v>
      </c>
      <c r="E597" s="3" t="str">
        <f>"2017/S 0F2-0008561"</f>
        <v>2017/S 0F2-0008561</v>
      </c>
      <c r="F597" s="2" t="s">
        <v>23</v>
      </c>
      <c r="G597" s="2" t="str">
        <f>CONCATENATE("JAKA D.O.O.,"," OGRIZOVIĆEVA 28/B,","  10 000 ZAGREB,"," OIB: 3770592196")</f>
        <v>JAKA D.O.O., OGRIZOVIĆEVA 28/B,  10 000 ZAGREB, OIB: 3770592196</v>
      </c>
      <c r="H597" s="4"/>
      <c r="I597" s="1" t="s">
        <v>577</v>
      </c>
      <c r="J597" s="1" t="s">
        <v>578</v>
      </c>
      <c r="K597" s="6" t="str">
        <f>"2.300.000,00"</f>
        <v>2.300.000,00</v>
      </c>
      <c r="L597" s="6" t="str">
        <f>"575.000,00"</f>
        <v>575.000,00</v>
      </c>
      <c r="M597" s="6" t="str">
        <f>"2.875.000,00"</f>
        <v>2.875.000,00</v>
      </c>
      <c r="N597" s="7"/>
      <c r="O597" s="7"/>
      <c r="P597" s="6" t="str">
        <f>""</f>
        <v/>
      </c>
      <c r="Q597" s="7"/>
      <c r="R597" s="1"/>
      <c r="S597" s="1" t="str">
        <f>"NOS-59-A/17"</f>
        <v>NOS-59-A/17</v>
      </c>
      <c r="T597" s="2" t="s">
        <v>33</v>
      </c>
    </row>
    <row r="598" spans="1:20" ht="25.5" x14ac:dyDescent="0.25">
      <c r="A598" s="1">
        <v>594</v>
      </c>
      <c r="B598" s="1" t="str">
        <f>"2017-383"</f>
        <v>2017-383</v>
      </c>
      <c r="C598" s="2" t="s">
        <v>648</v>
      </c>
      <c r="D598" s="1" t="s">
        <v>649</v>
      </c>
      <c r="E598" s="3" t="str">
        <f>""</f>
        <v/>
      </c>
      <c r="F598" s="2" t="s">
        <v>27</v>
      </c>
      <c r="G598" s="2" t="str">
        <f>CONCATENATE("JAKA D.O.O.,"," OGRIZOVIĆEVA 28/B,","  10 000 ZAGREB,"," OIB: 3770592196")</f>
        <v>JAKA D.O.O., OGRIZOVIĆEVA 28/B,  10 000 ZAGREB, OIB: 3770592196</v>
      </c>
      <c r="H598" s="4"/>
      <c r="I598" s="1" t="s">
        <v>317</v>
      </c>
      <c r="J598" s="1" t="s">
        <v>469</v>
      </c>
      <c r="K598" s="6" t="str">
        <f>"201.853,44"</f>
        <v>201.853,44</v>
      </c>
      <c r="L598" s="6" t="str">
        <f>"54.668,64"</f>
        <v>54.668,64</v>
      </c>
      <c r="M598" s="6" t="str">
        <f>"273.343,20"</f>
        <v>273.343,20</v>
      </c>
      <c r="N598" s="5">
        <v>43635</v>
      </c>
      <c r="O598" s="7"/>
      <c r="P598" s="6" t="str">
        <f>"273.343,20"</f>
        <v>273.343,20</v>
      </c>
      <c r="Q598" s="7"/>
      <c r="R598" s="1"/>
      <c r="S598" s="1" t="str">
        <f>"1-19/NOS-59-A/17"</f>
        <v>1-19/NOS-59-A/17</v>
      </c>
      <c r="T598" s="2" t="s">
        <v>33</v>
      </c>
    </row>
    <row r="599" spans="1:20" ht="38.25" x14ac:dyDescent="0.25">
      <c r="A599" s="1">
        <v>595</v>
      </c>
      <c r="B599" s="1" t="str">
        <f>"2017-383"</f>
        <v>2017-383</v>
      </c>
      <c r="C599" s="2" t="s">
        <v>648</v>
      </c>
      <c r="D599" s="1" t="s">
        <v>649</v>
      </c>
      <c r="E599" s="3" t="str">
        <f>"2017/S 0F2-0008561"</f>
        <v>2017/S 0F2-0008561</v>
      </c>
      <c r="F599" s="2" t="s">
        <v>23</v>
      </c>
      <c r="G599" s="2" t="str">
        <f>CONCATENATE("ARBORI CULTURA D.O.O.,"," POKUPSKO 86,"," 10414 POKUPSKO,"," OIB: 16690651659")</f>
        <v>ARBORI CULTURA D.O.O., POKUPSKO 86, 10414 POKUPSKO, OIB: 16690651659</v>
      </c>
      <c r="H599" s="4"/>
      <c r="I599" s="1" t="s">
        <v>616</v>
      </c>
      <c r="J599" s="1" t="s">
        <v>617</v>
      </c>
      <c r="K599" s="6" t="str">
        <f>"500.000,00"</f>
        <v>500.000,00</v>
      </c>
      <c r="L599" s="6" t="str">
        <f>"125.000,00"</f>
        <v>125.000,00</v>
      </c>
      <c r="M599" s="6" t="str">
        <f>"625.000,00"</f>
        <v>625.000,00</v>
      </c>
      <c r="N599" s="7"/>
      <c r="O599" s="7"/>
      <c r="P599" s="6" t="str">
        <f>""</f>
        <v/>
      </c>
      <c r="Q599" s="7"/>
      <c r="R599" s="1"/>
      <c r="S599" s="1" t="str">
        <f>"NOS-59-B/17"</f>
        <v>NOS-59-B/17</v>
      </c>
      <c r="T599" s="2" t="s">
        <v>33</v>
      </c>
    </row>
    <row r="600" spans="1:20" ht="25.5" x14ac:dyDescent="0.25">
      <c r="A600" s="1">
        <v>596</v>
      </c>
      <c r="B600" s="1" t="str">
        <f>"2017-383"</f>
        <v>2017-383</v>
      </c>
      <c r="C600" s="2" t="s">
        <v>648</v>
      </c>
      <c r="D600" s="1" t="s">
        <v>649</v>
      </c>
      <c r="E600" s="3" t="str">
        <f>""</f>
        <v/>
      </c>
      <c r="F600" s="2" t="s">
        <v>27</v>
      </c>
      <c r="G600" s="2" t="str">
        <f>CONCATENATE("ARBORI CULTURA D.O.O.,"," POKUPSKO 86,"," 10414 POKUPSKO,"," OIB: 16690651659")</f>
        <v>ARBORI CULTURA D.O.O., POKUPSKO 86, 10414 POKUPSKO, OIB: 16690651659</v>
      </c>
      <c r="H600" s="4"/>
      <c r="I600" s="1" t="s">
        <v>46</v>
      </c>
      <c r="J600" s="1" t="s">
        <v>121</v>
      </c>
      <c r="K600" s="6" t="str">
        <f>"65.400,00"</f>
        <v>65.400,00</v>
      </c>
      <c r="L600" s="6" t="str">
        <f>"12.272,25"</f>
        <v>12.272,25</v>
      </c>
      <c r="M600" s="6" t="str">
        <f>"61.361,25"</f>
        <v>61.361,25</v>
      </c>
      <c r="N600" s="5">
        <v>43690</v>
      </c>
      <c r="O600" s="7"/>
      <c r="P600" s="6" t="str">
        <f>"61.361,25"</f>
        <v>61.361,25</v>
      </c>
      <c r="Q600" s="7"/>
      <c r="R600" s="1"/>
      <c r="S600" s="1" t="str">
        <f>"1-19/NOS-59-B/17"</f>
        <v>1-19/NOS-59-B/17</v>
      </c>
      <c r="T600" s="2" t="s">
        <v>33</v>
      </c>
    </row>
    <row r="601" spans="1:20" ht="38.25" x14ac:dyDescent="0.25">
      <c r="A601" s="1">
        <v>597</v>
      </c>
      <c r="B601" s="1" t="str">
        <f>"2017-2484"</f>
        <v>2017-2484</v>
      </c>
      <c r="C601" s="2" t="s">
        <v>650</v>
      </c>
      <c r="D601" s="1" t="s">
        <v>651</v>
      </c>
      <c r="E601" s="3" t="str">
        <f>"2017/S 0F2-0011855"</f>
        <v>2017/S 0F2-0011855</v>
      </c>
      <c r="F601" s="2" t="s">
        <v>23</v>
      </c>
      <c r="G601" s="2" t="str">
        <f>CONCATENATE("OMEGA SOFTWARE D.O.O.,"," KAMENARKA 37,"," 10010 ZAGREB-SLOBOŠTINA,"," OIB: 40102169932")</f>
        <v>OMEGA SOFTWARE D.O.O., KAMENARKA 37, 10010 ZAGREB-SLOBOŠTINA, OIB: 40102169932</v>
      </c>
      <c r="H601" s="4"/>
      <c r="I601" s="1" t="s">
        <v>612</v>
      </c>
      <c r="J601" s="1" t="s">
        <v>613</v>
      </c>
      <c r="K601" s="6" t="str">
        <f>"12.000.000,00"</f>
        <v>12.000.000,00</v>
      </c>
      <c r="L601" s="6" t="str">
        <f>"3.000.000,00"</f>
        <v>3.000.000,00</v>
      </c>
      <c r="M601" s="6" t="str">
        <f>"15.000.000,00"</f>
        <v>15.000.000,00</v>
      </c>
      <c r="N601" s="7"/>
      <c r="O601" s="7"/>
      <c r="P601" s="6" t="str">
        <f>""</f>
        <v/>
      </c>
      <c r="Q601" s="7"/>
      <c r="R601" s="1"/>
      <c r="S601" s="1" t="str">
        <f>"NOS-60/17"</f>
        <v>NOS-60/17</v>
      </c>
      <c r="T601" s="2" t="s">
        <v>33</v>
      </c>
    </row>
    <row r="602" spans="1:20" ht="38.25" x14ac:dyDescent="0.25">
      <c r="A602" s="1">
        <v>598</v>
      </c>
      <c r="B602" s="1" t="str">
        <f>"2017-2484"</f>
        <v>2017-2484</v>
      </c>
      <c r="C602" s="2" t="s">
        <v>650</v>
      </c>
      <c r="D602" s="1" t="s">
        <v>651</v>
      </c>
      <c r="E602" s="3" t="str">
        <f>""</f>
        <v/>
      </c>
      <c r="F602" s="2" t="s">
        <v>27</v>
      </c>
      <c r="G602" s="2" t="str">
        <f>CONCATENATE("OMEGA SOFTWARE D.O.O.,"," KAMENARKA 37,"," 10010 ZAGREB-SLOBOŠTINA,"," OIB: 40102169932")</f>
        <v>OMEGA SOFTWARE D.O.O., KAMENARKA 37, 10010 ZAGREB-SLOBOŠTINA, OIB: 40102169932</v>
      </c>
      <c r="H602" s="4"/>
      <c r="I602" s="1" t="s">
        <v>652</v>
      </c>
      <c r="J602" s="1" t="s">
        <v>397</v>
      </c>
      <c r="K602" s="6" t="str">
        <f>"1.860.000,00"</f>
        <v>1.860.000,00</v>
      </c>
      <c r="L602" s="6" t="str">
        <f>"465.000,00"</f>
        <v>465.000,00</v>
      </c>
      <c r="M602" s="6" t="str">
        <f>"2.325.000,00"</f>
        <v>2.325.000,00</v>
      </c>
      <c r="N602" s="5">
        <v>43677</v>
      </c>
      <c r="O602" s="7"/>
      <c r="P602" s="6" t="str">
        <f>"1.743.750,00"</f>
        <v>1.743.750,00</v>
      </c>
      <c r="Q602" s="7"/>
      <c r="R602" s="1"/>
      <c r="S602" s="1" t="str">
        <f>"2-18/NOS-60/17"</f>
        <v>2-18/NOS-60/17</v>
      </c>
      <c r="T602" s="2" t="s">
        <v>33</v>
      </c>
    </row>
    <row r="603" spans="1:20" ht="38.25" x14ac:dyDescent="0.25">
      <c r="A603" s="1">
        <v>599</v>
      </c>
      <c r="B603" s="1" t="str">
        <f>"2017-2484"</f>
        <v>2017-2484</v>
      </c>
      <c r="C603" s="2" t="s">
        <v>650</v>
      </c>
      <c r="D603" s="1" t="s">
        <v>651</v>
      </c>
      <c r="E603" s="3" t="str">
        <f>""</f>
        <v/>
      </c>
      <c r="F603" s="2" t="s">
        <v>27</v>
      </c>
      <c r="G603" s="2" t="str">
        <f>CONCATENATE("OMEGA SOFTWARE D.O.O.,"," KAMENARKA 37,"," 10010 ZAGREB-SLOBOŠTINA,"," OIB: 40102169932")</f>
        <v>OMEGA SOFTWARE D.O.O., KAMENARKA 37, 10010 ZAGREB-SLOBOŠTINA, OIB: 40102169932</v>
      </c>
      <c r="H603" s="4"/>
      <c r="I603" s="1" t="s">
        <v>521</v>
      </c>
      <c r="J603" s="1" t="s">
        <v>121</v>
      </c>
      <c r="K603" s="6" t="str">
        <f>"99.450,00"</f>
        <v>99.450,00</v>
      </c>
      <c r="L603" s="6" t="str">
        <f>"0,00"</f>
        <v>0,00</v>
      </c>
      <c r="M603" s="6" t="str">
        <f>"0,00"</f>
        <v>0,00</v>
      </c>
      <c r="N603" s="1" t="s">
        <v>117</v>
      </c>
      <c r="O603" s="7"/>
      <c r="P603" s="6" t="str">
        <f>"0,00"</f>
        <v>0,00</v>
      </c>
      <c r="Q603" s="7"/>
      <c r="R603" s="1"/>
      <c r="S603" s="1" t="str">
        <f>"1-19/NOS-60/17"</f>
        <v>1-19/NOS-60/17</v>
      </c>
      <c r="T603" s="2" t="s">
        <v>33</v>
      </c>
    </row>
    <row r="604" spans="1:20" ht="38.25" x14ac:dyDescent="0.25">
      <c r="A604" s="1">
        <v>600</v>
      </c>
      <c r="B604" s="1" t="str">
        <f>"2017-2484"</f>
        <v>2017-2484</v>
      </c>
      <c r="C604" s="2" t="s">
        <v>650</v>
      </c>
      <c r="D604" s="1" t="s">
        <v>651</v>
      </c>
      <c r="E604" s="3" t="str">
        <f>""</f>
        <v/>
      </c>
      <c r="F604" s="2" t="s">
        <v>27</v>
      </c>
      <c r="G604" s="2" t="str">
        <f>CONCATENATE("OMEGA SOFTWARE D.O.O.,"," KAMENARKA 37,"," 10010 ZAGREB-SLOBOŠTINA,"," OIB: 40102169932")</f>
        <v>OMEGA SOFTWARE D.O.O., KAMENARKA 37, 10010 ZAGREB-SLOBOŠTINA, OIB: 40102169932</v>
      </c>
      <c r="H604" s="4"/>
      <c r="I604" s="1" t="s">
        <v>46</v>
      </c>
      <c r="J604" s="1" t="s">
        <v>121</v>
      </c>
      <c r="K604" s="6" t="str">
        <f>"70.650,00"</f>
        <v>70.650,00</v>
      </c>
      <c r="L604" s="6" t="str">
        <f>"0,00"</f>
        <v>0,00</v>
      </c>
      <c r="M604" s="6" t="str">
        <f>"0,00"</f>
        <v>0,00</v>
      </c>
      <c r="N604" s="1" t="s">
        <v>117</v>
      </c>
      <c r="O604" s="7"/>
      <c r="P604" s="6" t="str">
        <f>"0,00"</f>
        <v>0,00</v>
      </c>
      <c r="Q604" s="7"/>
      <c r="R604" s="1"/>
      <c r="S604" s="1" t="str">
        <f>"2-19/NOS-60/17"</f>
        <v>2-19/NOS-60/17</v>
      </c>
      <c r="T604" s="2" t="s">
        <v>33</v>
      </c>
    </row>
    <row r="605" spans="1:20" ht="38.25" x14ac:dyDescent="0.25">
      <c r="A605" s="1">
        <v>601</v>
      </c>
      <c r="B605" s="1" t="str">
        <f t="shared" ref="B605:B612" si="59">"2017-399"</f>
        <v>2017-399</v>
      </c>
      <c r="C605" s="2" t="s">
        <v>653</v>
      </c>
      <c r="D605" s="1" t="s">
        <v>382</v>
      </c>
      <c r="E605" s="3" t="str">
        <f t="shared" ref="E605:E612" si="60">"2017/S 0F2-0013414"</f>
        <v>2017/S 0F2-0013414</v>
      </c>
      <c r="F605" s="2" t="s">
        <v>23</v>
      </c>
      <c r="G605" s="2" t="str">
        <f t="shared" ref="G605:G612" si="61">CONCATENATE("AUTO HRVATSKA PRODAJNO SERVISNI CENTRI D.O.O.,"," ZASTAVNICE 25/C,"," 10251 HRVATSKI LESKOVAC,"," OIB: 87682591133")</f>
        <v>AUTO HRVATSKA PRODAJNO SERVISNI CENTRI D.O.O., ZASTAVNICE 25/C, 10251 HRVATSKI LESKOVAC, OIB: 87682591133</v>
      </c>
      <c r="H605" s="4"/>
      <c r="I605" s="1" t="s">
        <v>377</v>
      </c>
      <c r="J605" s="1" t="s">
        <v>378</v>
      </c>
      <c r="K605" s="6" t="str">
        <f>"2.800.000,00"</f>
        <v>2.800.000,00</v>
      </c>
      <c r="L605" s="6" t="str">
        <f>"700.000,00"</f>
        <v>700.000,00</v>
      </c>
      <c r="M605" s="6" t="str">
        <f>"3.500.000,00"</f>
        <v>3.500.000,00</v>
      </c>
      <c r="N605" s="7"/>
      <c r="O605" s="7"/>
      <c r="P605" s="6" t="str">
        <f>""</f>
        <v/>
      </c>
      <c r="Q605" s="7"/>
      <c r="R605" s="1"/>
      <c r="S605" s="1" t="str">
        <f>"NOS-61-A/17"</f>
        <v>NOS-61-A/17</v>
      </c>
      <c r="T605" s="2" t="s">
        <v>33</v>
      </c>
    </row>
    <row r="606" spans="1:20" ht="38.25" x14ac:dyDescent="0.25">
      <c r="A606" s="1">
        <v>602</v>
      </c>
      <c r="B606" s="1" t="str">
        <f t="shared" si="59"/>
        <v>2017-399</v>
      </c>
      <c r="C606" s="2" t="s">
        <v>653</v>
      </c>
      <c r="D606" s="1" t="s">
        <v>382</v>
      </c>
      <c r="E606" s="3" t="str">
        <f t="shared" si="60"/>
        <v>2017/S 0F2-0013414</v>
      </c>
      <c r="F606" s="2" t="s">
        <v>23</v>
      </c>
      <c r="G606" s="2" t="str">
        <f t="shared" si="61"/>
        <v>AUTO HRVATSKA PRODAJNO SERVISNI CENTRI D.O.O., ZASTAVNICE 25/C, 10251 HRVATSKI LESKOVAC, OIB: 87682591133</v>
      </c>
      <c r="H606" s="4"/>
      <c r="I606" s="1" t="s">
        <v>377</v>
      </c>
      <c r="J606" s="1" t="s">
        <v>378</v>
      </c>
      <c r="K606" s="6" t="str">
        <f>"1.000.000,00"</f>
        <v>1.000.000,00</v>
      </c>
      <c r="L606" s="6" t="str">
        <f>"250.000,00"</f>
        <v>250.000,00</v>
      </c>
      <c r="M606" s="6" t="str">
        <f>"1.250.000,00"</f>
        <v>1.250.000,00</v>
      </c>
      <c r="N606" s="7"/>
      <c r="O606" s="7"/>
      <c r="P606" s="6" t="str">
        <f>""</f>
        <v/>
      </c>
      <c r="Q606" s="7"/>
      <c r="R606" s="1"/>
      <c r="S606" s="1" t="str">
        <f>"NOS-61-B/17"</f>
        <v>NOS-61-B/17</v>
      </c>
      <c r="T606" s="2" t="s">
        <v>33</v>
      </c>
    </row>
    <row r="607" spans="1:20" ht="38.25" x14ac:dyDescent="0.25">
      <c r="A607" s="1">
        <v>603</v>
      </c>
      <c r="B607" s="1" t="str">
        <f t="shared" si="59"/>
        <v>2017-399</v>
      </c>
      <c r="C607" s="2" t="s">
        <v>653</v>
      </c>
      <c r="D607" s="1" t="s">
        <v>382</v>
      </c>
      <c r="E607" s="3" t="str">
        <f t="shared" si="60"/>
        <v>2017/S 0F2-0013414</v>
      </c>
      <c r="F607" s="2" t="s">
        <v>23</v>
      </c>
      <c r="G607" s="2" t="str">
        <f t="shared" si="61"/>
        <v>AUTO HRVATSKA PRODAJNO SERVISNI CENTRI D.O.O., ZASTAVNICE 25/C, 10251 HRVATSKI LESKOVAC, OIB: 87682591133</v>
      </c>
      <c r="H607" s="4"/>
      <c r="I607" s="1" t="s">
        <v>377</v>
      </c>
      <c r="J607" s="1" t="s">
        <v>378</v>
      </c>
      <c r="K607" s="6" t="str">
        <f>"3.500.000,00"</f>
        <v>3.500.000,00</v>
      </c>
      <c r="L607" s="6" t="str">
        <f>"875.000,00"</f>
        <v>875.000,00</v>
      </c>
      <c r="M607" s="6" t="str">
        <f>"4.375.000,00"</f>
        <v>4.375.000,00</v>
      </c>
      <c r="N607" s="7"/>
      <c r="O607" s="7"/>
      <c r="P607" s="6" t="str">
        <f>""</f>
        <v/>
      </c>
      <c r="Q607" s="7"/>
      <c r="R607" s="1"/>
      <c r="S607" s="1" t="str">
        <f>"NOS-61-C/17"</f>
        <v>NOS-61-C/17</v>
      </c>
      <c r="T607" s="2" t="s">
        <v>33</v>
      </c>
    </row>
    <row r="608" spans="1:20" ht="38.25" x14ac:dyDescent="0.25">
      <c r="A608" s="1">
        <v>604</v>
      </c>
      <c r="B608" s="1" t="str">
        <f t="shared" si="59"/>
        <v>2017-399</v>
      </c>
      <c r="C608" s="2" t="s">
        <v>653</v>
      </c>
      <c r="D608" s="1" t="s">
        <v>382</v>
      </c>
      <c r="E608" s="3" t="str">
        <f t="shared" si="60"/>
        <v>2017/S 0F2-0013414</v>
      </c>
      <c r="F608" s="2" t="s">
        <v>23</v>
      </c>
      <c r="G608" s="2" t="str">
        <f t="shared" si="61"/>
        <v>AUTO HRVATSKA PRODAJNO SERVISNI CENTRI D.O.O., ZASTAVNICE 25/C, 10251 HRVATSKI LESKOVAC, OIB: 87682591133</v>
      </c>
      <c r="H608" s="4"/>
      <c r="I608" s="1" t="s">
        <v>377</v>
      </c>
      <c r="J608" s="1" t="s">
        <v>378</v>
      </c>
      <c r="K608" s="6" t="str">
        <f>"3.200.000,00"</f>
        <v>3.200.000,00</v>
      </c>
      <c r="L608" s="6" t="str">
        <f>"800.000,00"</f>
        <v>800.000,00</v>
      </c>
      <c r="M608" s="6" t="str">
        <f>"4.000.000,00"</f>
        <v>4.000.000,00</v>
      </c>
      <c r="N608" s="7"/>
      <c r="O608" s="7"/>
      <c r="P608" s="6" t="str">
        <f>""</f>
        <v/>
      </c>
      <c r="Q608" s="7"/>
      <c r="R608" s="1"/>
      <c r="S608" s="1" t="str">
        <f>"NOS-61-D/17"</f>
        <v>NOS-61-D/17</v>
      </c>
      <c r="T608" s="2" t="s">
        <v>33</v>
      </c>
    </row>
    <row r="609" spans="1:20" ht="38.25" x14ac:dyDescent="0.25">
      <c r="A609" s="1">
        <v>605</v>
      </c>
      <c r="B609" s="1" t="str">
        <f t="shared" si="59"/>
        <v>2017-399</v>
      </c>
      <c r="C609" s="2" t="s">
        <v>653</v>
      </c>
      <c r="D609" s="1" t="s">
        <v>382</v>
      </c>
      <c r="E609" s="3" t="str">
        <f t="shared" si="60"/>
        <v>2017/S 0F2-0013414</v>
      </c>
      <c r="F609" s="2" t="s">
        <v>23</v>
      </c>
      <c r="G609" s="2" t="str">
        <f t="shared" si="61"/>
        <v>AUTO HRVATSKA PRODAJNO SERVISNI CENTRI D.O.O., ZASTAVNICE 25/C, 10251 HRVATSKI LESKOVAC, OIB: 87682591133</v>
      </c>
      <c r="H609" s="4"/>
      <c r="I609" s="1" t="s">
        <v>377</v>
      </c>
      <c r="J609" s="1" t="s">
        <v>378</v>
      </c>
      <c r="K609" s="6" t="str">
        <f>"400.000,00"</f>
        <v>400.000,00</v>
      </c>
      <c r="L609" s="6" t="str">
        <f>"100.000,00"</f>
        <v>100.000,00</v>
      </c>
      <c r="M609" s="6" t="str">
        <f>"500.000,00"</f>
        <v>500.000,00</v>
      </c>
      <c r="N609" s="7"/>
      <c r="O609" s="7"/>
      <c r="P609" s="6" t="str">
        <f>""</f>
        <v/>
      </c>
      <c r="Q609" s="7"/>
      <c r="R609" s="1"/>
      <c r="S609" s="1" t="str">
        <f>"NOS-61-E/17"</f>
        <v>NOS-61-E/17</v>
      </c>
      <c r="T609" s="2" t="s">
        <v>33</v>
      </c>
    </row>
    <row r="610" spans="1:20" ht="38.25" x14ac:dyDescent="0.25">
      <c r="A610" s="1">
        <v>606</v>
      </c>
      <c r="B610" s="1" t="str">
        <f t="shared" si="59"/>
        <v>2017-399</v>
      </c>
      <c r="C610" s="2" t="s">
        <v>653</v>
      </c>
      <c r="D610" s="1" t="s">
        <v>382</v>
      </c>
      <c r="E610" s="3" t="str">
        <f t="shared" si="60"/>
        <v>2017/S 0F2-0013414</v>
      </c>
      <c r="F610" s="2" t="s">
        <v>23</v>
      </c>
      <c r="G610" s="2" t="str">
        <f t="shared" si="61"/>
        <v>AUTO HRVATSKA PRODAJNO SERVISNI CENTRI D.O.O., ZASTAVNICE 25/C, 10251 HRVATSKI LESKOVAC, OIB: 87682591133</v>
      </c>
      <c r="H610" s="4"/>
      <c r="I610" s="1" t="s">
        <v>377</v>
      </c>
      <c r="J610" s="1" t="s">
        <v>378</v>
      </c>
      <c r="K610" s="6" t="str">
        <f>"3.600.000,00"</f>
        <v>3.600.000,00</v>
      </c>
      <c r="L610" s="6" t="str">
        <f>"900.000,00"</f>
        <v>900.000,00</v>
      </c>
      <c r="M610" s="6" t="str">
        <f>"4.500.000,00"</f>
        <v>4.500.000,00</v>
      </c>
      <c r="N610" s="7"/>
      <c r="O610" s="7"/>
      <c r="P610" s="6" t="str">
        <f>""</f>
        <v/>
      </c>
      <c r="Q610" s="7"/>
      <c r="R610" s="1"/>
      <c r="S610" s="1" t="str">
        <f>"NOS-61-F/17"</f>
        <v>NOS-61-F/17</v>
      </c>
      <c r="T610" s="2" t="s">
        <v>33</v>
      </c>
    </row>
    <row r="611" spans="1:20" ht="38.25" x14ac:dyDescent="0.25">
      <c r="A611" s="1">
        <v>607</v>
      </c>
      <c r="B611" s="1" t="str">
        <f t="shared" si="59"/>
        <v>2017-399</v>
      </c>
      <c r="C611" s="2" t="s">
        <v>653</v>
      </c>
      <c r="D611" s="1" t="s">
        <v>382</v>
      </c>
      <c r="E611" s="3" t="str">
        <f t="shared" si="60"/>
        <v>2017/S 0F2-0013414</v>
      </c>
      <c r="F611" s="2" t="s">
        <v>23</v>
      </c>
      <c r="G611" s="2" t="str">
        <f t="shared" si="61"/>
        <v>AUTO HRVATSKA PRODAJNO SERVISNI CENTRI D.O.O., ZASTAVNICE 25/C, 10251 HRVATSKI LESKOVAC, OIB: 87682591133</v>
      </c>
      <c r="H611" s="4"/>
      <c r="I611" s="1" t="s">
        <v>377</v>
      </c>
      <c r="J611" s="1" t="s">
        <v>378</v>
      </c>
      <c r="K611" s="6" t="str">
        <f>"1.500.000,00"</f>
        <v>1.500.000,00</v>
      </c>
      <c r="L611" s="6" t="str">
        <f>"375.000,00"</f>
        <v>375.000,00</v>
      </c>
      <c r="M611" s="6" t="str">
        <f>"1.875.000,00"</f>
        <v>1.875.000,00</v>
      </c>
      <c r="N611" s="7"/>
      <c r="O611" s="7"/>
      <c r="P611" s="6" t="str">
        <f>""</f>
        <v/>
      </c>
      <c r="Q611" s="7"/>
      <c r="R611" s="1"/>
      <c r="S611" s="1" t="str">
        <f>"NOS-61-G/17"</f>
        <v>NOS-61-G/17</v>
      </c>
      <c r="T611" s="2" t="s">
        <v>33</v>
      </c>
    </row>
    <row r="612" spans="1:20" ht="38.25" x14ac:dyDescent="0.25">
      <c r="A612" s="1">
        <v>608</v>
      </c>
      <c r="B612" s="1" t="str">
        <f t="shared" si="59"/>
        <v>2017-399</v>
      </c>
      <c r="C612" s="2" t="s">
        <v>653</v>
      </c>
      <c r="D612" s="1" t="s">
        <v>382</v>
      </c>
      <c r="E612" s="3" t="str">
        <f t="shared" si="60"/>
        <v>2017/S 0F2-0013414</v>
      </c>
      <c r="F612" s="2" t="s">
        <v>23</v>
      </c>
      <c r="G612" s="2" t="str">
        <f t="shared" si="61"/>
        <v>AUTO HRVATSKA PRODAJNO SERVISNI CENTRI D.O.O., ZASTAVNICE 25/C, 10251 HRVATSKI LESKOVAC, OIB: 87682591133</v>
      </c>
      <c r="H612" s="4"/>
      <c r="I612" s="1" t="s">
        <v>377</v>
      </c>
      <c r="J612" s="1" t="s">
        <v>378</v>
      </c>
      <c r="K612" s="6" t="str">
        <f>"2.000.000,00"</f>
        <v>2.000.000,00</v>
      </c>
      <c r="L612" s="6" t="str">
        <f>"500.000,00"</f>
        <v>500.000,00</v>
      </c>
      <c r="M612" s="6" t="str">
        <f>"2.500.000,00"</f>
        <v>2.500.000,00</v>
      </c>
      <c r="N612" s="7"/>
      <c r="O612" s="7"/>
      <c r="P612" s="6" t="str">
        <f>""</f>
        <v/>
      </c>
      <c r="Q612" s="7"/>
      <c r="R612" s="1"/>
      <c r="S612" s="1" t="str">
        <f>"NOS-61-H/17"</f>
        <v>NOS-61-H/17</v>
      </c>
      <c r="T612" s="2" t="s">
        <v>33</v>
      </c>
    </row>
    <row r="613" spans="1:20" ht="153" x14ac:dyDescent="0.25">
      <c r="A613" s="1">
        <v>609</v>
      </c>
      <c r="B613" s="1" t="str">
        <f t="shared" ref="B613:B621" si="62">"2017-84"</f>
        <v>2017-84</v>
      </c>
      <c r="C613" s="2" t="s">
        <v>654</v>
      </c>
      <c r="D613" s="1" t="s">
        <v>655</v>
      </c>
      <c r="E613" s="3" t="str">
        <f>"2017/S F14-0009859"</f>
        <v>2017/S F14-0009859</v>
      </c>
      <c r="F613" s="2" t="s">
        <v>23</v>
      </c>
      <c r="G613" s="2" t="str">
        <f t="shared" ref="G613:G621" si="63">CONCATENATE("BDO Croatia d.o.o.,"," TRG JOHN FITZGERALD KENNEDY 6B,"," 10000 ZAGREB,"," OIB: 76394522236")</f>
        <v>BDO Croatia d.o.o., TRG JOHN FITZGERALD KENNEDY 6B, 10000 ZAGREB, OIB: 76394522236</v>
      </c>
      <c r="H613" s="4"/>
      <c r="I613" s="1" t="s">
        <v>656</v>
      </c>
      <c r="J613" s="1" t="s">
        <v>657</v>
      </c>
      <c r="K613" s="6" t="str">
        <f>"4.809.600,00"</f>
        <v>4.809.600,00</v>
      </c>
      <c r="L613" s="6" t="str">
        <f>"1.202.400,00"</f>
        <v>1.202.400,00</v>
      </c>
      <c r="M613" s="6" t="str">
        <f>"6.012.000,00"</f>
        <v>6.012.000,00</v>
      </c>
      <c r="N613" s="7"/>
      <c r="O613" s="7"/>
      <c r="P613" s="6" t="str">
        <f>""</f>
        <v/>
      </c>
      <c r="Q613" s="7"/>
      <c r="R613" s="1"/>
      <c r="S613" s="1" t="str">
        <f>"NOS-62/17"</f>
        <v>NOS-62/17</v>
      </c>
      <c r="T613" s="2" t="s">
        <v>658</v>
      </c>
    </row>
    <row r="614" spans="1:20" ht="38.25" x14ac:dyDescent="0.25">
      <c r="A614" s="1">
        <v>610</v>
      </c>
      <c r="B614" s="1" t="str">
        <f t="shared" si="62"/>
        <v>2017-84</v>
      </c>
      <c r="C614" s="2" t="s">
        <v>654</v>
      </c>
      <c r="D614" s="4"/>
      <c r="E614" s="3" t="str">
        <f>""</f>
        <v/>
      </c>
      <c r="F614" s="2" t="s">
        <v>27</v>
      </c>
      <c r="G614" s="2" t="str">
        <f t="shared" si="63"/>
        <v>BDO Croatia d.o.o., TRG JOHN FITZGERALD KENNEDY 6B, 10000 ZAGREB, OIB: 76394522236</v>
      </c>
      <c r="H614" s="4"/>
      <c r="I614" s="1" t="s">
        <v>659</v>
      </c>
      <c r="J614" s="1" t="s">
        <v>42</v>
      </c>
      <c r="K614" s="6" t="str">
        <f>"156.750,00"</f>
        <v>156.750,00</v>
      </c>
      <c r="L614" s="6" t="str">
        <f>"39.187,50"</f>
        <v>39.187,50</v>
      </c>
      <c r="M614" s="6" t="str">
        <f>"195.937,50"</f>
        <v>195.937,50</v>
      </c>
      <c r="N614" s="5">
        <v>43585</v>
      </c>
      <c r="O614" s="7"/>
      <c r="P614" s="6" t="str">
        <f>"195.937,50"</f>
        <v>195.937,50</v>
      </c>
      <c r="Q614" s="7"/>
      <c r="R614" s="1"/>
      <c r="S614" s="1" t="str">
        <f>"1-18/NOS-62/17"</f>
        <v>1-18/NOS-62/17</v>
      </c>
      <c r="T614" s="2" t="s">
        <v>33</v>
      </c>
    </row>
    <row r="615" spans="1:20" ht="38.25" x14ac:dyDescent="0.25">
      <c r="A615" s="1">
        <v>611</v>
      </c>
      <c r="B615" s="1" t="str">
        <f t="shared" si="62"/>
        <v>2017-84</v>
      </c>
      <c r="C615" s="2" t="s">
        <v>654</v>
      </c>
      <c r="D615" s="1" t="s">
        <v>655</v>
      </c>
      <c r="E615" s="3" t="str">
        <f>""</f>
        <v/>
      </c>
      <c r="F615" s="2" t="s">
        <v>27</v>
      </c>
      <c r="G615" s="2" t="str">
        <f t="shared" si="63"/>
        <v>BDO Croatia d.o.o., TRG JOHN FITZGERALD KENNEDY 6B, 10000 ZAGREB, OIB: 76394522236</v>
      </c>
      <c r="H615" s="4"/>
      <c r="I615" s="1" t="s">
        <v>659</v>
      </c>
      <c r="J615" s="1" t="s">
        <v>42</v>
      </c>
      <c r="K615" s="6" t="str">
        <f>"65.000,00"</f>
        <v>65.000,00</v>
      </c>
      <c r="L615" s="6" t="str">
        <f>"16.250,00"</f>
        <v>16.250,00</v>
      </c>
      <c r="M615" s="6" t="str">
        <f>"81.250,00"</f>
        <v>81.250,00</v>
      </c>
      <c r="N615" s="5">
        <v>43585</v>
      </c>
      <c r="O615" s="7"/>
      <c r="P615" s="6" t="str">
        <f>"81.250,00"</f>
        <v>81.250,00</v>
      </c>
      <c r="Q615" s="7"/>
      <c r="R615" s="1"/>
      <c r="S615" s="1" t="str">
        <f>"3-18/NOS-62/17"</f>
        <v>3-18/NOS-62/17</v>
      </c>
      <c r="T615" s="2" t="s">
        <v>60</v>
      </c>
    </row>
    <row r="616" spans="1:20" ht="38.25" x14ac:dyDescent="0.25">
      <c r="A616" s="1">
        <v>612</v>
      </c>
      <c r="B616" s="1" t="str">
        <f t="shared" si="62"/>
        <v>2017-84</v>
      </c>
      <c r="C616" s="2" t="s">
        <v>654</v>
      </c>
      <c r="D616" s="1" t="s">
        <v>655</v>
      </c>
      <c r="E616" s="3" t="str">
        <f>""</f>
        <v/>
      </c>
      <c r="F616" s="2" t="s">
        <v>27</v>
      </c>
      <c r="G616" s="2" t="str">
        <f t="shared" si="63"/>
        <v>BDO Croatia d.o.o., TRG JOHN FITZGERALD KENNEDY 6B, 10000 ZAGREB, OIB: 76394522236</v>
      </c>
      <c r="H616" s="4"/>
      <c r="I616" s="1" t="s">
        <v>134</v>
      </c>
      <c r="J616" s="1" t="s">
        <v>42</v>
      </c>
      <c r="K616" s="6" t="str">
        <f>"95.000,00"</f>
        <v>95.000,00</v>
      </c>
      <c r="L616" s="6" t="str">
        <f>"23.750,00"</f>
        <v>23.750,00</v>
      </c>
      <c r="M616" s="6" t="str">
        <f>"118.750,00"</f>
        <v>118.750,00</v>
      </c>
      <c r="N616" s="5">
        <v>43585</v>
      </c>
      <c r="O616" s="7"/>
      <c r="P616" s="6" t="str">
        <f>"118.750,00"</f>
        <v>118.750,00</v>
      </c>
      <c r="Q616" s="7"/>
      <c r="R616" s="1"/>
      <c r="S616" s="1" t="str">
        <f>"4-18/NOS-62/17"</f>
        <v>4-18/NOS-62/17</v>
      </c>
      <c r="T616" s="2" t="s">
        <v>29</v>
      </c>
    </row>
    <row r="617" spans="1:20" ht="38.25" x14ac:dyDescent="0.25">
      <c r="A617" s="1">
        <v>613</v>
      </c>
      <c r="B617" s="1" t="str">
        <f t="shared" si="62"/>
        <v>2017-84</v>
      </c>
      <c r="C617" s="2" t="s">
        <v>654</v>
      </c>
      <c r="D617" s="1" t="s">
        <v>655</v>
      </c>
      <c r="E617" s="3" t="str">
        <f>""</f>
        <v/>
      </c>
      <c r="F617" s="2" t="s">
        <v>27</v>
      </c>
      <c r="G617" s="2" t="str">
        <f t="shared" si="63"/>
        <v>BDO Croatia d.o.o., TRG JOHN FITZGERALD KENNEDY 6B, 10000 ZAGREB, OIB: 76394522236</v>
      </c>
      <c r="H617" s="4"/>
      <c r="I617" s="1" t="s">
        <v>659</v>
      </c>
      <c r="J617" s="1" t="s">
        <v>42</v>
      </c>
      <c r="K617" s="6" t="str">
        <f>"50.000,00"</f>
        <v>50.000,00</v>
      </c>
      <c r="L617" s="6" t="str">
        <f>"12.500,00"</f>
        <v>12.500,00</v>
      </c>
      <c r="M617" s="6" t="str">
        <f>"62.500,00"</f>
        <v>62.500,00</v>
      </c>
      <c r="N617" s="1" t="s">
        <v>117</v>
      </c>
      <c r="O617" s="7"/>
      <c r="P617" s="6" t="str">
        <f>""</f>
        <v/>
      </c>
      <c r="Q617" s="7"/>
      <c r="R617" s="1"/>
      <c r="S617" s="1" t="str">
        <f>"5-18/NOS-62/17"</f>
        <v>5-18/NOS-62/17</v>
      </c>
      <c r="T617" s="2" t="s">
        <v>65</v>
      </c>
    </row>
    <row r="618" spans="1:20" ht="38.25" x14ac:dyDescent="0.25">
      <c r="A618" s="1">
        <v>614</v>
      </c>
      <c r="B618" s="1" t="str">
        <f t="shared" si="62"/>
        <v>2017-84</v>
      </c>
      <c r="C618" s="2" t="s">
        <v>654</v>
      </c>
      <c r="D618" s="1" t="s">
        <v>655</v>
      </c>
      <c r="E618" s="3" t="str">
        <f>""</f>
        <v/>
      </c>
      <c r="F618" s="2" t="s">
        <v>27</v>
      </c>
      <c r="G618" s="2" t="str">
        <f t="shared" si="63"/>
        <v>BDO Croatia d.o.o., TRG JOHN FITZGERALD KENNEDY 6B, 10000 ZAGREB, OIB: 76394522236</v>
      </c>
      <c r="H618" s="4"/>
      <c r="I618" s="1" t="s">
        <v>659</v>
      </c>
      <c r="J618" s="1" t="s">
        <v>42</v>
      </c>
      <c r="K618" s="6" t="str">
        <f>"5.000,00"</f>
        <v>5.000,00</v>
      </c>
      <c r="L618" s="6" t="str">
        <f>"1.250,00"</f>
        <v>1.250,00</v>
      </c>
      <c r="M618" s="6" t="str">
        <f>"6.250,00"</f>
        <v>6.250,00</v>
      </c>
      <c r="N618" s="5">
        <v>43235</v>
      </c>
      <c r="O618" s="7"/>
      <c r="P618" s="6" t="str">
        <f>"6.250,00"</f>
        <v>6.250,00</v>
      </c>
      <c r="Q618" s="7"/>
      <c r="R618" s="1"/>
      <c r="S618" s="1" t="str">
        <f>"6-18/NOS-62/17"</f>
        <v>6-18/NOS-62/17</v>
      </c>
      <c r="T618" s="2" t="s">
        <v>112</v>
      </c>
    </row>
    <row r="619" spans="1:20" ht="38.25" x14ac:dyDescent="0.25">
      <c r="A619" s="1">
        <v>615</v>
      </c>
      <c r="B619" s="1" t="str">
        <f t="shared" si="62"/>
        <v>2017-84</v>
      </c>
      <c r="C619" s="2" t="s">
        <v>654</v>
      </c>
      <c r="D619" s="1" t="s">
        <v>655</v>
      </c>
      <c r="E619" s="3" t="str">
        <f>""</f>
        <v/>
      </c>
      <c r="F619" s="2" t="s">
        <v>27</v>
      </c>
      <c r="G619" s="2" t="str">
        <f t="shared" si="63"/>
        <v>BDO Croatia d.o.o., TRG JOHN FITZGERALD KENNEDY 6B, 10000 ZAGREB, OIB: 76394522236</v>
      </c>
      <c r="H619" s="4"/>
      <c r="I619" s="1" t="s">
        <v>659</v>
      </c>
      <c r="J619" s="1" t="s">
        <v>42</v>
      </c>
      <c r="K619" s="6" t="str">
        <f>"26.250,00"</f>
        <v>26.250,00</v>
      </c>
      <c r="L619" s="6" t="str">
        <f>"6.562,50"</f>
        <v>6.562,50</v>
      </c>
      <c r="M619" s="6" t="str">
        <f>"32.812,50"</f>
        <v>32.812,50</v>
      </c>
      <c r="N619" s="1" t="s">
        <v>117</v>
      </c>
      <c r="O619" s="7"/>
      <c r="P619" s="6" t="str">
        <f>""</f>
        <v/>
      </c>
      <c r="Q619" s="7"/>
      <c r="R619" s="1"/>
      <c r="S619" s="1" t="str">
        <f>"7-18/NOS-62/17"</f>
        <v>7-18/NOS-62/17</v>
      </c>
      <c r="T619" s="2" t="s">
        <v>660</v>
      </c>
    </row>
    <row r="620" spans="1:20" ht="38.25" x14ac:dyDescent="0.25">
      <c r="A620" s="1">
        <v>616</v>
      </c>
      <c r="B620" s="1" t="str">
        <f t="shared" si="62"/>
        <v>2017-84</v>
      </c>
      <c r="C620" s="2" t="s">
        <v>654</v>
      </c>
      <c r="D620" s="1" t="s">
        <v>655</v>
      </c>
      <c r="E620" s="3" t="str">
        <f>""</f>
        <v/>
      </c>
      <c r="F620" s="2" t="s">
        <v>27</v>
      </c>
      <c r="G620" s="2" t="str">
        <f t="shared" si="63"/>
        <v>BDO Croatia d.o.o., TRG JOHN FITZGERALD KENNEDY 6B, 10000 ZAGREB, OIB: 76394522236</v>
      </c>
      <c r="H620" s="4"/>
      <c r="I620" s="1" t="s">
        <v>659</v>
      </c>
      <c r="J620" s="1" t="s">
        <v>42</v>
      </c>
      <c r="K620" s="6" t="str">
        <f>"7.000,00"</f>
        <v>7.000,00</v>
      </c>
      <c r="L620" s="6" t="str">
        <f>"1.750,00"</f>
        <v>1.750,00</v>
      </c>
      <c r="M620" s="6" t="str">
        <f>"8.750,00"</f>
        <v>8.750,00</v>
      </c>
      <c r="N620" s="1" t="s">
        <v>117</v>
      </c>
      <c r="O620" s="7"/>
      <c r="P620" s="6" t="str">
        <f>""</f>
        <v/>
      </c>
      <c r="Q620" s="7"/>
      <c r="R620" s="1"/>
      <c r="S620" s="1" t="str">
        <f>"8-18/NOS-62/17"</f>
        <v>8-18/NOS-62/17</v>
      </c>
      <c r="T620" s="2" t="s">
        <v>661</v>
      </c>
    </row>
    <row r="621" spans="1:20" ht="38.25" x14ac:dyDescent="0.25">
      <c r="A621" s="1">
        <v>617</v>
      </c>
      <c r="B621" s="1" t="str">
        <f t="shared" si="62"/>
        <v>2017-84</v>
      </c>
      <c r="C621" s="2" t="s">
        <v>654</v>
      </c>
      <c r="D621" s="1" t="s">
        <v>655</v>
      </c>
      <c r="E621" s="3" t="str">
        <f>""</f>
        <v/>
      </c>
      <c r="F621" s="2" t="s">
        <v>27</v>
      </c>
      <c r="G621" s="2" t="str">
        <f t="shared" si="63"/>
        <v>BDO Croatia d.o.o., TRG JOHN FITZGERALD KENNEDY 6B, 10000 ZAGREB, OIB: 76394522236</v>
      </c>
      <c r="H621" s="4"/>
      <c r="I621" s="1" t="s">
        <v>659</v>
      </c>
      <c r="J621" s="1" t="s">
        <v>42</v>
      </c>
      <c r="K621" s="6" t="str">
        <f>"30.000,00"</f>
        <v>30.000,00</v>
      </c>
      <c r="L621" s="6" t="str">
        <f>"7.500,00"</f>
        <v>7.500,00</v>
      </c>
      <c r="M621" s="6" t="str">
        <f>"37.500,00"</f>
        <v>37.500,00</v>
      </c>
      <c r="N621" s="1" t="s">
        <v>117</v>
      </c>
      <c r="O621" s="7"/>
      <c r="P621" s="6" t="str">
        <f>""</f>
        <v/>
      </c>
      <c r="Q621" s="7"/>
      <c r="R621" s="1"/>
      <c r="S621" s="1" t="str">
        <f>"9-18/NOS-62/17"</f>
        <v>9-18/NOS-62/17</v>
      </c>
      <c r="T621" s="2" t="s">
        <v>662</v>
      </c>
    </row>
    <row r="622" spans="1:20" ht="165.75" x14ac:dyDescent="0.25">
      <c r="A622" s="1">
        <v>618</v>
      </c>
      <c r="B622" s="1" t="str">
        <f t="shared" ref="B622:B634" si="64">"2017-358"</f>
        <v>2017-358</v>
      </c>
      <c r="C622" s="2" t="s">
        <v>663</v>
      </c>
      <c r="D622" s="1" t="s">
        <v>664</v>
      </c>
      <c r="E622" s="3" t="str">
        <f>"2017/S F14-0014602"</f>
        <v>2017/S F14-0014602</v>
      </c>
      <c r="F622" s="2" t="s">
        <v>23</v>
      </c>
      <c r="G622" s="2" t="str">
        <f>CONCATENATE("SMIT-COMMERCE D.O.O.,"," GORNJOSTUPNIČKA 9B,"," 10255 GORNJI STUPNIK,"," OIB: 95243482140",CHAR(10),"TELUR D.O.O.,"," DUBRAVKIN TRG 5,"," 10000 ZAGREB,"," OIB: 64720212310",CHAR(10),"ELEKTROCENTAR PETEK D.O.O.,"," ETANSKA CESTA 8,"," 10310 IVANIĆ-GRAD,"," OIB: 17491977848",CHAR(10),"SREBRA SYSTEM D.O.O.,"," ŠTEFANOVEČKA 70,"," 10000 ZAGREB,"," OIB: 98129069172",CHAR(10),"ELEKTRO-KOMUNIKACIJE D.O.O.,"," 14. PODBREŽJE 4,"," 10000 ZAGREB,"," OIB: 76412373309")</f>
        <v>SMIT-COMMERCE D.O.O., GORNJOSTUPNIČKA 9B, 10255 GORNJI STUPNIK, OIB: 95243482140
TELUR D.O.O., DUBRAVKIN TRG 5, 10000 ZAGREB, OIB: 64720212310
ELEKTROCENTAR PETEK D.O.O., ETANSKA CESTA 8, 10310 IVANIĆ-GRAD, OIB: 17491977848
SREBRA SYSTEM D.O.O., ŠTEFANOVEČKA 70, 10000 ZAGREB, OIB: 98129069172
ELEKTRO-KOMUNIKACIJE D.O.O., 14. PODBREŽJE 4, 10000 ZAGREB, OIB: 76412373309</v>
      </c>
      <c r="H622" s="4"/>
      <c r="I622" s="1" t="s">
        <v>665</v>
      </c>
      <c r="J622" s="1" t="s">
        <v>666</v>
      </c>
      <c r="K622" s="6" t="str">
        <f>"1.800.000,00"</f>
        <v>1.800.000,00</v>
      </c>
      <c r="L622" s="6" t="str">
        <f>"450.000,00"</f>
        <v>450.000,00</v>
      </c>
      <c r="M622" s="6" t="str">
        <f>"2.250.000,00"</f>
        <v>2.250.000,00</v>
      </c>
      <c r="N622" s="7"/>
      <c r="O622" s="7"/>
      <c r="P622" s="6" t="str">
        <f>""</f>
        <v/>
      </c>
      <c r="Q622" s="7"/>
      <c r="R622" s="1"/>
      <c r="S622" s="1" t="str">
        <f>"NOS-63-A/17"</f>
        <v>NOS-63-A/17</v>
      </c>
      <c r="T622" s="2" t="s">
        <v>667</v>
      </c>
    </row>
    <row r="623" spans="1:20" ht="38.25" x14ac:dyDescent="0.25">
      <c r="A623" s="1">
        <v>619</v>
      </c>
      <c r="B623" s="1" t="str">
        <f t="shared" si="64"/>
        <v>2017-358</v>
      </c>
      <c r="C623" s="2" t="s">
        <v>663</v>
      </c>
      <c r="D623" s="1" t="s">
        <v>664</v>
      </c>
      <c r="E623" s="3" t="str">
        <f>""</f>
        <v/>
      </c>
      <c r="F623" s="2" t="s">
        <v>27</v>
      </c>
      <c r="G623" s="2" t="str">
        <f>CONCATENATE("SMIT-COMMERCE D.O.O.,"," GORNJOSTUPNIČKA 9B,"," 10255 GORNJI STUPNIK,"," OIB: 9524348214")</f>
        <v>SMIT-COMMERCE D.O.O., GORNJOSTUPNIČKA 9B, 10255 GORNJI STUPNIK, OIB: 9524348214</v>
      </c>
      <c r="H623" s="4"/>
      <c r="I623" s="1" t="s">
        <v>668</v>
      </c>
      <c r="J623" s="1" t="s">
        <v>64</v>
      </c>
      <c r="K623" s="6" t="str">
        <f>"19.725,80"</f>
        <v>19.725,80</v>
      </c>
      <c r="L623" s="6" t="str">
        <f>"4.931,45"</f>
        <v>4.931,45</v>
      </c>
      <c r="M623" s="6" t="str">
        <f>"24.657,25"</f>
        <v>24.657,25</v>
      </c>
      <c r="N623" s="5">
        <v>43655</v>
      </c>
      <c r="O623" s="7"/>
      <c r="P623" s="6" t="str">
        <f>"20.182,99"</f>
        <v>20.182,99</v>
      </c>
      <c r="Q623" s="7"/>
      <c r="R623" s="1"/>
      <c r="S623" s="1" t="str">
        <f>"9-18/NOS-63-A/17"</f>
        <v>9-18/NOS-63-A/17</v>
      </c>
      <c r="T623" s="2" t="s">
        <v>33</v>
      </c>
    </row>
    <row r="624" spans="1:20" ht="25.5" x14ac:dyDescent="0.25">
      <c r="A624" s="1">
        <v>620</v>
      </c>
      <c r="B624" s="1" t="str">
        <f t="shared" si="64"/>
        <v>2017-358</v>
      </c>
      <c r="C624" s="2" t="s">
        <v>663</v>
      </c>
      <c r="D624" s="4"/>
      <c r="E624" s="3" t="str">
        <f>""</f>
        <v/>
      </c>
      <c r="F624" s="2" t="s">
        <v>27</v>
      </c>
      <c r="G624" s="2" t="str">
        <f>CONCATENATE("TELUR D.O.O.,"," DUBRAVKIN TRG 5,"," 10000 ZAGREB,"," OIB: 647202123")</f>
        <v>TELUR D.O.O., DUBRAVKIN TRG 5, 10000 ZAGREB, OIB: 647202123</v>
      </c>
      <c r="H624" s="4"/>
      <c r="I624" s="1" t="s">
        <v>317</v>
      </c>
      <c r="J624" s="1" t="s">
        <v>669</v>
      </c>
      <c r="K624" s="6" t="str">
        <f>"62.140,85"</f>
        <v>62.140,85</v>
      </c>
      <c r="L624" s="6" t="str">
        <f>"15.535,21"</f>
        <v>15.535,21</v>
      </c>
      <c r="M624" s="6" t="str">
        <f>"77.676,06"</f>
        <v>77.676,06</v>
      </c>
      <c r="N624" s="5">
        <v>43690</v>
      </c>
      <c r="O624" s="7"/>
      <c r="P624" s="6" t="str">
        <f>"1.887,28"</f>
        <v>1.887,28</v>
      </c>
      <c r="Q624" s="7"/>
      <c r="R624" s="1"/>
      <c r="S624" s="1" t="str">
        <f>"4-19/NOS-63-A/17"</f>
        <v>4-19/NOS-63-A/17</v>
      </c>
      <c r="T624" s="2" t="s">
        <v>29</v>
      </c>
    </row>
    <row r="625" spans="1:20" ht="38.25" x14ac:dyDescent="0.25">
      <c r="A625" s="1">
        <v>621</v>
      </c>
      <c r="B625" s="1" t="str">
        <f t="shared" si="64"/>
        <v>2017-358</v>
      </c>
      <c r="C625" s="2" t="s">
        <v>663</v>
      </c>
      <c r="D625" s="1" t="s">
        <v>664</v>
      </c>
      <c r="E625" s="3" t="str">
        <f>""</f>
        <v/>
      </c>
      <c r="F625" s="2" t="s">
        <v>27</v>
      </c>
      <c r="G625" s="2" t="str">
        <f>CONCATENATE("SREBRA SYSTEM D.O.O.,"," ŠTEFANOVEČKA 70,"," 10000 ZAGREB,"," OIB: 98129069172")</f>
        <v>SREBRA SYSTEM D.O.O., ŠTEFANOVEČKA 70, 10000 ZAGREB, OIB: 98129069172</v>
      </c>
      <c r="H625" s="4"/>
      <c r="I625" s="1" t="s">
        <v>200</v>
      </c>
      <c r="J625" s="1" t="s">
        <v>140</v>
      </c>
      <c r="K625" s="6" t="str">
        <f>"3.097,00"</f>
        <v>3.097,00</v>
      </c>
      <c r="L625" s="6" t="str">
        <f>"774,25"</f>
        <v>774,25</v>
      </c>
      <c r="M625" s="6" t="str">
        <f>"3.871,25"</f>
        <v>3.871,25</v>
      </c>
      <c r="N625" s="5">
        <v>43528</v>
      </c>
      <c r="O625" s="7"/>
      <c r="P625" s="6" t="str">
        <f>"2.845,00"</f>
        <v>2.845,00</v>
      </c>
      <c r="Q625" s="7"/>
      <c r="R625" s="1"/>
      <c r="S625" s="1" t="str">
        <f>"11-18/NOS-63-A/17"</f>
        <v>11-18/NOS-63-A/17</v>
      </c>
      <c r="T625" s="2" t="s">
        <v>26</v>
      </c>
    </row>
    <row r="626" spans="1:20" ht="38.25" x14ac:dyDescent="0.25">
      <c r="A626" s="1">
        <v>622</v>
      </c>
      <c r="B626" s="1" t="str">
        <f t="shared" si="64"/>
        <v>2017-358</v>
      </c>
      <c r="C626" s="2" t="s">
        <v>663</v>
      </c>
      <c r="D626" s="1" t="s">
        <v>664</v>
      </c>
      <c r="E626" s="3" t="str">
        <f>""</f>
        <v/>
      </c>
      <c r="F626" s="2" t="s">
        <v>27</v>
      </c>
      <c r="G626" s="2" t="str">
        <f>CONCATENATE("SMIT-COMMERCE D.O.O.,"," GORNJOSTUPNIČKA 9B,"," 10255 GORNJI STUPNIK,"," OIB: 9524348214")</f>
        <v>SMIT-COMMERCE D.O.O., GORNJOSTUPNIČKA 9B, 10255 GORNJI STUPNIK, OIB: 9524348214</v>
      </c>
      <c r="H626" s="4"/>
      <c r="I626" s="1" t="s">
        <v>670</v>
      </c>
      <c r="J626" s="1" t="s">
        <v>64</v>
      </c>
      <c r="K626" s="6" t="str">
        <f>"7.246,96"</f>
        <v>7.246,96</v>
      </c>
      <c r="L626" s="6" t="str">
        <f>"1.811,74"</f>
        <v>1.811,74</v>
      </c>
      <c r="M626" s="6" t="str">
        <f>"9.058,70"</f>
        <v>9.058,70</v>
      </c>
      <c r="N626" s="5">
        <v>43552</v>
      </c>
      <c r="O626" s="7"/>
      <c r="P626" s="6" t="str">
        <f>"9.058,70"</f>
        <v>9.058,70</v>
      </c>
      <c r="Q626" s="7"/>
      <c r="R626" s="1"/>
      <c r="S626" s="1" t="str">
        <f>"1-19/NOS-63-A/17"</f>
        <v>1-19/NOS-63-A/17</v>
      </c>
      <c r="T626" s="2" t="s">
        <v>33</v>
      </c>
    </row>
    <row r="627" spans="1:20" ht="38.25" x14ac:dyDescent="0.25">
      <c r="A627" s="1">
        <v>623</v>
      </c>
      <c r="B627" s="1" t="str">
        <f t="shared" si="64"/>
        <v>2017-358</v>
      </c>
      <c r="C627" s="2" t="s">
        <v>663</v>
      </c>
      <c r="D627" s="1" t="s">
        <v>664</v>
      </c>
      <c r="E627" s="3" t="str">
        <f>""</f>
        <v/>
      </c>
      <c r="F627" s="2" t="s">
        <v>27</v>
      </c>
      <c r="G627" s="2" t="str">
        <f>CONCATENATE("SMIT-COMMERCE D.O.O.,"," GORNJOSTUPNIČKA 9B,"," 10255 GORNJI STUPNIK,"," OIB: 9524348214")</f>
        <v>SMIT-COMMERCE D.O.O., GORNJOSTUPNIČKA 9B, 10255 GORNJI STUPNIK, OIB: 9524348214</v>
      </c>
      <c r="H627" s="4"/>
      <c r="I627" s="1" t="s">
        <v>30</v>
      </c>
      <c r="J627" s="1" t="s">
        <v>355</v>
      </c>
      <c r="K627" s="6" t="str">
        <f>"13.228,16"</f>
        <v>13.228,16</v>
      </c>
      <c r="L627" s="6" t="str">
        <f>"3.307,04"</f>
        <v>3.307,04</v>
      </c>
      <c r="M627" s="6" t="str">
        <f>"16.535,20"</f>
        <v>16.535,20</v>
      </c>
      <c r="N627" s="5">
        <v>43599</v>
      </c>
      <c r="O627" s="7"/>
      <c r="P627" s="6" t="str">
        <f>"16.535,20"</f>
        <v>16.535,20</v>
      </c>
      <c r="Q627" s="7"/>
      <c r="R627" s="1"/>
      <c r="S627" s="1" t="str">
        <f>"2-19/NOS-63-A/17"</f>
        <v>2-19/NOS-63-A/17</v>
      </c>
      <c r="T627" s="2" t="s">
        <v>26</v>
      </c>
    </row>
    <row r="628" spans="1:20" ht="38.25" x14ac:dyDescent="0.25">
      <c r="A628" s="1">
        <v>624</v>
      </c>
      <c r="B628" s="1" t="str">
        <f t="shared" si="64"/>
        <v>2017-358</v>
      </c>
      <c r="C628" s="2" t="s">
        <v>663</v>
      </c>
      <c r="D628" s="1" t="s">
        <v>664</v>
      </c>
      <c r="E628" s="3" t="str">
        <f>""</f>
        <v/>
      </c>
      <c r="F628" s="2" t="s">
        <v>27</v>
      </c>
      <c r="G628" s="2" t="str">
        <f>CONCATENATE("TELUR D.O.O.,"," DUBRAVKIN TRG 5,"," 10000 ZAGREB,"," OIB: 647202123")</f>
        <v>TELUR D.O.O., DUBRAVKIN TRG 5, 10000 ZAGREB, OIB: 647202123</v>
      </c>
      <c r="H628" s="4"/>
      <c r="I628" s="1" t="s">
        <v>414</v>
      </c>
      <c r="J628" s="1" t="s">
        <v>457</v>
      </c>
      <c r="K628" s="6" t="str">
        <f>"3.692,14"</f>
        <v>3.692,14</v>
      </c>
      <c r="L628" s="6" t="str">
        <f>"923,04"</f>
        <v>923,04</v>
      </c>
      <c r="M628" s="6" t="str">
        <f>"4.615,18"</f>
        <v>4.615,18</v>
      </c>
      <c r="N628" s="5">
        <v>43670</v>
      </c>
      <c r="O628" s="7"/>
      <c r="P628" s="6" t="str">
        <f>"3.876,05"</f>
        <v>3.876,05</v>
      </c>
      <c r="Q628" s="7"/>
      <c r="R628" s="1"/>
      <c r="S628" s="1" t="str">
        <f>"3-19/NOS-63-A/17"</f>
        <v>3-19/NOS-63-A/17</v>
      </c>
      <c r="T628" s="2" t="s">
        <v>26</v>
      </c>
    </row>
    <row r="629" spans="1:20" ht="140.25" x14ac:dyDescent="0.25">
      <c r="A629" s="1">
        <v>625</v>
      </c>
      <c r="B629" s="1" t="str">
        <f t="shared" si="64"/>
        <v>2017-358</v>
      </c>
      <c r="C629" s="2" t="s">
        <v>663</v>
      </c>
      <c r="D629" s="1" t="s">
        <v>664</v>
      </c>
      <c r="E629" s="3" t="str">
        <f>"2017/S F14-0014602"</f>
        <v>2017/S F14-0014602</v>
      </c>
      <c r="F629" s="2" t="s">
        <v>23</v>
      </c>
      <c r="G629" s="2" t="str">
        <f>CONCATENATE("SMIT-COMMERCE D.O.O.,"," GORNJOSTUPNIČKA 9B,"," 10255 GORNJI STUPNIK,"," OIB: 95243482140",CHAR(10),"ELEKTROCENTAR PETEK D.O.O.,"," ETANSKA CESTA 8,"," 10310 IVANIĆ-GRAD,"," OIB: 17491977848",CHAR(10),"SREBRA SYSTEM D.O.O.,"," ŠTEFANOVEČKA 70,"," 10000 ZAGREB,"," OIB: 98129069172",CHAR(10),"ELEKTRO-KOMUNIKACIJE D.O.O.,"," 14. PODBREŽJE 4,"," 10000 ZAGREB,"," OIB: 76412373309")</f>
        <v>SMIT-COMMERCE D.O.O., GORNJOSTUPNIČKA 9B, 10255 GORNJI STUPNIK, OIB: 95243482140
ELEKTROCENTAR PETEK D.O.O., ETANSKA CESTA 8, 10310 IVANIĆ-GRAD, OIB: 17491977848
SREBRA SYSTEM D.O.O., ŠTEFANOVEČKA 70, 10000 ZAGREB, OIB: 98129069172
ELEKTRO-KOMUNIKACIJE D.O.O., 14. PODBREŽJE 4, 10000 ZAGREB, OIB: 76412373309</v>
      </c>
      <c r="H629" s="4"/>
      <c r="I629" s="1" t="s">
        <v>665</v>
      </c>
      <c r="J629" s="1" t="s">
        <v>666</v>
      </c>
      <c r="K629" s="6" t="str">
        <f>"990.000,00"</f>
        <v>990.000,00</v>
      </c>
      <c r="L629" s="6" t="str">
        <f>"247.500,00"</f>
        <v>247.500,00</v>
      </c>
      <c r="M629" s="6" t="str">
        <f>"1.237.500,00"</f>
        <v>1.237.500,00</v>
      </c>
      <c r="N629" s="7"/>
      <c r="O629" s="7"/>
      <c r="P629" s="6" t="str">
        <f>""</f>
        <v/>
      </c>
      <c r="Q629" s="7"/>
      <c r="R629" s="1"/>
      <c r="S629" s="1" t="str">
        <f>"NOS-63-B/17"</f>
        <v>NOS-63-B/17</v>
      </c>
      <c r="T629" s="2" t="s">
        <v>667</v>
      </c>
    </row>
    <row r="630" spans="1:20" ht="38.25" x14ac:dyDescent="0.25">
      <c r="A630" s="1">
        <v>626</v>
      </c>
      <c r="B630" s="1" t="str">
        <f t="shared" si="64"/>
        <v>2017-358</v>
      </c>
      <c r="C630" s="2" t="s">
        <v>663</v>
      </c>
      <c r="D630" s="1" t="s">
        <v>664</v>
      </c>
      <c r="E630" s="3" t="str">
        <f>""</f>
        <v/>
      </c>
      <c r="F630" s="2" t="s">
        <v>27</v>
      </c>
      <c r="G630" s="2" t="str">
        <f>CONCATENATE("SMIT-COMMERCE D.O.O.,"," GORNJOSTUPNIČKA 9B,"," 10255 GORNJI STUPNIK,"," OIB: 9524348214")</f>
        <v>SMIT-COMMERCE D.O.O., GORNJOSTUPNIČKA 9B, 10255 GORNJI STUPNIK, OIB: 9524348214</v>
      </c>
      <c r="H630" s="4"/>
      <c r="I630" s="1" t="s">
        <v>668</v>
      </c>
      <c r="J630" s="1" t="s">
        <v>64</v>
      </c>
      <c r="K630" s="6" t="str">
        <f>"37.270,79"</f>
        <v>37.270,79</v>
      </c>
      <c r="L630" s="6" t="str">
        <f>"9.317,70"</f>
        <v>9.317,70</v>
      </c>
      <c r="M630" s="6" t="str">
        <f>"46.588,49"</f>
        <v>46.588,49</v>
      </c>
      <c r="N630" s="5">
        <v>43628</v>
      </c>
      <c r="O630" s="7"/>
      <c r="P630" s="6" t="str">
        <f>"28.066,12"</f>
        <v>28.066,12</v>
      </c>
      <c r="Q630" s="7"/>
      <c r="R630" s="1"/>
      <c r="S630" s="1" t="str">
        <f>"9-18/NOS-63-B/17"</f>
        <v>9-18/NOS-63-B/17</v>
      </c>
      <c r="T630" s="2" t="s">
        <v>33</v>
      </c>
    </row>
    <row r="631" spans="1:20" ht="76.5" x14ac:dyDescent="0.25">
      <c r="A631" s="1">
        <v>627</v>
      </c>
      <c r="B631" s="1" t="str">
        <f t="shared" si="64"/>
        <v>2017-358</v>
      </c>
      <c r="C631" s="2" t="s">
        <v>663</v>
      </c>
      <c r="D631" s="1" t="s">
        <v>664</v>
      </c>
      <c r="E631" s="3" t="str">
        <f>""</f>
        <v/>
      </c>
      <c r="F631" s="2" t="s">
        <v>27</v>
      </c>
      <c r="G631" s="2" t="str">
        <f>CONCATENATE("SMIT-COMMERCE D.O.O.,"," GORNJOSTUPNIČKA 9B,"," 10255 GORNJI STUPNIK,"," OIB: 9524348214")</f>
        <v>SMIT-COMMERCE D.O.O., GORNJOSTUPNIČKA 9B, 10255 GORNJI STUPNIK, OIB: 9524348214</v>
      </c>
      <c r="H631" s="4"/>
      <c r="I631" s="1" t="s">
        <v>200</v>
      </c>
      <c r="J631" s="1" t="s">
        <v>140</v>
      </c>
      <c r="K631" s="6" t="str">
        <f>"36.084,38"</f>
        <v>36.084,38</v>
      </c>
      <c r="L631" s="6" t="str">
        <f>"9.021,10"</f>
        <v>9.021,10</v>
      </c>
      <c r="M631" s="6" t="str">
        <f>"45.105,48"</f>
        <v>45.105,48</v>
      </c>
      <c r="N631" s="5">
        <v>43516</v>
      </c>
      <c r="O631" s="7"/>
      <c r="P631" s="6" t="str">
        <f>"42.307,82"</f>
        <v>42.307,82</v>
      </c>
      <c r="Q631" s="7"/>
      <c r="R631" s="1"/>
      <c r="S631" s="1" t="str">
        <f>"11-18/NOS-63-B/17"</f>
        <v>11-18/NOS-63-B/17</v>
      </c>
      <c r="T631" s="2" t="s">
        <v>671</v>
      </c>
    </row>
    <row r="632" spans="1:20" ht="38.25" x14ac:dyDescent="0.25">
      <c r="A632" s="1">
        <v>628</v>
      </c>
      <c r="B632" s="1" t="str">
        <f t="shared" si="64"/>
        <v>2017-358</v>
      </c>
      <c r="C632" s="2" t="s">
        <v>663</v>
      </c>
      <c r="D632" s="1" t="s">
        <v>664</v>
      </c>
      <c r="E632" s="3" t="str">
        <f>""</f>
        <v/>
      </c>
      <c r="F632" s="2" t="s">
        <v>27</v>
      </c>
      <c r="G632" s="2" t="str">
        <f>CONCATENATE("SMIT-COMMERCE D.O.O.,"," GORNJOSTUPNIČKA 9B,"," 10255 GORNJI STUPNIK,"," OIB: 9524348214")</f>
        <v>SMIT-COMMERCE D.O.O., GORNJOSTUPNIČKA 9B, 10255 GORNJI STUPNIK, OIB: 9524348214</v>
      </c>
      <c r="H632" s="4"/>
      <c r="I632" s="1" t="s">
        <v>670</v>
      </c>
      <c r="J632" s="1" t="s">
        <v>64</v>
      </c>
      <c r="K632" s="6" t="str">
        <f>"2.279,05"</f>
        <v>2.279,05</v>
      </c>
      <c r="L632" s="6" t="str">
        <f>"569,76"</f>
        <v>569,76</v>
      </c>
      <c r="M632" s="6" t="str">
        <f>"2.848,81"</f>
        <v>2.848,81</v>
      </c>
      <c r="N632" s="5">
        <v>43593</v>
      </c>
      <c r="O632" s="7"/>
      <c r="P632" s="6" t="str">
        <f>"2.848,81"</f>
        <v>2.848,81</v>
      </c>
      <c r="Q632" s="7"/>
      <c r="R632" s="1"/>
      <c r="S632" s="1" t="str">
        <f>"1-19/NOS-63-B/17"</f>
        <v>1-19/NOS-63-B/17</v>
      </c>
      <c r="T632" s="2" t="s">
        <v>33</v>
      </c>
    </row>
    <row r="633" spans="1:20" ht="38.25" x14ac:dyDescent="0.25">
      <c r="A633" s="1">
        <v>629</v>
      </c>
      <c r="B633" s="1" t="str">
        <f t="shared" si="64"/>
        <v>2017-358</v>
      </c>
      <c r="C633" s="2" t="s">
        <v>663</v>
      </c>
      <c r="D633" s="1" t="s">
        <v>664</v>
      </c>
      <c r="E633" s="3" t="str">
        <f>""</f>
        <v/>
      </c>
      <c r="F633" s="2" t="s">
        <v>27</v>
      </c>
      <c r="G633" s="2" t="str">
        <f>CONCATENATE("SMIT-COMMERCE D.O.O.,"," GORNJOSTUPNIČKA 9B,"," 10255 GORNJI STUPNIK,"," OIB: 9524348214")</f>
        <v>SMIT-COMMERCE D.O.O., GORNJOSTUPNIČKA 9B, 10255 GORNJI STUPNIK, OIB: 9524348214</v>
      </c>
      <c r="H633" s="4"/>
      <c r="I633" s="1" t="s">
        <v>30</v>
      </c>
      <c r="J633" s="1" t="s">
        <v>355</v>
      </c>
      <c r="K633" s="6" t="str">
        <f>"30.184,47"</f>
        <v>30.184,47</v>
      </c>
      <c r="L633" s="6" t="str">
        <f>"7.546,12"</f>
        <v>7.546,12</v>
      </c>
      <c r="M633" s="6" t="str">
        <f>"37.730,59"</f>
        <v>37.730,59</v>
      </c>
      <c r="N633" s="5">
        <v>43677</v>
      </c>
      <c r="O633" s="7"/>
      <c r="P633" s="6" t="str">
        <f>"17.783,34"</f>
        <v>17.783,34</v>
      </c>
      <c r="Q633" s="7"/>
      <c r="R633" s="1"/>
      <c r="S633" s="1" t="str">
        <f>"2-19/NOS-63-B/17"</f>
        <v>2-19/NOS-63-B/17</v>
      </c>
      <c r="T633" s="2" t="s">
        <v>26</v>
      </c>
    </row>
    <row r="634" spans="1:20" ht="38.25" x14ac:dyDescent="0.25">
      <c r="A634" s="1">
        <v>630</v>
      </c>
      <c r="B634" s="1" t="str">
        <f t="shared" si="64"/>
        <v>2017-358</v>
      </c>
      <c r="C634" s="2" t="s">
        <v>663</v>
      </c>
      <c r="D634" s="1" t="s">
        <v>664</v>
      </c>
      <c r="E634" s="3" t="str">
        <f>""</f>
        <v/>
      </c>
      <c r="F634" s="2" t="s">
        <v>27</v>
      </c>
      <c r="G634" s="2" t="str">
        <f>CONCATENATE("ELEKTROCENTAR PETEK D.O.O.,"," ETANSKA CESTA 8,"," 10310 IVANIĆ-GRAD,"," OIB: 17491977848")</f>
        <v>ELEKTROCENTAR PETEK D.O.O., ETANSKA CESTA 8, 10310 IVANIĆ-GRAD, OIB: 17491977848</v>
      </c>
      <c r="H634" s="4"/>
      <c r="I634" s="1" t="s">
        <v>414</v>
      </c>
      <c r="J634" s="1" t="s">
        <v>114</v>
      </c>
      <c r="K634" s="6" t="str">
        <f>"2.270,00"</f>
        <v>2.270,00</v>
      </c>
      <c r="L634" s="6" t="str">
        <f>"567,50"</f>
        <v>567,50</v>
      </c>
      <c r="M634" s="6" t="str">
        <f>"2.837,50"</f>
        <v>2.837,50</v>
      </c>
      <c r="N634" s="5">
        <v>43649</v>
      </c>
      <c r="O634" s="7"/>
      <c r="P634" s="6" t="str">
        <f>"2.837,50"</f>
        <v>2.837,50</v>
      </c>
      <c r="Q634" s="7"/>
      <c r="R634" s="1"/>
      <c r="S634" s="1" t="str">
        <f>"3-19/NOS-63-B/17"</f>
        <v>3-19/NOS-63-B/17</v>
      </c>
      <c r="T634" s="2" t="s">
        <v>33</v>
      </c>
    </row>
    <row r="635" spans="1:20" ht="38.25" x14ac:dyDescent="0.25">
      <c r="A635" s="1">
        <v>631</v>
      </c>
      <c r="B635" s="1" t="str">
        <f>"2017-404"</f>
        <v>2017-404</v>
      </c>
      <c r="C635" s="2" t="s">
        <v>672</v>
      </c>
      <c r="D635" s="1" t="s">
        <v>673</v>
      </c>
      <c r="E635" s="3" t="str">
        <f>"2017/S 0F2-0013184"</f>
        <v>2017/S 0F2-0013184</v>
      </c>
      <c r="F635" s="2" t="s">
        <v>23</v>
      </c>
      <c r="G635" s="2" t="str">
        <f>CONCATENATE("VODOSKOK D.D.,"," ČULINEČKA CESTA 221/C,"," 10040 ZAGREB,"," OIB: 34134218058")</f>
        <v>VODOSKOK D.D., ČULINEČKA CESTA 221/C, 10040 ZAGREB, OIB: 34134218058</v>
      </c>
      <c r="H635" s="4"/>
      <c r="I635" s="1" t="s">
        <v>665</v>
      </c>
      <c r="J635" s="1" t="s">
        <v>666</v>
      </c>
      <c r="K635" s="6" t="str">
        <f>"500.000,00"</f>
        <v>500.000,00</v>
      </c>
      <c r="L635" s="6" t="str">
        <f>"125.000,00"</f>
        <v>125.000,00</v>
      </c>
      <c r="M635" s="6" t="str">
        <f>"625.000,00"</f>
        <v>625.000,00</v>
      </c>
      <c r="N635" s="7"/>
      <c r="O635" s="7"/>
      <c r="P635" s="6" t="str">
        <f>""</f>
        <v/>
      </c>
      <c r="Q635" s="7"/>
      <c r="R635" s="1"/>
      <c r="S635" s="1" t="str">
        <f>"NOS-64/17"</f>
        <v>NOS-64/17</v>
      </c>
      <c r="T635" s="2" t="s">
        <v>29</v>
      </c>
    </row>
    <row r="636" spans="1:20" ht="25.5" x14ac:dyDescent="0.25">
      <c r="A636" s="1">
        <v>632</v>
      </c>
      <c r="B636" s="1" t="str">
        <f>"2017-404"</f>
        <v>2017-404</v>
      </c>
      <c r="C636" s="2" t="s">
        <v>672</v>
      </c>
      <c r="D636" s="1" t="s">
        <v>673</v>
      </c>
      <c r="E636" s="3" t="str">
        <f>""</f>
        <v/>
      </c>
      <c r="F636" s="2" t="s">
        <v>27</v>
      </c>
      <c r="G636" s="2" t="str">
        <f>CONCATENATE("VODOSKOK D.D.,"," ČULINEČKA CESTA 221/C,"," 10040 ZAGREB,"," OIB: 34134218058")</f>
        <v>VODOSKOK D.D., ČULINEČKA CESTA 221/C, 10040 ZAGREB, OIB: 34134218058</v>
      </c>
      <c r="H636" s="4"/>
      <c r="I636" s="1" t="s">
        <v>203</v>
      </c>
      <c r="J636" s="1" t="s">
        <v>469</v>
      </c>
      <c r="K636" s="6" t="str">
        <f>"1.850,00"</f>
        <v>1.850,00</v>
      </c>
      <c r="L636" s="6" t="str">
        <f>"462,50"</f>
        <v>462,50</v>
      </c>
      <c r="M636" s="6" t="str">
        <f>"2.312,50"</f>
        <v>2.312,50</v>
      </c>
      <c r="N636" s="5">
        <v>43563</v>
      </c>
      <c r="O636" s="7"/>
      <c r="P636" s="6" t="str">
        <f>"2.312,50"</f>
        <v>2.312,50</v>
      </c>
      <c r="Q636" s="7"/>
      <c r="R636" s="1"/>
      <c r="S636" s="1" t="str">
        <f>"1-19/NOS-64/17"</f>
        <v>1-19/NOS-64/17</v>
      </c>
      <c r="T636" s="2" t="s">
        <v>29</v>
      </c>
    </row>
    <row r="637" spans="1:20" ht="25.5" x14ac:dyDescent="0.25">
      <c r="A637" s="1">
        <v>633</v>
      </c>
      <c r="B637" s="1" t="str">
        <f>"2017-404"</f>
        <v>2017-404</v>
      </c>
      <c r="C637" s="2" t="s">
        <v>672</v>
      </c>
      <c r="D637" s="1" t="s">
        <v>673</v>
      </c>
      <c r="E637" s="3" t="str">
        <f>""</f>
        <v/>
      </c>
      <c r="F637" s="2" t="s">
        <v>27</v>
      </c>
      <c r="G637" s="2" t="str">
        <f>CONCATENATE("VODOSKOK D.D.,"," ČULINEČKA CESTA 221/C,"," 10040 ZAGREB,"," OIB: 34134218058")</f>
        <v>VODOSKOK D.D., ČULINEČKA CESTA 221/C, 10040 ZAGREB, OIB: 34134218058</v>
      </c>
      <c r="H637" s="4"/>
      <c r="I637" s="1" t="s">
        <v>74</v>
      </c>
      <c r="J637" s="1" t="s">
        <v>469</v>
      </c>
      <c r="K637" s="6" t="str">
        <f>"82.740,00"</f>
        <v>82.740,00</v>
      </c>
      <c r="L637" s="6" t="str">
        <f>"20.281,15"</f>
        <v>20.281,15</v>
      </c>
      <c r="M637" s="6" t="str">
        <f>"101.405,75"</f>
        <v>101.405,75</v>
      </c>
      <c r="N637" s="5">
        <v>43635</v>
      </c>
      <c r="O637" s="7"/>
      <c r="P637" s="6" t="str">
        <f>"101.405,75"</f>
        <v>101.405,75</v>
      </c>
      <c r="Q637" s="7"/>
      <c r="R637" s="1"/>
      <c r="S637" s="1" t="str">
        <f>"2-19/NOS-64/17"</f>
        <v>2-19/NOS-64/17</v>
      </c>
      <c r="T637" s="2" t="s">
        <v>29</v>
      </c>
    </row>
    <row r="638" spans="1:20" ht="89.25" x14ac:dyDescent="0.25">
      <c r="A638" s="1">
        <v>634</v>
      </c>
      <c r="B638" s="1" t="str">
        <f t="shared" ref="B638:B648" si="65">"2017-395"</f>
        <v>2017-395</v>
      </c>
      <c r="C638" s="2" t="s">
        <v>674</v>
      </c>
      <c r="D638" s="1" t="s">
        <v>675</v>
      </c>
      <c r="E638" s="3" t="str">
        <f>"2017/S 0F2-0012257"</f>
        <v>2017/S 0F2-0012257</v>
      </c>
      <c r="F638" s="2" t="s">
        <v>23</v>
      </c>
      <c r="G638" s="2" t="str">
        <f>CONCATENATE("SMIT-COMMERCE D.O.O.,"," GORNJOSTUPNIČKA 9B,"," 10255 GORNJI STUPNIK,"," OIB: 95243482140",CHAR(10),"JAKA D.O.O.,"," OGRIZOVIĆEVA 28/B,","  10 000 ZAGREB,"," OIB: 37705921960",CHAR(10),"VODOSKOK D.D.,"," ČULINEČKA CESTA 221/C,"," 10040 ZAGREB,"," OIB: 34134218058")</f>
        <v>SMIT-COMMERCE D.O.O., GORNJOSTUPNIČKA 9B, 10255 GORNJI STUPNIK, OIB: 95243482140
JAKA D.O.O., OGRIZOVIĆEVA 28/B,  10 000 ZAGREB, OIB: 37705921960
VODOSKOK D.D., ČULINEČKA CESTA 221/C, 10040 ZAGREB, OIB: 34134218058</v>
      </c>
      <c r="H638" s="4"/>
      <c r="I638" s="1" t="s">
        <v>665</v>
      </c>
      <c r="J638" s="1" t="s">
        <v>666</v>
      </c>
      <c r="K638" s="6" t="str">
        <f>"530.000,00"</f>
        <v>530.000,00</v>
      </c>
      <c r="L638" s="6" t="str">
        <f>"132.500,00"</f>
        <v>132.500,00</v>
      </c>
      <c r="M638" s="6" t="str">
        <f>"662.500,00"</f>
        <v>662.500,00</v>
      </c>
      <c r="N638" s="7"/>
      <c r="O638" s="7"/>
      <c r="P638" s="6" t="str">
        <f>""</f>
        <v/>
      </c>
      <c r="Q638" s="7"/>
      <c r="R638" s="1"/>
      <c r="S638" s="1" t="str">
        <f>"NOS-65-A/17"</f>
        <v>NOS-65-A/17</v>
      </c>
      <c r="T638" s="2" t="s">
        <v>26</v>
      </c>
    </row>
    <row r="639" spans="1:20" ht="38.25" x14ac:dyDescent="0.25">
      <c r="A639" s="1">
        <v>635</v>
      </c>
      <c r="B639" s="1" t="str">
        <f t="shared" si="65"/>
        <v>2017-395</v>
      </c>
      <c r="C639" s="2" t="s">
        <v>674</v>
      </c>
      <c r="D639" s="1" t="s">
        <v>675</v>
      </c>
      <c r="E639" s="3" t="str">
        <f>""</f>
        <v/>
      </c>
      <c r="F639" s="2" t="s">
        <v>27</v>
      </c>
      <c r="G639" s="2" t="str">
        <f>CONCATENATE("SMIT-COMMERCE D.O.O.,"," GORNJOSTUPNIČKA 9B,"," 10255 GORNJI STUPNIK,"," OIB: 9524348214")</f>
        <v>SMIT-COMMERCE D.O.O., GORNJOSTUPNIČKA 9B, 10255 GORNJI STUPNIK, OIB: 9524348214</v>
      </c>
      <c r="H639" s="4"/>
      <c r="I639" s="1" t="s">
        <v>220</v>
      </c>
      <c r="J639" s="1" t="s">
        <v>469</v>
      </c>
      <c r="K639" s="6" t="str">
        <f>"1.782,50"</f>
        <v>1.782,50</v>
      </c>
      <c r="L639" s="6" t="str">
        <f>"444,91"</f>
        <v>444,91</v>
      </c>
      <c r="M639" s="6" t="str">
        <f>"2.224,56"</f>
        <v>2.224,56</v>
      </c>
      <c r="N639" s="5">
        <v>43563</v>
      </c>
      <c r="O639" s="7"/>
      <c r="P639" s="6" t="str">
        <f>"2.224,56"</f>
        <v>2.224,56</v>
      </c>
      <c r="Q639" s="7"/>
      <c r="R639" s="1"/>
      <c r="S639" s="1" t="str">
        <f>"3-19/NOS-65-A/17"</f>
        <v>3-19/NOS-65-A/17</v>
      </c>
      <c r="T639" s="2" t="s">
        <v>33</v>
      </c>
    </row>
    <row r="640" spans="1:20" ht="38.25" x14ac:dyDescent="0.25">
      <c r="A640" s="1">
        <v>636</v>
      </c>
      <c r="B640" s="1" t="str">
        <f t="shared" si="65"/>
        <v>2017-395</v>
      </c>
      <c r="C640" s="2" t="s">
        <v>674</v>
      </c>
      <c r="D640" s="1" t="s">
        <v>675</v>
      </c>
      <c r="E640" s="3" t="str">
        <f>""</f>
        <v/>
      </c>
      <c r="F640" s="2" t="s">
        <v>27</v>
      </c>
      <c r="G640" s="2" t="str">
        <f>CONCATENATE("SMIT-COMMERCE D.O.O.,"," GORNJOSTUPNIČKA 9B,"," 10255 GORNJI STUPNIK,"," OIB: 9524348214")</f>
        <v>SMIT-COMMERCE D.O.O., GORNJOSTUPNIČKA 9B, 10255 GORNJI STUPNIK, OIB: 9524348214</v>
      </c>
      <c r="H640" s="4"/>
      <c r="I640" s="1" t="s">
        <v>203</v>
      </c>
      <c r="J640" s="1" t="s">
        <v>469</v>
      </c>
      <c r="K640" s="6" t="str">
        <f>"5.982,82"</f>
        <v>5.982,82</v>
      </c>
      <c r="L640" s="6" t="str">
        <f>"1.487,38"</f>
        <v>1.487,38</v>
      </c>
      <c r="M640" s="6" t="str">
        <f>"7.436,91"</f>
        <v>7.436,91</v>
      </c>
      <c r="N640" s="5">
        <v>43567</v>
      </c>
      <c r="O640" s="7"/>
      <c r="P640" s="6" t="str">
        <f>"7.436,91"</f>
        <v>7.436,91</v>
      </c>
      <c r="Q640" s="7"/>
      <c r="R640" s="1"/>
      <c r="S640" s="1" t="str">
        <f>"4-19/NOS-65-A/17"</f>
        <v>4-19/NOS-65-A/17</v>
      </c>
      <c r="T640" s="2" t="s">
        <v>29</v>
      </c>
    </row>
    <row r="641" spans="1:20" ht="38.25" x14ac:dyDescent="0.25">
      <c r="A641" s="1">
        <v>637</v>
      </c>
      <c r="B641" s="1" t="str">
        <f t="shared" si="65"/>
        <v>2017-395</v>
      </c>
      <c r="C641" s="2" t="s">
        <v>674</v>
      </c>
      <c r="D641" s="1" t="s">
        <v>675</v>
      </c>
      <c r="E641" s="3" t="str">
        <f>""</f>
        <v/>
      </c>
      <c r="F641" s="2" t="s">
        <v>27</v>
      </c>
      <c r="G641" s="2" t="str">
        <f>CONCATENATE("SMIT-COMMERCE D.O.O.,"," GORNJOSTUPNIČKA 9B,"," 10255 GORNJI STUPNIK,"," OIB: 9524348214")</f>
        <v>SMIT-COMMERCE D.O.O., GORNJOSTUPNIČKA 9B, 10255 GORNJI STUPNIK, OIB: 9524348214</v>
      </c>
      <c r="H641" s="4"/>
      <c r="I641" s="1" t="s">
        <v>670</v>
      </c>
      <c r="J641" s="1" t="s">
        <v>64</v>
      </c>
      <c r="K641" s="6" t="str">
        <f>"12.100,26"</f>
        <v>12.100,26</v>
      </c>
      <c r="L641" s="6" t="str">
        <f>"3.025,07"</f>
        <v>3.025,07</v>
      </c>
      <c r="M641" s="6" t="str">
        <f>"15.125,33"</f>
        <v>15.125,33</v>
      </c>
      <c r="N641" s="5">
        <v>43551</v>
      </c>
      <c r="O641" s="7"/>
      <c r="P641" s="6" t="str">
        <f>"15.055,88"</f>
        <v>15.055,88</v>
      </c>
      <c r="Q641" s="7"/>
      <c r="R641" s="1"/>
      <c r="S641" s="1" t="str">
        <f>"2-19/NOS-65-A/17"</f>
        <v>2-19/NOS-65-A/17</v>
      </c>
      <c r="T641" s="2" t="s">
        <v>33</v>
      </c>
    </row>
    <row r="642" spans="1:20" ht="76.5" x14ac:dyDescent="0.25">
      <c r="A642" s="1">
        <v>638</v>
      </c>
      <c r="B642" s="1" t="str">
        <f t="shared" si="65"/>
        <v>2017-395</v>
      </c>
      <c r="C642" s="2" t="s">
        <v>674</v>
      </c>
      <c r="D642" s="1" t="s">
        <v>675</v>
      </c>
      <c r="E642" s="3" t="str">
        <f>"2017/S 0F2-0012257"</f>
        <v>2017/S 0F2-0012257</v>
      </c>
      <c r="F642" s="2" t="s">
        <v>23</v>
      </c>
      <c r="G642" s="2" t="str">
        <f>CONCATENATE("JAKA D.O.O.,"," OGRIZOVIĆEVA 28/B,","  10 000 ZAGREB,"," OIB: 37705921960",CHAR(10),"VODOSKOK D.D.,"," ČULINEČKA CESTA 221/C,"," 10040 ZAGREB,"," OIB: 34134218058",CHAR(10),"X - PANEL D. O. O.,"," VODOVODNA 12,"," 10000 ZAGREB,"," OIB: 0067871227")</f>
        <v>JAKA D.O.O., OGRIZOVIĆEVA 28/B,  10 000 ZAGREB, OIB: 37705921960
VODOSKOK D.D., ČULINEČKA CESTA 221/C, 10040 ZAGREB, OIB: 34134218058
X - PANEL D. O. O., VODOVODNA 12, 10000 ZAGREB, OIB: 0067871227</v>
      </c>
      <c r="H642" s="4"/>
      <c r="I642" s="1" t="s">
        <v>665</v>
      </c>
      <c r="J642" s="1" t="s">
        <v>666</v>
      </c>
      <c r="K642" s="6" t="str">
        <f>"1.070.000,00"</f>
        <v>1.070.000,00</v>
      </c>
      <c r="L642" s="6" t="str">
        <f>"267.500,00"</f>
        <v>267.500,00</v>
      </c>
      <c r="M642" s="6" t="str">
        <f>"1.337.500,00"</f>
        <v>1.337.500,00</v>
      </c>
      <c r="N642" s="7"/>
      <c r="O642" s="7"/>
      <c r="P642" s="6" t="str">
        <f>""</f>
        <v/>
      </c>
      <c r="Q642" s="7"/>
      <c r="R642" s="1"/>
      <c r="S642" s="1" t="str">
        <f>"NOS-65-B/17"</f>
        <v>NOS-65-B/17</v>
      </c>
      <c r="T642" s="2" t="s">
        <v>26</v>
      </c>
    </row>
    <row r="643" spans="1:20" ht="25.5" x14ac:dyDescent="0.25">
      <c r="A643" s="1">
        <v>639</v>
      </c>
      <c r="B643" s="1" t="str">
        <f t="shared" si="65"/>
        <v>2017-395</v>
      </c>
      <c r="C643" s="2" t="s">
        <v>674</v>
      </c>
      <c r="D643" s="4"/>
      <c r="E643" s="3" t="str">
        <f>""</f>
        <v/>
      </c>
      <c r="F643" s="2" t="s">
        <v>27</v>
      </c>
      <c r="G643" s="2" t="str">
        <f>CONCATENATE("VODOSKOK D.D.,"," ČULINEČKA CESTA 221/C,"," 10040 ZAGREB,"," OIB: 34134218058")</f>
        <v>VODOSKOK D.D., ČULINEČKA CESTA 221/C, 10040 ZAGREB, OIB: 34134218058</v>
      </c>
      <c r="H643" s="4"/>
      <c r="I643" s="1" t="s">
        <v>355</v>
      </c>
      <c r="J643" s="1" t="s">
        <v>28</v>
      </c>
      <c r="K643" s="6" t="str">
        <f>"32.725,00"</f>
        <v>32.725,00</v>
      </c>
      <c r="L643" s="6" t="str">
        <f>"8.181,25"</f>
        <v>8.181,25</v>
      </c>
      <c r="M643" s="6" t="str">
        <f>"40.906,25"</f>
        <v>40.906,25</v>
      </c>
      <c r="N643" s="5">
        <v>43656</v>
      </c>
      <c r="O643" s="7"/>
      <c r="P643" s="6" t="str">
        <f>"36.963,94"</f>
        <v>36.963,94</v>
      </c>
      <c r="Q643" s="7"/>
      <c r="R643" s="1"/>
      <c r="S643" s="1" t="str">
        <f>"3-19/NOS-65-B/17"</f>
        <v>3-19/NOS-65-B/17</v>
      </c>
      <c r="T643" s="2" t="s">
        <v>29</v>
      </c>
    </row>
    <row r="644" spans="1:20" ht="38.25" x14ac:dyDescent="0.25">
      <c r="A644" s="1">
        <v>640</v>
      </c>
      <c r="B644" s="1" t="str">
        <f t="shared" si="65"/>
        <v>2017-395</v>
      </c>
      <c r="C644" s="2" t="s">
        <v>674</v>
      </c>
      <c r="D644" s="1" t="s">
        <v>675</v>
      </c>
      <c r="E644" s="3" t="str">
        <f>""</f>
        <v/>
      </c>
      <c r="F644" s="2" t="s">
        <v>27</v>
      </c>
      <c r="G644" s="2" t="str">
        <f>CONCATENATE("JAKA D.O.O.,"," OGRIZOVIĆEVA 28/B,","  10 000 ZAGREB,"," OIB: 3770592196")</f>
        <v>JAKA D.O.O., OGRIZOVIĆEVA 28/B,  10 000 ZAGREB, OIB: 3770592196</v>
      </c>
      <c r="H644" s="4"/>
      <c r="I644" s="1" t="s">
        <v>159</v>
      </c>
      <c r="J644" s="1" t="s">
        <v>140</v>
      </c>
      <c r="K644" s="6" t="str">
        <f>"11.618,83"</f>
        <v>11.618,83</v>
      </c>
      <c r="L644" s="6" t="str">
        <f>"2.904,71"</f>
        <v>2.904,71</v>
      </c>
      <c r="M644" s="6" t="str">
        <f>"14.523,54"</f>
        <v>14.523,54</v>
      </c>
      <c r="N644" s="5">
        <v>43530</v>
      </c>
      <c r="O644" s="7"/>
      <c r="P644" s="6" t="str">
        <f>"7.900,04"</f>
        <v>7.900,04</v>
      </c>
      <c r="Q644" s="7"/>
      <c r="R644" s="1"/>
      <c r="S644" s="1" t="str">
        <f>"10-18/NOS-65-B/17"</f>
        <v>10-18/NOS-65-B/17</v>
      </c>
      <c r="T644" s="2" t="s">
        <v>26</v>
      </c>
    </row>
    <row r="645" spans="1:20" ht="25.5" x14ac:dyDescent="0.25">
      <c r="A645" s="1">
        <v>641</v>
      </c>
      <c r="B645" s="1" t="str">
        <f t="shared" si="65"/>
        <v>2017-395</v>
      </c>
      <c r="C645" s="2" t="s">
        <v>674</v>
      </c>
      <c r="D645" s="1" t="s">
        <v>675</v>
      </c>
      <c r="E645" s="3" t="str">
        <f>""</f>
        <v/>
      </c>
      <c r="F645" s="2" t="s">
        <v>27</v>
      </c>
      <c r="G645" s="2" t="str">
        <f>CONCATENATE("VODOSKOK D.D.,"," ČULINEČKA CESTA 221/C,"," 10040 ZAGREB,"," OIB: 34134218058")</f>
        <v>VODOSKOK D.D., ČULINEČKA CESTA 221/C, 10040 ZAGREB, OIB: 34134218058</v>
      </c>
      <c r="H645" s="4"/>
      <c r="I645" s="1" t="s">
        <v>351</v>
      </c>
      <c r="J645" s="1" t="s">
        <v>64</v>
      </c>
      <c r="K645" s="6" t="str">
        <f>"12.023,32"</f>
        <v>12.023,32</v>
      </c>
      <c r="L645" s="6" t="str">
        <f>"3.005,83"</f>
        <v>3.005,83</v>
      </c>
      <c r="M645" s="6" t="str">
        <f>"15.029,15"</f>
        <v>15.029,15</v>
      </c>
      <c r="N645" s="5">
        <v>43560</v>
      </c>
      <c r="O645" s="7"/>
      <c r="P645" s="6" t="str">
        <f>"14.934,74"</f>
        <v>14.934,74</v>
      </c>
      <c r="Q645" s="7"/>
      <c r="R645" s="1"/>
      <c r="S645" s="1" t="str">
        <f>"1-19/NOS-65-B/17"</f>
        <v>1-19/NOS-65-B/17</v>
      </c>
      <c r="T645" s="2" t="s">
        <v>33</v>
      </c>
    </row>
    <row r="646" spans="1:20" ht="25.5" x14ac:dyDescent="0.25">
      <c r="A646" s="1">
        <v>642</v>
      </c>
      <c r="B646" s="1" t="str">
        <f t="shared" si="65"/>
        <v>2017-395</v>
      </c>
      <c r="C646" s="2" t="s">
        <v>674</v>
      </c>
      <c r="D646" s="1" t="s">
        <v>675</v>
      </c>
      <c r="E646" s="3" t="str">
        <f>""</f>
        <v/>
      </c>
      <c r="F646" s="2" t="s">
        <v>27</v>
      </c>
      <c r="G646" s="2" t="str">
        <f>CONCATENATE("X - PANEL D. O. O.,"," VODOVODNA 12,"," 10000 ZAGREB,"," OIB: 0067871227")</f>
        <v>X - PANEL D. O. O., VODOVODNA 12, 10000 ZAGREB, OIB: 0067871227</v>
      </c>
      <c r="H646" s="4"/>
      <c r="I646" s="1" t="s">
        <v>551</v>
      </c>
      <c r="J646" s="1" t="s">
        <v>73</v>
      </c>
      <c r="K646" s="6" t="str">
        <f>"1.473,02"</f>
        <v>1.473,02</v>
      </c>
      <c r="L646" s="6" t="str">
        <f>"368,26"</f>
        <v>368,26</v>
      </c>
      <c r="M646" s="6" t="str">
        <f>"1.841,28"</f>
        <v>1.841,28</v>
      </c>
      <c r="N646" s="5">
        <v>43600</v>
      </c>
      <c r="O646" s="7"/>
      <c r="P646" s="6" t="str">
        <f>"1.652,72"</f>
        <v>1.652,72</v>
      </c>
      <c r="Q646" s="7"/>
      <c r="R646" s="1"/>
      <c r="S646" s="1" t="str">
        <f>"5-19/NOS-65-B/17"</f>
        <v>5-19/NOS-65-B/17</v>
      </c>
      <c r="T646" s="2" t="s">
        <v>33</v>
      </c>
    </row>
    <row r="647" spans="1:20" ht="25.5" x14ac:dyDescent="0.25">
      <c r="A647" s="1">
        <v>643</v>
      </c>
      <c r="B647" s="1" t="str">
        <f t="shared" si="65"/>
        <v>2017-395</v>
      </c>
      <c r="C647" s="2" t="s">
        <v>674</v>
      </c>
      <c r="D647" s="1" t="s">
        <v>675</v>
      </c>
      <c r="E647" s="3" t="str">
        <f>""</f>
        <v/>
      </c>
      <c r="F647" s="2" t="s">
        <v>27</v>
      </c>
      <c r="G647" s="2" t="str">
        <f>CONCATENATE("VODOSKOK D.D.,"," ČULINEČKA CESTA 221/C,"," 10040 ZAGREB,"," OIB: 34134218058")</f>
        <v>VODOSKOK D.D., ČULINEČKA CESTA 221/C, 10040 ZAGREB, OIB: 34134218058</v>
      </c>
      <c r="H647" s="4"/>
      <c r="I647" s="1" t="s">
        <v>402</v>
      </c>
      <c r="J647" s="1" t="s">
        <v>114</v>
      </c>
      <c r="K647" s="6" t="str">
        <f>"13.437,50"</f>
        <v>13.437,50</v>
      </c>
      <c r="L647" s="6" t="str">
        <f>"3.359,38"</f>
        <v>3.359,38</v>
      </c>
      <c r="M647" s="6" t="str">
        <f>"16.796,88"</f>
        <v>16.796,88</v>
      </c>
      <c r="N647" s="1" t="s">
        <v>117</v>
      </c>
      <c r="O647" s="7"/>
      <c r="P647" s="6" t="str">
        <f>""</f>
        <v/>
      </c>
      <c r="Q647" s="7"/>
      <c r="R647" s="1"/>
      <c r="S647" s="1" t="str">
        <f>"6-19/NOS-65-B/17"</f>
        <v>6-19/NOS-65-B/17</v>
      </c>
      <c r="T647" s="2" t="s">
        <v>33</v>
      </c>
    </row>
    <row r="648" spans="1:20" ht="51" x14ac:dyDescent="0.25">
      <c r="A648" s="1">
        <v>644</v>
      </c>
      <c r="B648" s="1" t="str">
        <f t="shared" si="65"/>
        <v>2017-395</v>
      </c>
      <c r="C648" s="2" t="s">
        <v>674</v>
      </c>
      <c r="D648" s="1" t="s">
        <v>675</v>
      </c>
      <c r="E648" s="3" t="str">
        <f>"2017/S 0F2-0012257"</f>
        <v>2017/S 0F2-0012257</v>
      </c>
      <c r="F648" s="2" t="s">
        <v>23</v>
      </c>
      <c r="G648" s="2" t="str">
        <f>CONCATENATE("VODOSKOK D.D.,"," ČULINEČKA CESTA 221/C,"," 10040 ZAGREB,"," OIB: 34134218058",CHAR(10),"X - PANEL D. O. O.,"," VODOVODNA 12,"," 10000 ZAGREB,"," OIB: 0067871227")</f>
        <v>VODOSKOK D.D., ČULINEČKA CESTA 221/C, 10040 ZAGREB, OIB: 34134218058
X - PANEL D. O. O., VODOVODNA 12, 10000 ZAGREB, OIB: 0067871227</v>
      </c>
      <c r="H648" s="4"/>
      <c r="I648" s="1" t="s">
        <v>665</v>
      </c>
      <c r="J648" s="1" t="s">
        <v>666</v>
      </c>
      <c r="K648" s="6" t="str">
        <f>"100.000,00"</f>
        <v>100.000,00</v>
      </c>
      <c r="L648" s="6" t="str">
        <f>"25.000,00"</f>
        <v>25.000,00</v>
      </c>
      <c r="M648" s="6" t="str">
        <f>"125.000,00"</f>
        <v>125.000,00</v>
      </c>
      <c r="N648" s="7"/>
      <c r="O648" s="7"/>
      <c r="P648" s="6" t="str">
        <f>""</f>
        <v/>
      </c>
      <c r="Q648" s="7"/>
      <c r="R648" s="1"/>
      <c r="S648" s="1" t="str">
        <f>"NOS-65-C/17"</f>
        <v>NOS-65-C/17</v>
      </c>
      <c r="T648" s="2" t="s">
        <v>26</v>
      </c>
    </row>
    <row r="649" spans="1:20" ht="153" x14ac:dyDescent="0.25">
      <c r="A649" s="1">
        <v>645</v>
      </c>
      <c r="B649" s="1" t="str">
        <f t="shared" ref="B649:B660" si="66">"2017-2559"</f>
        <v>2017-2559</v>
      </c>
      <c r="C649" s="2" t="s">
        <v>676</v>
      </c>
      <c r="D649" s="1" t="s">
        <v>292</v>
      </c>
      <c r="E649" s="3" t="str">
        <f>"2017/S 0F2-0010007"</f>
        <v>2017/S 0F2-0010007</v>
      </c>
      <c r="F649" s="2" t="s">
        <v>23</v>
      </c>
      <c r="G649" s="2" t="str">
        <f>CONCATENATE("SMIT-COMMERCE D.O.O.,"," GORNJOSTUPNIČKA 9B,"," 10255 GORNJI STUPNIK,"," OIB: 95243482140",CHAR(10),"OMNIMERKUR D.O.O.,"," GORNJOSTUPNIČKA 1B,"," 10255 GORNJI STUPNIK,"," OIB: 43764396102",CHAR(10),"VODOSKOK D.D.,"," ČULINEČKA CESTA 221/C,"," 10040 ZAGREB,"," OIB: 34134218058",CHAR(10),"BMD  STIL D.O.O.,"," BEDENICA 45/A,"," 10381 BEDENICA,"," OIB: 96086822394",CHAR(10),"RETA D.O.O.,"," ZAGREBAČKA 37,"," 47000 KARLOVAC,"," OIB: 01201898816")</f>
        <v>SMIT-COMMERCE D.O.O., GORNJOSTUPNIČKA 9B, 10255 GORNJI STUPNIK, OIB: 95243482140
OMNIMERKUR D.O.O., GORNJOSTUPNIČKA 1B, 10255 GORNJI STUPNIK, OIB: 43764396102
VODOSKOK D.D., ČULINEČKA CESTA 221/C, 10040 ZAGREB, OIB: 34134218058
BMD  STIL D.O.O., BEDENICA 45/A, 10381 BEDENICA, OIB: 96086822394
RETA D.O.O., ZAGREBAČKA 37, 47000 KARLOVAC, OIB: 01201898816</v>
      </c>
      <c r="H649" s="4"/>
      <c r="I649" s="1" t="s">
        <v>677</v>
      </c>
      <c r="J649" s="1" t="s">
        <v>678</v>
      </c>
      <c r="K649" s="6" t="str">
        <f>"1.750.000,00"</f>
        <v>1.750.000,00</v>
      </c>
      <c r="L649" s="6" t="str">
        <f>"437.500,00"</f>
        <v>437.500,00</v>
      </c>
      <c r="M649" s="6" t="str">
        <f>"2.187.500,00"</f>
        <v>2.187.500,00</v>
      </c>
      <c r="N649" s="7"/>
      <c r="O649" s="7"/>
      <c r="P649" s="6" t="str">
        <f>""</f>
        <v/>
      </c>
      <c r="Q649" s="7"/>
      <c r="R649" s="1"/>
      <c r="S649" s="1" t="str">
        <f>"NOS-66-A/17"</f>
        <v>NOS-66-A/17</v>
      </c>
      <c r="T649" s="2" t="s">
        <v>26</v>
      </c>
    </row>
    <row r="650" spans="1:20" ht="25.5" x14ac:dyDescent="0.25">
      <c r="A650" s="1">
        <v>646</v>
      </c>
      <c r="B650" s="1" t="str">
        <f t="shared" si="66"/>
        <v>2017-2559</v>
      </c>
      <c r="C650" s="2" t="s">
        <v>676</v>
      </c>
      <c r="D650" s="1" t="s">
        <v>292</v>
      </c>
      <c r="E650" s="3" t="str">
        <f>""</f>
        <v/>
      </c>
      <c r="F650" s="2" t="s">
        <v>27</v>
      </c>
      <c r="G650" s="2" t="str">
        <f>CONCATENATE("BMD  STIL D.O.O.,"," BEDENICA 45/A,"," 10381 BEDENICA,"," OIB: 96086822394")</f>
        <v>BMD  STIL D.O.O., BEDENICA 45/A, 10381 BEDENICA, OIB: 96086822394</v>
      </c>
      <c r="H650" s="4"/>
      <c r="I650" s="1" t="s">
        <v>398</v>
      </c>
      <c r="J650" s="1" t="s">
        <v>140</v>
      </c>
      <c r="K650" s="6" t="str">
        <f>"2.462,40"</f>
        <v>2.462,40</v>
      </c>
      <c r="L650" s="6" t="str">
        <f>"615,60"</f>
        <v>615,60</v>
      </c>
      <c r="M650" s="6" t="str">
        <f>"3.078,00"</f>
        <v>3.078,00</v>
      </c>
      <c r="N650" s="5">
        <v>43490</v>
      </c>
      <c r="O650" s="7"/>
      <c r="P650" s="6" t="str">
        <f>"3.078,00"</f>
        <v>3.078,00</v>
      </c>
      <c r="Q650" s="7"/>
      <c r="R650" s="1"/>
      <c r="S650" s="1" t="str">
        <f>"11-18/NOS-66-A/17"</f>
        <v>11-18/NOS-66-A/17</v>
      </c>
      <c r="T650" s="2" t="s">
        <v>33</v>
      </c>
    </row>
    <row r="651" spans="1:20" ht="38.25" x14ac:dyDescent="0.25">
      <c r="A651" s="1">
        <v>647</v>
      </c>
      <c r="B651" s="1" t="str">
        <f t="shared" si="66"/>
        <v>2017-2559</v>
      </c>
      <c r="C651" s="2" t="s">
        <v>676</v>
      </c>
      <c r="D651" s="1" t="s">
        <v>292</v>
      </c>
      <c r="E651" s="3" t="str">
        <f>""</f>
        <v/>
      </c>
      <c r="F651" s="2" t="s">
        <v>27</v>
      </c>
      <c r="G651" s="2" t="str">
        <f>CONCATENATE("SMIT-COMMERCE D.O.O.,"," GORNJOSTUPNIČKA 9B,"," 10255 GORNJI STUPNIK,"," OIB: 9524348214")</f>
        <v>SMIT-COMMERCE D.O.O., GORNJOSTUPNIČKA 9B, 10255 GORNJI STUPNIK, OIB: 9524348214</v>
      </c>
      <c r="H651" s="4"/>
      <c r="I651" s="1" t="s">
        <v>351</v>
      </c>
      <c r="J651" s="1" t="s">
        <v>64</v>
      </c>
      <c r="K651" s="6" t="str">
        <f>"35.774,60"</f>
        <v>35.774,60</v>
      </c>
      <c r="L651" s="6" t="str">
        <f>"8.943,65"</f>
        <v>8.943,65</v>
      </c>
      <c r="M651" s="6" t="str">
        <f>"44.718,25"</f>
        <v>44.718,25</v>
      </c>
      <c r="N651" s="5">
        <v>43545</v>
      </c>
      <c r="O651" s="7"/>
      <c r="P651" s="6" t="str">
        <f>"44.718,25"</f>
        <v>44.718,25</v>
      </c>
      <c r="Q651" s="7"/>
      <c r="R651" s="1"/>
      <c r="S651" s="1" t="str">
        <f>"1-19/NOS-66-A/17"</f>
        <v>1-19/NOS-66-A/17</v>
      </c>
      <c r="T651" s="2" t="s">
        <v>33</v>
      </c>
    </row>
    <row r="652" spans="1:20" ht="38.25" x14ac:dyDescent="0.25">
      <c r="A652" s="1">
        <v>648</v>
      </c>
      <c r="B652" s="1" t="str">
        <f t="shared" si="66"/>
        <v>2017-2559</v>
      </c>
      <c r="C652" s="2" t="s">
        <v>676</v>
      </c>
      <c r="D652" s="1" t="s">
        <v>292</v>
      </c>
      <c r="E652" s="3" t="str">
        <f>""</f>
        <v/>
      </c>
      <c r="F652" s="2" t="s">
        <v>27</v>
      </c>
      <c r="G652" s="2" t="str">
        <f>CONCATENATE("SMIT-COMMERCE D.O.O.,"," GORNJOSTUPNIČKA 9B,"," 10255 GORNJI STUPNIK,"," OIB: 9524348214")</f>
        <v>SMIT-COMMERCE D.O.O., GORNJOSTUPNIČKA 9B, 10255 GORNJI STUPNIK, OIB: 9524348214</v>
      </c>
      <c r="H652" s="4"/>
      <c r="I652" s="1" t="s">
        <v>220</v>
      </c>
      <c r="J652" s="1" t="s">
        <v>355</v>
      </c>
      <c r="K652" s="6" t="str">
        <f>"15.304,64"</f>
        <v>15.304,64</v>
      </c>
      <c r="L652" s="6" t="str">
        <f>"3.826,16"</f>
        <v>3.826,16</v>
      </c>
      <c r="M652" s="6" t="str">
        <f>"19.130,80"</f>
        <v>19.130,80</v>
      </c>
      <c r="N652" s="5">
        <v>43570</v>
      </c>
      <c r="O652" s="7"/>
      <c r="P652" s="6" t="str">
        <f>"19.130,80"</f>
        <v>19.130,80</v>
      </c>
      <c r="Q652" s="7"/>
      <c r="R652" s="1"/>
      <c r="S652" s="1" t="str">
        <f>"2-19/NOS-66-A/17"</f>
        <v>2-19/NOS-66-A/17</v>
      </c>
      <c r="T652" s="2" t="s">
        <v>26</v>
      </c>
    </row>
    <row r="653" spans="1:20" ht="38.25" x14ac:dyDescent="0.25">
      <c r="A653" s="1">
        <v>649</v>
      </c>
      <c r="B653" s="1" t="str">
        <f t="shared" si="66"/>
        <v>2017-2559</v>
      </c>
      <c r="C653" s="2" t="s">
        <v>676</v>
      </c>
      <c r="D653" s="1" t="s">
        <v>292</v>
      </c>
      <c r="E653" s="3" t="str">
        <f>""</f>
        <v/>
      </c>
      <c r="F653" s="2" t="s">
        <v>27</v>
      </c>
      <c r="G653" s="2" t="str">
        <f>CONCATENATE("SMIT-COMMERCE D.O.O.,"," GORNJOSTUPNIČKA 9B,"," 10255 GORNJI STUPNIK,"," OIB: 9524348214")</f>
        <v>SMIT-COMMERCE D.O.O., GORNJOSTUPNIČKA 9B, 10255 GORNJI STUPNIK, OIB: 9524348214</v>
      </c>
      <c r="H653" s="4"/>
      <c r="I653" s="1" t="s">
        <v>475</v>
      </c>
      <c r="J653" s="1" t="s">
        <v>37</v>
      </c>
      <c r="K653" s="6" t="str">
        <f>"54.427,57"</f>
        <v>54.427,57</v>
      </c>
      <c r="L653" s="6" t="str">
        <f>"13.606,89"</f>
        <v>13.606,89</v>
      </c>
      <c r="M653" s="6" t="str">
        <f>"68.034,46"</f>
        <v>68.034,46</v>
      </c>
      <c r="N653" s="5">
        <v>43621</v>
      </c>
      <c r="O653" s="7"/>
      <c r="P653" s="6" t="str">
        <f>"55.171,97"</f>
        <v>55.171,97</v>
      </c>
      <c r="Q653" s="7"/>
      <c r="R653" s="1"/>
      <c r="S653" s="1" t="str">
        <f>"3-19/NOS-66-A/17"</f>
        <v>3-19/NOS-66-A/17</v>
      </c>
      <c r="T653" s="2" t="s">
        <v>26</v>
      </c>
    </row>
    <row r="654" spans="1:20" ht="102" x14ac:dyDescent="0.25">
      <c r="A654" s="1">
        <v>650</v>
      </c>
      <c r="B654" s="1" t="str">
        <f t="shared" si="66"/>
        <v>2017-2559</v>
      </c>
      <c r="C654" s="2" t="s">
        <v>676</v>
      </c>
      <c r="D654" s="1" t="s">
        <v>292</v>
      </c>
      <c r="E654" s="3" t="str">
        <f>"2017/S 0F2-0010007"</f>
        <v>2017/S 0F2-0010007</v>
      </c>
      <c r="F654" s="2" t="s">
        <v>23</v>
      </c>
      <c r="G654" s="2" t="str">
        <f>CONCATENATE("SMIT-COMMERCE D.O.O.,"," GORNJOSTUPNIČKA 9B,"," 10255 GORNJI STUPNIK,"," OIB: 95243482140",CHAR(10),"OMNIMERKUR D.O.O.,"," GORNJOSTUPNIČKA 1B,"," 10255 GORNJI STUPNIK,"," OIB: 43764396102",CHAR(10),"VODOSKOK D.D.,"," ČULINEČKA CESTA 221/C,"," 10040 ZAGREB,"," OIB: 34134218058")</f>
        <v>SMIT-COMMERCE D.O.O., GORNJOSTUPNIČKA 9B, 10255 GORNJI STUPNIK, OIB: 95243482140
OMNIMERKUR D.O.O., GORNJOSTUPNIČKA 1B, 10255 GORNJI STUPNIK, OIB: 43764396102
VODOSKOK D.D., ČULINEČKA CESTA 221/C, 10040 ZAGREB, OIB: 34134218058</v>
      </c>
      <c r="H654" s="4"/>
      <c r="I654" s="1" t="s">
        <v>677</v>
      </c>
      <c r="J654" s="1" t="s">
        <v>678</v>
      </c>
      <c r="K654" s="6" t="str">
        <f>"1.750.000,00"</f>
        <v>1.750.000,00</v>
      </c>
      <c r="L654" s="6" t="str">
        <f>"437.500,00"</f>
        <v>437.500,00</v>
      </c>
      <c r="M654" s="6" t="str">
        <f>"2.187.500,00"</f>
        <v>2.187.500,00</v>
      </c>
      <c r="N654" s="7"/>
      <c r="O654" s="7"/>
      <c r="P654" s="6" t="str">
        <f>""</f>
        <v/>
      </c>
      <c r="Q654" s="7"/>
      <c r="R654" s="1"/>
      <c r="S654" s="1" t="str">
        <f>"NOS-66-B/17"</f>
        <v>NOS-66-B/17</v>
      </c>
      <c r="T654" s="2" t="s">
        <v>26</v>
      </c>
    </row>
    <row r="655" spans="1:20" ht="38.25" x14ac:dyDescent="0.25">
      <c r="A655" s="1">
        <v>651</v>
      </c>
      <c r="B655" s="1" t="str">
        <f t="shared" si="66"/>
        <v>2017-2559</v>
      </c>
      <c r="C655" s="2" t="s">
        <v>676</v>
      </c>
      <c r="D655" s="1" t="s">
        <v>292</v>
      </c>
      <c r="E655" s="3" t="str">
        <f>""</f>
        <v/>
      </c>
      <c r="F655" s="2" t="s">
        <v>27</v>
      </c>
      <c r="G655" s="2" t="str">
        <f>CONCATENATE("SMIT-COMMERCE D.O.O.,"," GORNJOSTUPNIČKA 9B,"," 10255 GORNJI STUPNIK,"," OIB: 9524348214")</f>
        <v>SMIT-COMMERCE D.O.O., GORNJOSTUPNIČKA 9B, 10255 GORNJI STUPNIK, OIB: 9524348214</v>
      </c>
      <c r="H655" s="4"/>
      <c r="I655" s="1" t="s">
        <v>679</v>
      </c>
      <c r="J655" s="1" t="s">
        <v>140</v>
      </c>
      <c r="K655" s="6" t="str">
        <f>"91.669,84"</f>
        <v>91.669,84</v>
      </c>
      <c r="L655" s="6" t="str">
        <f>"22.917,46"</f>
        <v>22.917,46</v>
      </c>
      <c r="M655" s="6" t="str">
        <f>"114.587,30"</f>
        <v>114.587,30</v>
      </c>
      <c r="N655" s="5">
        <v>43524</v>
      </c>
      <c r="O655" s="7"/>
      <c r="P655" s="6" t="str">
        <f>"109.501,52"</f>
        <v>109.501,52</v>
      </c>
      <c r="Q655" s="7"/>
      <c r="R655" s="1"/>
      <c r="S655" s="1" t="str">
        <f>"12-18/NOS-66-B/17"</f>
        <v>12-18/NOS-66-B/17</v>
      </c>
      <c r="T655" s="2" t="s">
        <v>26</v>
      </c>
    </row>
    <row r="656" spans="1:20" ht="38.25" x14ac:dyDescent="0.25">
      <c r="A656" s="1">
        <v>652</v>
      </c>
      <c r="B656" s="1" t="str">
        <f t="shared" si="66"/>
        <v>2017-2559</v>
      </c>
      <c r="C656" s="2" t="s">
        <v>676</v>
      </c>
      <c r="D656" s="1" t="s">
        <v>292</v>
      </c>
      <c r="E656" s="3" t="str">
        <f>""</f>
        <v/>
      </c>
      <c r="F656" s="2" t="s">
        <v>27</v>
      </c>
      <c r="G656" s="2" t="str">
        <f>CONCATENATE("SMIT-COMMERCE D.O.O.,"," GORNJOSTUPNIČKA 9B,"," 10255 GORNJI STUPNIK,"," OIB: 9524348214")</f>
        <v>SMIT-COMMERCE D.O.O., GORNJOSTUPNIČKA 9B, 10255 GORNJI STUPNIK, OIB: 9524348214</v>
      </c>
      <c r="H656" s="4"/>
      <c r="I656" s="1" t="s">
        <v>373</v>
      </c>
      <c r="J656" s="1" t="s">
        <v>64</v>
      </c>
      <c r="K656" s="6" t="str">
        <f>"77.082,95"</f>
        <v>77.082,95</v>
      </c>
      <c r="L656" s="6" t="str">
        <f>"19.270,74"</f>
        <v>19.270,74</v>
      </c>
      <c r="M656" s="6" t="str">
        <f>"96.353,69"</f>
        <v>96.353,69</v>
      </c>
      <c r="N656" s="5">
        <v>43623</v>
      </c>
      <c r="O656" s="7"/>
      <c r="P656" s="6" t="str">
        <f>"96.148,85"</f>
        <v>96.148,85</v>
      </c>
      <c r="Q656" s="7"/>
      <c r="R656" s="1"/>
      <c r="S656" s="1" t="str">
        <f>"1-19/NOS-66-B/17"</f>
        <v>1-19/NOS-66-B/17</v>
      </c>
      <c r="T656" s="2" t="s">
        <v>33</v>
      </c>
    </row>
    <row r="657" spans="1:20" ht="38.25" x14ac:dyDescent="0.25">
      <c r="A657" s="1">
        <v>653</v>
      </c>
      <c r="B657" s="1" t="str">
        <f t="shared" si="66"/>
        <v>2017-2559</v>
      </c>
      <c r="C657" s="2" t="s">
        <v>676</v>
      </c>
      <c r="D657" s="1" t="s">
        <v>292</v>
      </c>
      <c r="E657" s="3" t="str">
        <f>""</f>
        <v/>
      </c>
      <c r="F657" s="2" t="s">
        <v>27</v>
      </c>
      <c r="G657" s="2" t="str">
        <f>CONCATENATE("OMNIMERKUR D.O.O.,"," GORNJOSTUPNIČKA 1B,"," 10255 GORNJI STUPNIK,"," OIB: 43764396102")</f>
        <v>OMNIMERKUR D.O.O., GORNJOSTUPNIČKA 1B, 10255 GORNJI STUPNIK, OIB: 43764396102</v>
      </c>
      <c r="H657" s="4"/>
      <c r="I657" s="1" t="s">
        <v>220</v>
      </c>
      <c r="J657" s="1" t="s">
        <v>355</v>
      </c>
      <c r="K657" s="6" t="str">
        <f>"56.538,38"</f>
        <v>56.538,38</v>
      </c>
      <c r="L657" s="6" t="str">
        <f>"14.134,60"</f>
        <v>14.134,60</v>
      </c>
      <c r="M657" s="6" t="str">
        <f>"70.672,98"</f>
        <v>70.672,98</v>
      </c>
      <c r="N657" s="5">
        <v>43628</v>
      </c>
      <c r="O657" s="7"/>
      <c r="P657" s="6" t="str">
        <f>"56.429,58"</f>
        <v>56.429,58</v>
      </c>
      <c r="Q657" s="7"/>
      <c r="R657" s="1"/>
      <c r="S657" s="1" t="str">
        <f>"2-19/NOS-66-B/17"</f>
        <v>2-19/NOS-66-B/17</v>
      </c>
      <c r="T657" s="2" t="s">
        <v>26</v>
      </c>
    </row>
    <row r="658" spans="1:20" ht="38.25" x14ac:dyDescent="0.25">
      <c r="A658" s="1">
        <v>654</v>
      </c>
      <c r="B658" s="1" t="str">
        <f t="shared" si="66"/>
        <v>2017-2559</v>
      </c>
      <c r="C658" s="2" t="s">
        <v>676</v>
      </c>
      <c r="D658" s="1" t="s">
        <v>292</v>
      </c>
      <c r="E658" s="3" t="str">
        <f>""</f>
        <v/>
      </c>
      <c r="F658" s="2" t="s">
        <v>27</v>
      </c>
      <c r="G658" s="2" t="str">
        <f>CONCATENATE("VODOSKOK D.D.,"," ČULINEČKA CESTA 221/C,"," 10040 ZAGREB,"," OIB: 34134218058")</f>
        <v>VODOSKOK D.D., ČULINEČKA CESTA 221/C, 10040 ZAGREB, OIB: 34134218058</v>
      </c>
      <c r="H658" s="4"/>
      <c r="I658" s="1" t="s">
        <v>494</v>
      </c>
      <c r="J658" s="1" t="s">
        <v>456</v>
      </c>
      <c r="K658" s="6" t="str">
        <f>"110.609,36"</f>
        <v>110.609,36</v>
      </c>
      <c r="L658" s="6" t="str">
        <f>"27.652,34"</f>
        <v>27.652,34</v>
      </c>
      <c r="M658" s="6" t="str">
        <f>"138.261,70"</f>
        <v>138.261,70</v>
      </c>
      <c r="N658" s="5">
        <v>43621</v>
      </c>
      <c r="O658" s="7"/>
      <c r="P658" s="6" t="str">
        <f>"134.997,88"</f>
        <v>134.997,88</v>
      </c>
      <c r="Q658" s="7"/>
      <c r="R658" s="1"/>
      <c r="S658" s="1" t="str">
        <f>"3-19/NOS-66-B/17"</f>
        <v>3-19/NOS-66-B/17</v>
      </c>
      <c r="T658" s="2" t="s">
        <v>26</v>
      </c>
    </row>
    <row r="659" spans="1:20" ht="38.25" x14ac:dyDescent="0.25">
      <c r="A659" s="1">
        <v>655</v>
      </c>
      <c r="B659" s="1" t="str">
        <f t="shared" si="66"/>
        <v>2017-2559</v>
      </c>
      <c r="C659" s="2" t="s">
        <v>676</v>
      </c>
      <c r="D659" s="1" t="s">
        <v>292</v>
      </c>
      <c r="E659" s="3" t="str">
        <f>""</f>
        <v/>
      </c>
      <c r="F659" s="2" t="s">
        <v>27</v>
      </c>
      <c r="G659" s="2" t="str">
        <f>CONCATENATE("VODOSKOK D.D.,"," ČULINEČKA CESTA 221/C,"," 10040 ZAGREB,"," OIB: 34134218058")</f>
        <v>VODOSKOK D.D., ČULINEČKA CESTA 221/C, 10040 ZAGREB, OIB: 34134218058</v>
      </c>
      <c r="H659" s="4"/>
      <c r="I659" s="1" t="s">
        <v>642</v>
      </c>
      <c r="J659" s="1" t="s">
        <v>457</v>
      </c>
      <c r="K659" s="6" t="str">
        <f>"169.182,56"</f>
        <v>169.182,56</v>
      </c>
      <c r="L659" s="6" t="str">
        <f>"42.295,64"</f>
        <v>42.295,64</v>
      </c>
      <c r="M659" s="6" t="str">
        <f>"211.478,20"</f>
        <v>211.478,20</v>
      </c>
      <c r="N659" s="5">
        <v>43626</v>
      </c>
      <c r="O659" s="7"/>
      <c r="P659" s="6" t="str">
        <f>"104.075,25"</f>
        <v>104.075,25</v>
      </c>
      <c r="Q659" s="7"/>
      <c r="R659" s="1"/>
      <c r="S659" s="1" t="str">
        <f>"4-19/NOS-66-B/17"</f>
        <v>4-19/NOS-66-B/17</v>
      </c>
      <c r="T659" s="2" t="s">
        <v>26</v>
      </c>
    </row>
    <row r="660" spans="1:20" ht="38.25" x14ac:dyDescent="0.25">
      <c r="A660" s="1">
        <v>656</v>
      </c>
      <c r="B660" s="1" t="str">
        <f t="shared" si="66"/>
        <v>2017-2559</v>
      </c>
      <c r="C660" s="2" t="s">
        <v>676</v>
      </c>
      <c r="D660" s="1" t="s">
        <v>292</v>
      </c>
      <c r="E660" s="3" t="str">
        <f>""</f>
        <v/>
      </c>
      <c r="F660" s="2" t="s">
        <v>27</v>
      </c>
      <c r="G660" s="2" t="str">
        <f>CONCATENATE("OMNIMERKUR D.O.O.,"," GORNJOSTUPNIČKA 1B,"," 10255 GORNJI STUPNIK,"," OIB: 43764396102")</f>
        <v>OMNIMERKUR D.O.O., GORNJOSTUPNIČKA 1B, 10255 GORNJI STUPNIK, OIB: 43764396102</v>
      </c>
      <c r="H660" s="4"/>
      <c r="I660" s="1" t="s">
        <v>424</v>
      </c>
      <c r="J660" s="1" t="s">
        <v>114</v>
      </c>
      <c r="K660" s="6" t="str">
        <f>"15.113,40"</f>
        <v>15.113,40</v>
      </c>
      <c r="L660" s="6" t="str">
        <f>"3.778,35"</f>
        <v>3.778,35</v>
      </c>
      <c r="M660" s="6" t="str">
        <f>"18.891,75"</f>
        <v>18.891,75</v>
      </c>
      <c r="N660" s="5">
        <v>43634</v>
      </c>
      <c r="O660" s="7"/>
      <c r="P660" s="6" t="str">
        <f>"15.894,00"</f>
        <v>15.894,00</v>
      </c>
      <c r="Q660" s="7"/>
      <c r="R660" s="1"/>
      <c r="S660" s="1" t="str">
        <f>"5-19/NOS-66-B/17"</f>
        <v>5-19/NOS-66-B/17</v>
      </c>
      <c r="T660" s="2" t="s">
        <v>33</v>
      </c>
    </row>
    <row r="661" spans="1:20" ht="76.5" x14ac:dyDescent="0.25">
      <c r="A661" s="1">
        <v>657</v>
      </c>
      <c r="B661" s="1" t="str">
        <f>"2017-2477"</f>
        <v>2017-2477</v>
      </c>
      <c r="C661" s="2" t="s">
        <v>680</v>
      </c>
      <c r="D661" s="1" t="s">
        <v>681</v>
      </c>
      <c r="E661" s="3" t="str">
        <f>"2017/S 0F2-0012424"</f>
        <v>2017/S 0F2-0012424</v>
      </c>
      <c r="F661" s="2" t="s">
        <v>23</v>
      </c>
      <c r="G661" s="2" t="str">
        <f>CONCATENATE("MONTEL D.O.O.,"," HORVATOVA 48/B,"," 10000 ZAGREB,"," OIB: 12595351308",CHAR(10),"ELICOM D.O.O.,"," ŠTEFANOVEC 138,"," 10000 ZAGREB,"," OIB: 76370234816",CHAR(10),"FEST D.O.O.,"," KOLODVORSKA CESTA 50,"," 47280 OZALJ,"," OIB: 80391790896")</f>
        <v>MONTEL D.O.O., HORVATOVA 48/B, 10000 ZAGREB, OIB: 12595351308
ELICOM D.O.O., ŠTEFANOVEC 138, 10000 ZAGREB, OIB: 76370234816
FEST D.O.O., KOLODVORSKA CESTA 50, 47280 OZALJ, OIB: 80391790896</v>
      </c>
      <c r="H661" s="4"/>
      <c r="I661" s="1" t="s">
        <v>682</v>
      </c>
      <c r="J661" s="1" t="s">
        <v>683</v>
      </c>
      <c r="K661" s="6" t="str">
        <f>"2.600.000,00"</f>
        <v>2.600.000,00</v>
      </c>
      <c r="L661" s="6" t="str">
        <f>"650.000,00"</f>
        <v>650.000,00</v>
      </c>
      <c r="M661" s="6" t="str">
        <f>"3.250.000,00"</f>
        <v>3.250.000,00</v>
      </c>
      <c r="N661" s="7"/>
      <c r="O661" s="7"/>
      <c r="P661" s="6" t="str">
        <f>""</f>
        <v/>
      </c>
      <c r="Q661" s="7"/>
      <c r="R661" s="1"/>
      <c r="S661" s="1" t="str">
        <f>"NOS-67/17"</f>
        <v>NOS-67/17</v>
      </c>
      <c r="T661" s="2" t="s">
        <v>33</v>
      </c>
    </row>
    <row r="662" spans="1:20" ht="38.25" x14ac:dyDescent="0.25">
      <c r="A662" s="1">
        <v>658</v>
      </c>
      <c r="B662" s="1" t="str">
        <f>"2017-2477"</f>
        <v>2017-2477</v>
      </c>
      <c r="C662" s="2" t="s">
        <v>680</v>
      </c>
      <c r="D662" s="1" t="s">
        <v>681</v>
      </c>
      <c r="E662" s="3" t="str">
        <f>""</f>
        <v/>
      </c>
      <c r="F662" s="2" t="s">
        <v>27</v>
      </c>
      <c r="G662" s="2" t="str">
        <f>CONCATENATE("ELICOM D.O.O.,"," ŠTEFANOVEC 138,"," 10000 ZAGREB,"," OIB: 76370234816")</f>
        <v>ELICOM D.O.O., ŠTEFANOVEC 138, 10000 ZAGREB, OIB: 76370234816</v>
      </c>
      <c r="H662" s="4"/>
      <c r="I662" s="1" t="s">
        <v>210</v>
      </c>
      <c r="J662" s="1" t="s">
        <v>121</v>
      </c>
      <c r="K662" s="6" t="str">
        <f>"74.070,00"</f>
        <v>74.070,00</v>
      </c>
      <c r="L662" s="6" t="str">
        <f>"7.114,80"</f>
        <v>7.114,80</v>
      </c>
      <c r="M662" s="6" t="str">
        <f>"35.574,00"</f>
        <v>35.574,00</v>
      </c>
      <c r="N662" s="5">
        <v>43607</v>
      </c>
      <c r="O662" s="7"/>
      <c r="P662" s="6" t="str">
        <f>"35.574,00"</f>
        <v>35.574,00</v>
      </c>
      <c r="Q662" s="7"/>
      <c r="R662" s="1"/>
      <c r="S662" s="1" t="str">
        <f>"1-19/NOS-67/17"</f>
        <v>1-19/NOS-67/17</v>
      </c>
      <c r="T662" s="2" t="s">
        <v>33</v>
      </c>
    </row>
    <row r="663" spans="1:20" ht="38.25" x14ac:dyDescent="0.25">
      <c r="A663" s="1">
        <v>659</v>
      </c>
      <c r="B663" s="1" t="str">
        <f>"2017-388"</f>
        <v>2017-388</v>
      </c>
      <c r="C663" s="2" t="s">
        <v>684</v>
      </c>
      <c r="D663" s="1" t="s">
        <v>599</v>
      </c>
      <c r="E663" s="3" t="str">
        <f>"2017/S 0F2-0012690"</f>
        <v>2017/S 0F2-0012690</v>
      </c>
      <c r="F663" s="2" t="s">
        <v>23</v>
      </c>
      <c r="G663" s="2" t="str">
        <f>CONCATENATE("INDUSTROOPREMA D.O.O.,"," CMP OBRTNIČKA 1,"," 10000 ZAGREB,"," OIB: 01291306683")</f>
        <v>INDUSTROOPREMA D.O.O., CMP OBRTNIČKA 1, 10000 ZAGREB, OIB: 01291306683</v>
      </c>
      <c r="H663" s="4"/>
      <c r="I663" s="1" t="s">
        <v>616</v>
      </c>
      <c r="J663" s="1" t="s">
        <v>617</v>
      </c>
      <c r="K663" s="6" t="str">
        <f>"400.000,00"</f>
        <v>400.000,00</v>
      </c>
      <c r="L663" s="6" t="str">
        <f>"100.000,00"</f>
        <v>100.000,00</v>
      </c>
      <c r="M663" s="6" t="str">
        <f>"500.000,00"</f>
        <v>500.000,00</v>
      </c>
      <c r="N663" s="7"/>
      <c r="O663" s="7"/>
      <c r="P663" s="6" t="str">
        <f>""</f>
        <v/>
      </c>
      <c r="Q663" s="7"/>
      <c r="R663" s="1"/>
      <c r="S663" s="1" t="str">
        <f>"NOS-68-A/17"</f>
        <v>NOS-68-A/17</v>
      </c>
      <c r="T663" s="2" t="s">
        <v>33</v>
      </c>
    </row>
    <row r="664" spans="1:20" ht="38.25" x14ac:dyDescent="0.25">
      <c r="A664" s="1">
        <v>660</v>
      </c>
      <c r="B664" s="1" t="str">
        <f>"2017-388"</f>
        <v>2017-388</v>
      </c>
      <c r="C664" s="2" t="s">
        <v>684</v>
      </c>
      <c r="D664" s="1" t="s">
        <v>599</v>
      </c>
      <c r="E664" s="3" t="str">
        <f>"2017/S 0F2-0012690"</f>
        <v>2017/S 0F2-0012690</v>
      </c>
      <c r="F664" s="2" t="s">
        <v>23</v>
      </c>
      <c r="G664" s="2" t="str">
        <f>CONCATENATE("INDUSTROOPREMA D.O.O.,"," CMP OBRTNIČKA 1,"," 10000 ZAGREB,"," OIB: 01291306683")</f>
        <v>INDUSTROOPREMA D.O.O., CMP OBRTNIČKA 1, 10000 ZAGREB, OIB: 01291306683</v>
      </c>
      <c r="H664" s="4"/>
      <c r="I664" s="1" t="s">
        <v>616</v>
      </c>
      <c r="J664" s="1" t="s">
        <v>617</v>
      </c>
      <c r="K664" s="6" t="str">
        <f>"200.000,00"</f>
        <v>200.000,00</v>
      </c>
      <c r="L664" s="6" t="str">
        <f>"50.000,00"</f>
        <v>50.000,00</v>
      </c>
      <c r="M664" s="6" t="str">
        <f>"250.000,00"</f>
        <v>250.000,00</v>
      </c>
      <c r="N664" s="7"/>
      <c r="O664" s="7"/>
      <c r="P664" s="6" t="str">
        <f>""</f>
        <v/>
      </c>
      <c r="Q664" s="7"/>
      <c r="R664" s="1"/>
      <c r="S664" s="1" t="str">
        <f>"NOS-68-B/17"</f>
        <v>NOS-68-B/17</v>
      </c>
      <c r="T664" s="2" t="s">
        <v>33</v>
      </c>
    </row>
    <row r="665" spans="1:20" ht="51" x14ac:dyDescent="0.25">
      <c r="A665" s="1">
        <v>661</v>
      </c>
      <c r="B665" s="1" t="str">
        <f>"2017-388"</f>
        <v>2017-388</v>
      </c>
      <c r="C665" s="2" t="s">
        <v>684</v>
      </c>
      <c r="D665" s="1" t="s">
        <v>599</v>
      </c>
      <c r="E665" s="3" t="str">
        <f>"2017/S 0F2-0012690"</f>
        <v>2017/S 0F2-0012690</v>
      </c>
      <c r="F665" s="2" t="s">
        <v>23</v>
      </c>
      <c r="G665" s="2" t="str">
        <f>CONCATENATE("TRGOMETAL D.O.O.,"," KOVINSKA 4,"," 10090 ZAGREB-SUSEDGRAD,"," OIB: 26004523816",CHAR(10),"INDUSTROOPREMA D.O.O.,"," CMP OBRTNIČKA 1,"," 10000 ZAGREB,"," OIB: 01291306683")</f>
        <v>TRGOMETAL D.O.O., KOVINSKA 4, 10090 ZAGREB-SUSEDGRAD, OIB: 26004523816
INDUSTROOPREMA D.O.O., CMP OBRTNIČKA 1, 10000 ZAGREB, OIB: 01291306683</v>
      </c>
      <c r="H665" s="4"/>
      <c r="I665" s="1" t="s">
        <v>677</v>
      </c>
      <c r="J665" s="1" t="s">
        <v>678</v>
      </c>
      <c r="K665" s="6" t="str">
        <f>"200.000,00"</f>
        <v>200.000,00</v>
      </c>
      <c r="L665" s="6" t="str">
        <f>"50.000,00"</f>
        <v>50.000,00</v>
      </c>
      <c r="M665" s="6" t="str">
        <f>"250.000,00"</f>
        <v>250.000,00</v>
      </c>
      <c r="N665" s="7"/>
      <c r="O665" s="7"/>
      <c r="P665" s="6" t="str">
        <f>""</f>
        <v/>
      </c>
      <c r="Q665" s="7"/>
      <c r="R665" s="1"/>
      <c r="S665" s="1" t="str">
        <f>"NOS-68-C/17"</f>
        <v>NOS-68-C/17</v>
      </c>
      <c r="T665" s="2" t="s">
        <v>33</v>
      </c>
    </row>
    <row r="666" spans="1:20" ht="38.25" x14ac:dyDescent="0.25">
      <c r="A666" s="1">
        <v>662</v>
      </c>
      <c r="B666" s="1" t="str">
        <f>"2017-388"</f>
        <v>2017-388</v>
      </c>
      <c r="C666" s="2" t="s">
        <v>684</v>
      </c>
      <c r="D666" s="1" t="s">
        <v>599</v>
      </c>
      <c r="E666" s="3" t="str">
        <f>"2017/S 0F2-0012690"</f>
        <v>2017/S 0F2-0012690</v>
      </c>
      <c r="F666" s="2" t="s">
        <v>23</v>
      </c>
      <c r="G666" s="2" t="str">
        <f>CONCATENATE("INDUSTROOPREMA D.O.O.,"," CMP OBRTNIČKA 1,"," 10000 ZAGREB,"," OIB: 01291306683")</f>
        <v>INDUSTROOPREMA D.O.O., CMP OBRTNIČKA 1, 10000 ZAGREB, OIB: 01291306683</v>
      </c>
      <c r="H666" s="4"/>
      <c r="I666" s="1" t="s">
        <v>616</v>
      </c>
      <c r="J666" s="1" t="s">
        <v>617</v>
      </c>
      <c r="K666" s="6" t="str">
        <f>"300.000,00"</f>
        <v>300.000,00</v>
      </c>
      <c r="L666" s="6" t="str">
        <f>"75.000,00"</f>
        <v>75.000,00</v>
      </c>
      <c r="M666" s="6" t="str">
        <f>"375.000,00"</f>
        <v>375.000,00</v>
      </c>
      <c r="N666" s="7"/>
      <c r="O666" s="7"/>
      <c r="P666" s="6" t="str">
        <f>""</f>
        <v/>
      </c>
      <c r="Q666" s="7"/>
      <c r="R666" s="1"/>
      <c r="S666" s="1" t="str">
        <f>"NOS-68-D/17"</f>
        <v>NOS-68-D/17</v>
      </c>
      <c r="T666" s="2" t="s">
        <v>33</v>
      </c>
    </row>
    <row r="667" spans="1:20" ht="38.25" x14ac:dyDescent="0.25">
      <c r="A667" s="1">
        <v>663</v>
      </c>
      <c r="B667" s="1" t="str">
        <f>"2017-388"</f>
        <v>2017-388</v>
      </c>
      <c r="C667" s="2" t="s">
        <v>684</v>
      </c>
      <c r="D667" s="1" t="s">
        <v>599</v>
      </c>
      <c r="E667" s="3" t="str">
        <f>"2017/S 0F2-0012690"</f>
        <v>2017/S 0F2-0012690</v>
      </c>
      <c r="F667" s="2" t="s">
        <v>23</v>
      </c>
      <c r="G667" s="2" t="str">
        <f>CONCATENATE("INDUSTROOPREMA D.O.O.,"," CMP OBRTNIČKA 1,"," 10000 ZAGREB,"," OIB: 01291306683")</f>
        <v>INDUSTROOPREMA D.O.O., CMP OBRTNIČKA 1, 10000 ZAGREB, OIB: 01291306683</v>
      </c>
      <c r="H667" s="4"/>
      <c r="I667" s="1" t="s">
        <v>616</v>
      </c>
      <c r="J667" s="1" t="s">
        <v>617</v>
      </c>
      <c r="K667" s="6" t="str">
        <f>"600.000,00"</f>
        <v>600.000,00</v>
      </c>
      <c r="L667" s="6" t="str">
        <f>"150.000,00"</f>
        <v>150.000,00</v>
      </c>
      <c r="M667" s="6" t="str">
        <f>"750.000,00"</f>
        <v>750.000,00</v>
      </c>
      <c r="N667" s="7"/>
      <c r="O667" s="7"/>
      <c r="P667" s="6" t="str">
        <f>""</f>
        <v/>
      </c>
      <c r="Q667" s="7"/>
      <c r="R667" s="1"/>
      <c r="S667" s="1" t="str">
        <f>"NOS-68-E/17"</f>
        <v>NOS-68-E/17</v>
      </c>
      <c r="T667" s="2" t="s">
        <v>33</v>
      </c>
    </row>
    <row r="668" spans="1:20" ht="38.25" x14ac:dyDescent="0.25">
      <c r="A668" s="1">
        <v>664</v>
      </c>
      <c r="B668" s="1" t="str">
        <f t="shared" ref="B668:B673" si="67">"2017-2485"</f>
        <v>2017-2485</v>
      </c>
      <c r="C668" s="2" t="s">
        <v>685</v>
      </c>
      <c r="D668" s="1" t="s">
        <v>223</v>
      </c>
      <c r="E668" s="3" t="str">
        <f>"2017/S 0F2-0015144"</f>
        <v>2017/S 0F2-0015144</v>
      </c>
      <c r="F668" s="2" t="s">
        <v>23</v>
      </c>
      <c r="G668" s="2" t="str">
        <f>CONCATENATE("HT D.D.,"," OIB: 8179314656")</f>
        <v>HT D.D., OIB: 8179314656</v>
      </c>
      <c r="H668" s="4"/>
      <c r="I668" s="1" t="s">
        <v>665</v>
      </c>
      <c r="J668" s="1" t="s">
        <v>686</v>
      </c>
      <c r="K668" s="6" t="str">
        <f>"12.000.000,00"</f>
        <v>12.000.000,00</v>
      </c>
      <c r="L668" s="6" t="str">
        <f>"3.000.000,00"</f>
        <v>3.000.000,00</v>
      </c>
      <c r="M668" s="6" t="str">
        <f>"15.000.000,00"</f>
        <v>15.000.000,00</v>
      </c>
      <c r="N668" s="7"/>
      <c r="O668" s="7"/>
      <c r="P668" s="6" t="str">
        <f>""</f>
        <v/>
      </c>
      <c r="Q668" s="7"/>
      <c r="R668" s="1"/>
      <c r="S668" s="1" t="str">
        <f>"NOS-69/17"</f>
        <v>NOS-69/17</v>
      </c>
      <c r="T668" s="2" t="s">
        <v>33</v>
      </c>
    </row>
    <row r="669" spans="1:20" ht="25.5" x14ac:dyDescent="0.25">
      <c r="A669" s="1">
        <v>665</v>
      </c>
      <c r="B669" s="1" t="str">
        <f t="shared" si="67"/>
        <v>2017-2485</v>
      </c>
      <c r="C669" s="2" t="s">
        <v>685</v>
      </c>
      <c r="D669" s="1" t="s">
        <v>223</v>
      </c>
      <c r="E669" s="3" t="str">
        <f>""</f>
        <v/>
      </c>
      <c r="F669" s="2" t="s">
        <v>27</v>
      </c>
      <c r="G669" s="2" t="str">
        <f>CONCATENATE("HT D.D.,"," OIB: 8179314656")</f>
        <v>HT D.D., OIB: 8179314656</v>
      </c>
      <c r="H669" s="4"/>
      <c r="I669" s="1" t="s">
        <v>186</v>
      </c>
      <c r="J669" s="1" t="s">
        <v>114</v>
      </c>
      <c r="K669" s="6" t="str">
        <f>"1.312.500,00"</f>
        <v>1.312.500,00</v>
      </c>
      <c r="L669" s="6" t="str">
        <f>"328.125,00"</f>
        <v>328.125,00</v>
      </c>
      <c r="M669" s="6" t="str">
        <f>"1.640.625,00"</f>
        <v>1.640.625,00</v>
      </c>
      <c r="N669" s="5">
        <v>43622</v>
      </c>
      <c r="O669" s="7"/>
      <c r="P669" s="6" t="str">
        <f>"1.640.625,00"</f>
        <v>1.640.625,00</v>
      </c>
      <c r="Q669" s="7"/>
      <c r="R669" s="1"/>
      <c r="S669" s="1" t="str">
        <f>"11-18/NOS-69/17"</f>
        <v>11-18/NOS-69/17</v>
      </c>
      <c r="T669" s="2" t="s">
        <v>33</v>
      </c>
    </row>
    <row r="670" spans="1:20" ht="25.5" x14ac:dyDescent="0.25">
      <c r="A670" s="1">
        <v>666</v>
      </c>
      <c r="B670" s="1" t="str">
        <f t="shared" si="67"/>
        <v>2017-2485</v>
      </c>
      <c r="C670" s="2" t="s">
        <v>685</v>
      </c>
      <c r="D670" s="4"/>
      <c r="E670" s="3" t="str">
        <f>""</f>
        <v/>
      </c>
      <c r="F670" s="2" t="s">
        <v>27</v>
      </c>
      <c r="G670" s="2" t="str">
        <f>CONCATENATE("HT D.D.,"," RADNIČKA CESTA 21,"," 10000 ZAGREB,"," OIB: 8179314656")</f>
        <v>HT D.D., RADNIČKA CESTA 21, 10000 ZAGREB, OIB: 8179314656</v>
      </c>
      <c r="H670" s="4"/>
      <c r="I670" s="1" t="s">
        <v>162</v>
      </c>
      <c r="J670" s="1" t="s">
        <v>516</v>
      </c>
      <c r="K670" s="6" t="str">
        <f>"2.625.000,00"</f>
        <v>2.625.000,00</v>
      </c>
      <c r="L670" s="6" t="str">
        <f>"656.250,00"</f>
        <v>656.250,00</v>
      </c>
      <c r="M670" s="6" t="str">
        <f>"3.281.250,00"</f>
        <v>3.281.250,00</v>
      </c>
      <c r="N670" s="5">
        <v>43684</v>
      </c>
      <c r="O670" s="7"/>
      <c r="P670" s="6" t="str">
        <f>"546.875,00"</f>
        <v>546.875,00</v>
      </c>
      <c r="Q670" s="7"/>
      <c r="R670" s="1"/>
      <c r="S670" s="1" t="str">
        <f>"3-19/NOS-69/17"</f>
        <v>3-19/NOS-69/17</v>
      </c>
      <c r="T670" s="2" t="s">
        <v>33</v>
      </c>
    </row>
    <row r="671" spans="1:20" ht="25.5" x14ac:dyDescent="0.25">
      <c r="A671" s="1">
        <v>667</v>
      </c>
      <c r="B671" s="1" t="str">
        <f t="shared" si="67"/>
        <v>2017-2485</v>
      </c>
      <c r="C671" s="2" t="s">
        <v>685</v>
      </c>
      <c r="D671" s="1" t="s">
        <v>223</v>
      </c>
      <c r="E671" s="3" t="str">
        <f>""</f>
        <v/>
      </c>
      <c r="F671" s="2" t="s">
        <v>27</v>
      </c>
      <c r="G671" s="2" t="str">
        <f>CONCATENATE("HT D.D.,"," OIB: 8179314656")</f>
        <v>HT D.D., OIB: 8179314656</v>
      </c>
      <c r="H671" s="4"/>
      <c r="I671" s="1" t="s">
        <v>470</v>
      </c>
      <c r="J671" s="1" t="s">
        <v>436</v>
      </c>
      <c r="K671" s="6" t="str">
        <f>"74.568,00"</f>
        <v>74.568,00</v>
      </c>
      <c r="L671" s="6" t="str">
        <f>"18.642,00"</f>
        <v>18.642,00</v>
      </c>
      <c r="M671" s="6" t="str">
        <f>"93.210,00"</f>
        <v>93.210,00</v>
      </c>
      <c r="N671" s="5">
        <v>43553</v>
      </c>
      <c r="O671" s="7"/>
      <c r="P671" s="6" t="str">
        <f>"93.210,00"</f>
        <v>93.210,00</v>
      </c>
      <c r="Q671" s="7"/>
      <c r="R671" s="1"/>
      <c r="S671" s="1" t="str">
        <f>"1-19/NOS-69/17"</f>
        <v>1-19/NOS-69/17</v>
      </c>
      <c r="T671" s="2" t="s">
        <v>33</v>
      </c>
    </row>
    <row r="672" spans="1:20" ht="25.5" x14ac:dyDescent="0.25">
      <c r="A672" s="1">
        <v>668</v>
      </c>
      <c r="B672" s="1" t="str">
        <f t="shared" si="67"/>
        <v>2017-2485</v>
      </c>
      <c r="C672" s="2" t="s">
        <v>685</v>
      </c>
      <c r="D672" s="1" t="s">
        <v>223</v>
      </c>
      <c r="E672" s="3" t="str">
        <f>""</f>
        <v/>
      </c>
      <c r="F672" s="2" t="s">
        <v>27</v>
      </c>
      <c r="G672" s="2" t="str">
        <f>CONCATENATE("HT D.D.,"," OIB: 8179314656")</f>
        <v>HT D.D., OIB: 8179314656</v>
      </c>
      <c r="H672" s="4"/>
      <c r="I672" s="1" t="s">
        <v>318</v>
      </c>
      <c r="J672" s="1" t="s">
        <v>380</v>
      </c>
      <c r="K672" s="6" t="str">
        <f>"48.984,00"</f>
        <v>48.984,00</v>
      </c>
      <c r="L672" s="6" t="str">
        <f>"12.246,00"</f>
        <v>12.246,00</v>
      </c>
      <c r="M672" s="6" t="str">
        <f>"61.230,00"</f>
        <v>61.230,00</v>
      </c>
      <c r="N672" s="5">
        <v>43578</v>
      </c>
      <c r="O672" s="7"/>
      <c r="P672" s="6" t="str">
        <f>"61.230,00"</f>
        <v>61.230,00</v>
      </c>
      <c r="Q672" s="7"/>
      <c r="R672" s="1"/>
      <c r="S672" s="1" t="str">
        <f>"2-19/NOS-69/17"</f>
        <v>2-19/NOS-69/17</v>
      </c>
      <c r="T672" s="2" t="s">
        <v>33</v>
      </c>
    </row>
    <row r="673" spans="1:20" ht="25.5" x14ac:dyDescent="0.25">
      <c r="A673" s="1">
        <v>669</v>
      </c>
      <c r="B673" s="1" t="str">
        <f t="shared" si="67"/>
        <v>2017-2485</v>
      </c>
      <c r="C673" s="2" t="s">
        <v>685</v>
      </c>
      <c r="D673" s="1" t="s">
        <v>223</v>
      </c>
      <c r="E673" s="3" t="str">
        <f>""</f>
        <v/>
      </c>
      <c r="F673" s="2" t="s">
        <v>27</v>
      </c>
      <c r="G673" s="2" t="str">
        <f>CONCATENATE("HT D.D.,"," RADNIČKA CESTA 21,"," 10000 ZAGREB,"," OIB: 8179314656")</f>
        <v>HT D.D., RADNIČKA CESTA 21, 10000 ZAGREB, OIB: 8179314656</v>
      </c>
      <c r="H673" s="4"/>
      <c r="I673" s="1" t="s">
        <v>640</v>
      </c>
      <c r="J673" s="1" t="s">
        <v>31</v>
      </c>
      <c r="K673" s="6" t="str">
        <f>"92.352,00"</f>
        <v>92.352,00</v>
      </c>
      <c r="L673" s="6" t="str">
        <f>"0,00"</f>
        <v>0,00</v>
      </c>
      <c r="M673" s="6" t="str">
        <f>"0,00"</f>
        <v>0,00</v>
      </c>
      <c r="N673" s="1" t="s">
        <v>117</v>
      </c>
      <c r="O673" s="7"/>
      <c r="P673" s="6" t="str">
        <f>"0,00"</f>
        <v>0,00</v>
      </c>
      <c r="Q673" s="7"/>
      <c r="R673" s="1"/>
      <c r="S673" s="1" t="str">
        <f>"4-19/NOS-69/17"</f>
        <v>4-19/NOS-69/17</v>
      </c>
      <c r="T673" s="2" t="s">
        <v>33</v>
      </c>
    </row>
    <row r="674" spans="1:20" ht="38.25" x14ac:dyDescent="0.25">
      <c r="A674" s="1">
        <v>670</v>
      </c>
      <c r="B674" s="1" t="str">
        <f>"2017-319"</f>
        <v>2017-319</v>
      </c>
      <c r="C674" s="2" t="s">
        <v>687</v>
      </c>
      <c r="D674" s="1" t="s">
        <v>688</v>
      </c>
      <c r="E674" s="3" t="str">
        <f>"2017/S 0F2-0016714"</f>
        <v>2017/S 0F2-0016714</v>
      </c>
      <c r="F674" s="2" t="s">
        <v>23</v>
      </c>
      <c r="G674" s="2" t="str">
        <f>CONCATENATE("ARBORI CULTURA D.O.O.,"," POKUPSKO 86,"," 10414 POKUPSKO,"," OIB: 16690651659")</f>
        <v>ARBORI CULTURA D.O.O., POKUPSKO 86, 10414 POKUPSKO, OIB: 16690651659</v>
      </c>
      <c r="H674" s="4"/>
      <c r="I674" s="1" t="s">
        <v>689</v>
      </c>
      <c r="J674" s="1" t="s">
        <v>690</v>
      </c>
      <c r="K674" s="6" t="str">
        <f>"1.450.000,00"</f>
        <v>1.450.000,00</v>
      </c>
      <c r="L674" s="6" t="str">
        <f>"362.500,00"</f>
        <v>362.500,00</v>
      </c>
      <c r="M674" s="6" t="str">
        <f>"1.812.500,00"</f>
        <v>1.812.500,00</v>
      </c>
      <c r="N674" s="7"/>
      <c r="O674" s="7"/>
      <c r="P674" s="6" t="str">
        <f>""</f>
        <v/>
      </c>
      <c r="Q674" s="7"/>
      <c r="R674" s="1"/>
      <c r="S674" s="1" t="str">
        <f>"NOS-70/17"</f>
        <v>NOS-70/17</v>
      </c>
      <c r="T674" s="2" t="s">
        <v>33</v>
      </c>
    </row>
    <row r="675" spans="1:20" ht="25.5" x14ac:dyDescent="0.25">
      <c r="A675" s="1">
        <v>671</v>
      </c>
      <c r="B675" s="1" t="str">
        <f>"2017-319"</f>
        <v>2017-319</v>
      </c>
      <c r="C675" s="2" t="s">
        <v>687</v>
      </c>
      <c r="D675" s="1" t="s">
        <v>688</v>
      </c>
      <c r="E675" s="3" t="str">
        <f>""</f>
        <v/>
      </c>
      <c r="F675" s="2" t="s">
        <v>27</v>
      </c>
      <c r="G675" s="2" t="str">
        <f>CONCATENATE("ARBORI CULTURA D.O.O.,"," POKUPSKO 86,"," 10414 POKUPSKO,"," OIB: 16690651659")</f>
        <v>ARBORI CULTURA D.O.O., POKUPSKO 86, 10414 POKUPSKO, OIB: 16690651659</v>
      </c>
      <c r="H675" s="4"/>
      <c r="I675" s="1" t="s">
        <v>343</v>
      </c>
      <c r="J675" s="1" t="s">
        <v>47</v>
      </c>
      <c r="K675" s="6" t="str">
        <f>"139.872,00"</f>
        <v>139.872,00</v>
      </c>
      <c r="L675" s="6" t="str">
        <f>"34.792,00"</f>
        <v>34.792,00</v>
      </c>
      <c r="M675" s="6" t="str">
        <f>"173.960,00"</f>
        <v>173.960,00</v>
      </c>
      <c r="N675" s="5">
        <v>43570</v>
      </c>
      <c r="O675" s="7"/>
      <c r="P675" s="6" t="str">
        <f>"173.960,00"</f>
        <v>173.960,00</v>
      </c>
      <c r="Q675" s="7"/>
      <c r="R675" s="1"/>
      <c r="S675" s="1" t="str">
        <f>"1-19/NOS-70/17"</f>
        <v>1-19/NOS-70/17</v>
      </c>
      <c r="T675" s="2" t="s">
        <v>33</v>
      </c>
    </row>
    <row r="676" spans="1:20" ht="25.5" x14ac:dyDescent="0.25">
      <c r="A676" s="1">
        <v>672</v>
      </c>
      <c r="B676" s="1" t="str">
        <f>"2017-319"</f>
        <v>2017-319</v>
      </c>
      <c r="C676" s="2" t="s">
        <v>687</v>
      </c>
      <c r="D676" s="1" t="s">
        <v>688</v>
      </c>
      <c r="E676" s="3" t="str">
        <f>""</f>
        <v/>
      </c>
      <c r="F676" s="2" t="s">
        <v>27</v>
      </c>
      <c r="G676" s="2" t="str">
        <f>CONCATENATE("ARBORI CULTURA D.O.O.,"," POKUPSKO 86,"," 10414 POKUPSKO,"," OIB: 16690651659")</f>
        <v>ARBORI CULTURA D.O.O., POKUPSKO 86, 10414 POKUPSKO, OIB: 16690651659</v>
      </c>
      <c r="H676" s="4"/>
      <c r="I676" s="1" t="s">
        <v>321</v>
      </c>
      <c r="J676" s="1" t="s">
        <v>47</v>
      </c>
      <c r="K676" s="6" t="str">
        <f>"64.000,00"</f>
        <v>64.000,00</v>
      </c>
      <c r="L676" s="6" t="str">
        <f>"16.000,00"</f>
        <v>16.000,00</v>
      </c>
      <c r="M676" s="6" t="str">
        <f>"80.000,00"</f>
        <v>80.000,00</v>
      </c>
      <c r="N676" s="5">
        <v>43585</v>
      </c>
      <c r="O676" s="7"/>
      <c r="P676" s="6" t="str">
        <f>"80.000,00"</f>
        <v>80.000,00</v>
      </c>
      <c r="Q676" s="7"/>
      <c r="R676" s="1"/>
      <c r="S676" s="1" t="str">
        <f>"2-19/NOS-70/17"</f>
        <v>2-19/NOS-70/17</v>
      </c>
      <c r="T676" s="2" t="s">
        <v>33</v>
      </c>
    </row>
    <row r="677" spans="1:20" ht="25.5" x14ac:dyDescent="0.25">
      <c r="A677" s="1">
        <v>673</v>
      </c>
      <c r="B677" s="1" t="str">
        <f>"2017-319"</f>
        <v>2017-319</v>
      </c>
      <c r="C677" s="2" t="s">
        <v>687</v>
      </c>
      <c r="D677" s="1" t="s">
        <v>688</v>
      </c>
      <c r="E677" s="3" t="str">
        <f>""</f>
        <v/>
      </c>
      <c r="F677" s="2" t="s">
        <v>27</v>
      </c>
      <c r="G677" s="2" t="str">
        <f>CONCATENATE("ARBORI CULTURA D.O.O.,"," POKUPSKO 86,"," 10414 POKUPSKO,"," OIB: 16690651659")</f>
        <v>ARBORI CULTURA D.O.O., POKUPSKO 86, 10414 POKUPSKO, OIB: 16690651659</v>
      </c>
      <c r="H677" s="4"/>
      <c r="I677" s="1" t="s">
        <v>317</v>
      </c>
      <c r="J677" s="1" t="s">
        <v>47</v>
      </c>
      <c r="K677" s="6" t="str">
        <f>"64.000,00"</f>
        <v>64.000,00</v>
      </c>
      <c r="L677" s="6" t="str">
        <f>"16.000,00"</f>
        <v>16.000,00</v>
      </c>
      <c r="M677" s="6" t="str">
        <f>"80.000,00"</f>
        <v>80.000,00</v>
      </c>
      <c r="N677" s="5">
        <v>43608</v>
      </c>
      <c r="O677" s="7"/>
      <c r="P677" s="6" t="str">
        <f>"80.000,00"</f>
        <v>80.000,00</v>
      </c>
      <c r="Q677" s="7"/>
      <c r="R677" s="1"/>
      <c r="S677" s="1" t="str">
        <f>"3-19/NOS-70/17"</f>
        <v>3-19/NOS-70/17</v>
      </c>
      <c r="T677" s="2" t="s">
        <v>33</v>
      </c>
    </row>
    <row r="678" spans="1:20" ht="25.5" x14ac:dyDescent="0.25">
      <c r="A678" s="1">
        <v>674</v>
      </c>
      <c r="B678" s="1" t="str">
        <f>"2017-319"</f>
        <v>2017-319</v>
      </c>
      <c r="C678" s="2" t="s">
        <v>687</v>
      </c>
      <c r="D678" s="1" t="s">
        <v>688</v>
      </c>
      <c r="E678" s="3" t="str">
        <f>""</f>
        <v/>
      </c>
      <c r="F678" s="2" t="s">
        <v>27</v>
      </c>
      <c r="G678" s="2" t="str">
        <f>CONCATENATE("ARBORI CULTURA D.O.O.,"," POKUPSKO 86,"," 10414 POKUPSKO,"," OIB: 16690651659")</f>
        <v>ARBORI CULTURA D.O.O., POKUPSKO 86, 10414 POKUPSKO, OIB: 16690651659</v>
      </c>
      <c r="H678" s="4"/>
      <c r="I678" s="1" t="s">
        <v>499</v>
      </c>
      <c r="J678" s="1" t="s">
        <v>47</v>
      </c>
      <c r="K678" s="6" t="str">
        <f>"4.656,00"</f>
        <v>4.656,00</v>
      </c>
      <c r="L678" s="6" t="str">
        <f>"1.066,50"</f>
        <v>1.066,50</v>
      </c>
      <c r="M678" s="6" t="str">
        <f>"5.332,50"</f>
        <v>5.332,50</v>
      </c>
      <c r="N678" s="5">
        <v>43614</v>
      </c>
      <c r="O678" s="7"/>
      <c r="P678" s="6" t="str">
        <f>"5.332,50"</f>
        <v>5.332,50</v>
      </c>
      <c r="Q678" s="7"/>
      <c r="R678" s="1"/>
      <c r="S678" s="1" t="str">
        <f>"4-19/NOS-70/17"</f>
        <v>4-19/NOS-70/17</v>
      </c>
      <c r="T678" s="2" t="s">
        <v>33</v>
      </c>
    </row>
    <row r="679" spans="1:20" ht="38.25" x14ac:dyDescent="0.25">
      <c r="A679" s="1">
        <v>675</v>
      </c>
      <c r="B679" s="1" t="str">
        <f t="shared" ref="B679:B698" si="68">"2017-372"</f>
        <v>2017-372</v>
      </c>
      <c r="C679" s="2" t="s">
        <v>691</v>
      </c>
      <c r="D679" s="1" t="s">
        <v>192</v>
      </c>
      <c r="E679" s="3" t="str">
        <f>"2017/S 0F2-0012752"</f>
        <v>2017/S 0F2-0012752</v>
      </c>
      <c r="F679" s="2" t="s">
        <v>23</v>
      </c>
      <c r="G679" s="2" t="str">
        <f>CONCATENATE("GRA-PO D.O.O.,"," GOSPODARSKA 5B,"," 10255 ZAGREB - STUPNIK,"," OIB: 05364995085")</f>
        <v>GRA-PO D.O.O., GOSPODARSKA 5B, 10255 ZAGREB - STUPNIK, OIB: 05364995085</v>
      </c>
      <c r="H679" s="4"/>
      <c r="I679" s="1" t="s">
        <v>692</v>
      </c>
      <c r="J679" s="1" t="s">
        <v>693</v>
      </c>
      <c r="K679" s="6" t="str">
        <f>"1.700.000,00"</f>
        <v>1.700.000,00</v>
      </c>
      <c r="L679" s="6" t="str">
        <f>"425.000,00"</f>
        <v>425.000,00</v>
      </c>
      <c r="M679" s="6" t="str">
        <f>"2.125.000,00"</f>
        <v>2.125.000,00</v>
      </c>
      <c r="N679" s="7"/>
      <c r="O679" s="7"/>
      <c r="P679" s="6" t="str">
        <f>""</f>
        <v/>
      </c>
      <c r="Q679" s="7"/>
      <c r="R679" s="1"/>
      <c r="S679" s="1" t="str">
        <f>"NOS-72-A/17"</f>
        <v>NOS-72-A/17</v>
      </c>
      <c r="T679" s="2" t="s">
        <v>26</v>
      </c>
    </row>
    <row r="680" spans="1:20" ht="25.5" x14ac:dyDescent="0.25">
      <c r="A680" s="1">
        <v>676</v>
      </c>
      <c r="B680" s="1" t="str">
        <f t="shared" si="68"/>
        <v>2017-372</v>
      </c>
      <c r="C680" s="2" t="s">
        <v>691</v>
      </c>
      <c r="D680" s="1" t="s">
        <v>192</v>
      </c>
      <c r="E680" s="3" t="str">
        <f>""</f>
        <v/>
      </c>
      <c r="F680" s="2" t="s">
        <v>27</v>
      </c>
      <c r="G680" s="2" t="str">
        <f>CONCATENATE("GRA-PO D.O.O.,"," GOSPODARSKA 5B,"," 10255 ZAGREB - STUPNIK,"," OIB: 05364995085")</f>
        <v>GRA-PO D.O.O., GOSPODARSKA 5B, 10255 ZAGREB - STUPNIK, OIB: 05364995085</v>
      </c>
      <c r="H680" s="4"/>
      <c r="I680" s="1" t="s">
        <v>596</v>
      </c>
      <c r="J680" s="1" t="s">
        <v>469</v>
      </c>
      <c r="K680" s="6" t="str">
        <f>"13.390,00"</f>
        <v>13.390,00</v>
      </c>
      <c r="L680" s="6" t="str">
        <f>"3.347,50"</f>
        <v>3.347,50</v>
      </c>
      <c r="M680" s="6" t="str">
        <f>"16.737,50"</f>
        <v>16.737,50</v>
      </c>
      <c r="N680" s="5">
        <v>43524</v>
      </c>
      <c r="O680" s="7"/>
      <c r="P680" s="6" t="str">
        <f>"16.737,50"</f>
        <v>16.737,50</v>
      </c>
      <c r="Q680" s="7"/>
      <c r="R680" s="1"/>
      <c r="S680" s="1" t="str">
        <f>"1-19/NOS-72-A/17"</f>
        <v>1-19/NOS-72-A/17</v>
      </c>
      <c r="T680" s="2" t="s">
        <v>33</v>
      </c>
    </row>
    <row r="681" spans="1:20" ht="25.5" x14ac:dyDescent="0.25">
      <c r="A681" s="1">
        <v>677</v>
      </c>
      <c r="B681" s="1" t="str">
        <f t="shared" si="68"/>
        <v>2017-372</v>
      </c>
      <c r="C681" s="2" t="s">
        <v>691</v>
      </c>
      <c r="D681" s="1" t="s">
        <v>192</v>
      </c>
      <c r="E681" s="3" t="str">
        <f>""</f>
        <v/>
      </c>
      <c r="F681" s="2" t="s">
        <v>27</v>
      </c>
      <c r="G681" s="2" t="str">
        <f>CONCATENATE("GRA-PO D.O.O.,"," GOSPODARSKA 5B,"," 10255 ZAGREB - STUPNIK,"," OIB: 05364995085")</f>
        <v>GRA-PO D.O.O., GOSPODARSKA 5B, 10255 ZAGREB - STUPNIK, OIB: 05364995085</v>
      </c>
      <c r="H681" s="4"/>
      <c r="I681" s="1" t="s">
        <v>321</v>
      </c>
      <c r="J681" s="1" t="s">
        <v>73</v>
      </c>
      <c r="K681" s="6" t="str">
        <f>"3.909,00"</f>
        <v>3.909,00</v>
      </c>
      <c r="L681" s="6" t="str">
        <f>"977,25"</f>
        <v>977,25</v>
      </c>
      <c r="M681" s="6" t="str">
        <f>"4.886,25"</f>
        <v>4.886,25</v>
      </c>
      <c r="N681" s="5">
        <v>43601</v>
      </c>
      <c r="O681" s="7"/>
      <c r="P681" s="6" t="str">
        <f>"4.462,50"</f>
        <v>4.462,50</v>
      </c>
      <c r="Q681" s="7"/>
      <c r="R681" s="1"/>
      <c r="S681" s="1" t="str">
        <f>"3-19/NOS-72-A/17"</f>
        <v>3-19/NOS-72-A/17</v>
      </c>
      <c r="T681" s="2" t="s">
        <v>33</v>
      </c>
    </row>
    <row r="682" spans="1:20" ht="38.25" x14ac:dyDescent="0.25">
      <c r="A682" s="1">
        <v>678</v>
      </c>
      <c r="B682" s="1" t="str">
        <f t="shared" si="68"/>
        <v>2017-372</v>
      </c>
      <c r="C682" s="2" t="s">
        <v>691</v>
      </c>
      <c r="D682" s="1" t="s">
        <v>192</v>
      </c>
      <c r="E682" s="3" t="str">
        <f>"2017/S 0F2-0012752"</f>
        <v>2017/S 0F2-0012752</v>
      </c>
      <c r="F682" s="2" t="s">
        <v>23</v>
      </c>
      <c r="G682" s="2" t="str">
        <f>CONCATENATE("AUTO-MAG D.O.O.,"," GORNJOSTUPNIČKA 1/d,"," 10255 GORNJI STUPNIK,"," OIB: 99940897955")</f>
        <v>AUTO-MAG D.O.O., GORNJOSTUPNIČKA 1/d, 10255 GORNJI STUPNIK, OIB: 99940897955</v>
      </c>
      <c r="H682" s="4"/>
      <c r="I682" s="1" t="s">
        <v>692</v>
      </c>
      <c r="J682" s="1" t="s">
        <v>693</v>
      </c>
      <c r="K682" s="6" t="str">
        <f>"950.000,00"</f>
        <v>950.000,00</v>
      </c>
      <c r="L682" s="6" t="str">
        <f>"237.500,00"</f>
        <v>237.500,00</v>
      </c>
      <c r="M682" s="6" t="str">
        <f>"1.187.500,00"</f>
        <v>1.187.500,00</v>
      </c>
      <c r="N682" s="7"/>
      <c r="O682" s="7"/>
      <c r="P682" s="6" t="str">
        <f>""</f>
        <v/>
      </c>
      <c r="Q682" s="7"/>
      <c r="R682" s="1"/>
      <c r="S682" s="1" t="str">
        <f>"NOS-72-B/17"</f>
        <v>NOS-72-B/17</v>
      </c>
      <c r="T682" s="2" t="s">
        <v>26</v>
      </c>
    </row>
    <row r="683" spans="1:20" ht="25.5" x14ac:dyDescent="0.25">
      <c r="A683" s="1">
        <v>679</v>
      </c>
      <c r="B683" s="1" t="str">
        <f t="shared" si="68"/>
        <v>2017-372</v>
      </c>
      <c r="C683" s="2" t="s">
        <v>691</v>
      </c>
      <c r="D683" s="1" t="s">
        <v>192</v>
      </c>
      <c r="E683" s="3" t="str">
        <f>""</f>
        <v/>
      </c>
      <c r="F683" s="2" t="s">
        <v>27</v>
      </c>
      <c r="G683" s="2" t="str">
        <f>CONCATENATE("AUTO-MAG D.O.O.,"," GORNJOSTUPNIČKA 1/d,"," 10255 GORNJI STUPNIK,"," OIB: 99940897955")</f>
        <v>AUTO-MAG D.O.O., GORNJOSTUPNIČKA 1/d, 10255 GORNJI STUPNIK, OIB: 99940897955</v>
      </c>
      <c r="H683" s="4"/>
      <c r="I683" s="1" t="s">
        <v>455</v>
      </c>
      <c r="J683" s="1" t="s">
        <v>469</v>
      </c>
      <c r="K683" s="6" t="str">
        <f>"15.641,24"</f>
        <v>15.641,24</v>
      </c>
      <c r="L683" s="6" t="str">
        <f>"3.910,31"</f>
        <v>3.910,31</v>
      </c>
      <c r="M683" s="6" t="str">
        <f>"19.551,55"</f>
        <v>19.551,55</v>
      </c>
      <c r="N683" s="5">
        <v>43613</v>
      </c>
      <c r="O683" s="7"/>
      <c r="P683" s="6" t="str">
        <f>"19.551,55"</f>
        <v>19.551,55</v>
      </c>
      <c r="Q683" s="7"/>
      <c r="R683" s="1"/>
      <c r="S683" s="1" t="str">
        <f>"1-19/NOS-72-B/17"</f>
        <v>1-19/NOS-72-B/17</v>
      </c>
      <c r="T683" s="2" t="s">
        <v>33</v>
      </c>
    </row>
    <row r="684" spans="1:20" ht="38.25" x14ac:dyDescent="0.25">
      <c r="A684" s="1">
        <v>680</v>
      </c>
      <c r="B684" s="1" t="str">
        <f t="shared" si="68"/>
        <v>2017-372</v>
      </c>
      <c r="C684" s="2" t="s">
        <v>691</v>
      </c>
      <c r="D684" s="1" t="s">
        <v>192</v>
      </c>
      <c r="E684" s="3" t="str">
        <f>"2017/S 0F2-0012752"</f>
        <v>2017/S 0F2-0012752</v>
      </c>
      <c r="F684" s="2" t="s">
        <v>23</v>
      </c>
      <c r="G684" s="2" t="str">
        <f t="shared" ref="G684:G691" si="69">CONCATENATE("GRA-PO D.O.O.,"," GOSPODARSKA 5B,"," 10255 ZAGREB - STUPNIK,"," OIB: 05364995085")</f>
        <v>GRA-PO D.O.O., GOSPODARSKA 5B, 10255 ZAGREB - STUPNIK, OIB: 05364995085</v>
      </c>
      <c r="H684" s="4"/>
      <c r="I684" s="1" t="s">
        <v>692</v>
      </c>
      <c r="J684" s="1" t="s">
        <v>693</v>
      </c>
      <c r="K684" s="6" t="str">
        <f>"1.700.000,00"</f>
        <v>1.700.000,00</v>
      </c>
      <c r="L684" s="6" t="str">
        <f>"425.000,00"</f>
        <v>425.000,00</v>
      </c>
      <c r="M684" s="6" t="str">
        <f>"2.125.000,00"</f>
        <v>2.125.000,00</v>
      </c>
      <c r="N684" s="7"/>
      <c r="O684" s="7"/>
      <c r="P684" s="6" t="str">
        <f>""</f>
        <v/>
      </c>
      <c r="Q684" s="7"/>
      <c r="R684" s="1"/>
      <c r="S684" s="1" t="str">
        <f>"NOS-72-C/17"</f>
        <v>NOS-72-C/17</v>
      </c>
      <c r="T684" s="2" t="s">
        <v>26</v>
      </c>
    </row>
    <row r="685" spans="1:20" ht="25.5" x14ac:dyDescent="0.25">
      <c r="A685" s="1">
        <v>681</v>
      </c>
      <c r="B685" s="1" t="str">
        <f t="shared" si="68"/>
        <v>2017-372</v>
      </c>
      <c r="C685" s="2" t="s">
        <v>691</v>
      </c>
      <c r="D685" s="1" t="s">
        <v>192</v>
      </c>
      <c r="E685" s="3" t="str">
        <f>""</f>
        <v/>
      </c>
      <c r="F685" s="2" t="s">
        <v>27</v>
      </c>
      <c r="G685" s="2" t="str">
        <f t="shared" si="69"/>
        <v>GRA-PO D.O.O., GOSPODARSKA 5B, 10255 ZAGREB - STUPNIK, OIB: 05364995085</v>
      </c>
      <c r="H685" s="4"/>
      <c r="I685" s="1" t="s">
        <v>596</v>
      </c>
      <c r="J685" s="1" t="s">
        <v>469</v>
      </c>
      <c r="K685" s="6" t="str">
        <f>"2.604,00"</f>
        <v>2.604,00</v>
      </c>
      <c r="L685" s="6" t="str">
        <f>"651,00"</f>
        <v>651,00</v>
      </c>
      <c r="M685" s="6" t="str">
        <f>"3.255,00"</f>
        <v>3.255,00</v>
      </c>
      <c r="N685" s="5">
        <v>43518</v>
      </c>
      <c r="O685" s="7"/>
      <c r="P685" s="6" t="str">
        <f>"3.255,00"</f>
        <v>3.255,00</v>
      </c>
      <c r="Q685" s="7"/>
      <c r="R685" s="1"/>
      <c r="S685" s="1" t="str">
        <f>"1-19/NOS-72-C/17"</f>
        <v>1-19/NOS-72-C/17</v>
      </c>
      <c r="T685" s="2" t="s">
        <v>33</v>
      </c>
    </row>
    <row r="686" spans="1:20" ht="25.5" x14ac:dyDescent="0.25">
      <c r="A686" s="1">
        <v>682</v>
      </c>
      <c r="B686" s="1" t="str">
        <f t="shared" si="68"/>
        <v>2017-372</v>
      </c>
      <c r="C686" s="2" t="s">
        <v>691</v>
      </c>
      <c r="D686" s="1" t="s">
        <v>192</v>
      </c>
      <c r="E686" s="3" t="str">
        <f>""</f>
        <v/>
      </c>
      <c r="F686" s="2" t="s">
        <v>27</v>
      </c>
      <c r="G686" s="2" t="str">
        <f t="shared" si="69"/>
        <v>GRA-PO D.O.O., GOSPODARSKA 5B, 10255 ZAGREB - STUPNIK, OIB: 05364995085</v>
      </c>
      <c r="H686" s="4"/>
      <c r="I686" s="1" t="s">
        <v>566</v>
      </c>
      <c r="J686" s="1" t="s">
        <v>469</v>
      </c>
      <c r="K686" s="6" t="str">
        <f>"1.730,00"</f>
        <v>1.730,00</v>
      </c>
      <c r="L686" s="6" t="str">
        <f>"432,50"</f>
        <v>432,50</v>
      </c>
      <c r="M686" s="6" t="str">
        <f>"2.162,50"</f>
        <v>2.162,50</v>
      </c>
      <c r="N686" s="5">
        <v>43553</v>
      </c>
      <c r="O686" s="7"/>
      <c r="P686" s="6" t="str">
        <f>"2.162,50"</f>
        <v>2.162,50</v>
      </c>
      <c r="Q686" s="7"/>
      <c r="R686" s="1"/>
      <c r="S686" s="1" t="str">
        <f>"2-19/NOS-72-C/17"</f>
        <v>2-19/NOS-72-C/17</v>
      </c>
      <c r="T686" s="2" t="s">
        <v>33</v>
      </c>
    </row>
    <row r="687" spans="1:20" ht="25.5" x14ac:dyDescent="0.25">
      <c r="A687" s="1">
        <v>683</v>
      </c>
      <c r="B687" s="1" t="str">
        <f t="shared" si="68"/>
        <v>2017-372</v>
      </c>
      <c r="C687" s="2" t="s">
        <v>691</v>
      </c>
      <c r="D687" s="1" t="s">
        <v>192</v>
      </c>
      <c r="E687" s="3" t="str">
        <f>""</f>
        <v/>
      </c>
      <c r="F687" s="2" t="s">
        <v>27</v>
      </c>
      <c r="G687" s="2" t="str">
        <f t="shared" si="69"/>
        <v>GRA-PO D.O.O., GOSPODARSKA 5B, 10255 ZAGREB - STUPNIK, OIB: 05364995085</v>
      </c>
      <c r="H687" s="4"/>
      <c r="I687" s="1" t="s">
        <v>344</v>
      </c>
      <c r="J687" s="1" t="s">
        <v>469</v>
      </c>
      <c r="K687" s="6" t="str">
        <f>"20.576,00"</f>
        <v>20.576,00</v>
      </c>
      <c r="L687" s="6" t="str">
        <f>"4.997,75"</f>
        <v>4.997,75</v>
      </c>
      <c r="M687" s="6" t="str">
        <f>"24.988,75"</f>
        <v>24.988,75</v>
      </c>
      <c r="N687" s="5">
        <v>43665</v>
      </c>
      <c r="O687" s="7"/>
      <c r="P687" s="6" t="str">
        <f>"24.988,75"</f>
        <v>24.988,75</v>
      </c>
      <c r="Q687" s="7"/>
      <c r="R687" s="1"/>
      <c r="S687" s="1" t="str">
        <f>"4-19/NOS-72-C/17"</f>
        <v>4-19/NOS-72-C/17</v>
      </c>
      <c r="T687" s="2" t="s">
        <v>33</v>
      </c>
    </row>
    <row r="688" spans="1:20" ht="25.5" x14ac:dyDescent="0.25">
      <c r="A688" s="1">
        <v>684</v>
      </c>
      <c r="B688" s="1" t="str">
        <f t="shared" si="68"/>
        <v>2017-372</v>
      </c>
      <c r="C688" s="2" t="s">
        <v>691</v>
      </c>
      <c r="D688" s="1" t="s">
        <v>192</v>
      </c>
      <c r="E688" s="3" t="str">
        <f>""</f>
        <v/>
      </c>
      <c r="F688" s="2" t="s">
        <v>27</v>
      </c>
      <c r="G688" s="2" t="str">
        <f t="shared" si="69"/>
        <v>GRA-PO D.O.O., GOSPODARSKA 5B, 10255 ZAGREB - STUPNIK, OIB: 05364995085</v>
      </c>
      <c r="H688" s="4"/>
      <c r="I688" s="1" t="s">
        <v>266</v>
      </c>
      <c r="J688" s="1" t="s">
        <v>469</v>
      </c>
      <c r="K688" s="6" t="str">
        <f>"25.176,00"</f>
        <v>25.176,00</v>
      </c>
      <c r="L688" s="6" t="str">
        <f>"6.294,00"</f>
        <v>6.294,00</v>
      </c>
      <c r="M688" s="6" t="str">
        <f>"31.470,00"</f>
        <v>31.470,00</v>
      </c>
      <c r="N688" s="5">
        <v>43599</v>
      </c>
      <c r="O688" s="7"/>
      <c r="P688" s="6" t="str">
        <f>"31.470,00"</f>
        <v>31.470,00</v>
      </c>
      <c r="Q688" s="7"/>
      <c r="R688" s="1"/>
      <c r="S688" s="1" t="str">
        <f>"5-19/NOS-72-C/17"</f>
        <v>5-19/NOS-72-C/17</v>
      </c>
      <c r="T688" s="2" t="s">
        <v>33</v>
      </c>
    </row>
    <row r="689" spans="1:20" ht="25.5" x14ac:dyDescent="0.25">
      <c r="A689" s="1">
        <v>685</v>
      </c>
      <c r="B689" s="1" t="str">
        <f t="shared" si="68"/>
        <v>2017-372</v>
      </c>
      <c r="C689" s="2" t="s">
        <v>691</v>
      </c>
      <c r="D689" s="1" t="s">
        <v>192</v>
      </c>
      <c r="E689" s="3" t="str">
        <f>""</f>
        <v/>
      </c>
      <c r="F689" s="2" t="s">
        <v>27</v>
      </c>
      <c r="G689" s="2" t="str">
        <f t="shared" si="69"/>
        <v>GRA-PO D.O.O., GOSPODARSKA 5B, 10255 ZAGREB - STUPNIK, OIB: 05364995085</v>
      </c>
      <c r="H689" s="4"/>
      <c r="I689" s="1" t="s">
        <v>679</v>
      </c>
      <c r="J689" s="1" t="s">
        <v>140</v>
      </c>
      <c r="K689" s="6" t="str">
        <f>"3.450,00"</f>
        <v>3.450,00</v>
      </c>
      <c r="L689" s="6" t="str">
        <f>"862,50"</f>
        <v>862,50</v>
      </c>
      <c r="M689" s="6" t="str">
        <f>"4.312,50"</f>
        <v>4.312,50</v>
      </c>
      <c r="N689" s="5">
        <v>43496</v>
      </c>
      <c r="O689" s="7"/>
      <c r="P689" s="6" t="str">
        <f>"4.312,50"</f>
        <v>4.312,50</v>
      </c>
      <c r="Q689" s="7"/>
      <c r="R689" s="1"/>
      <c r="S689" s="1" t="str">
        <f>"16-18/NOS-72-C/17"</f>
        <v>16-18/NOS-72-C/17</v>
      </c>
      <c r="T689" s="2" t="s">
        <v>33</v>
      </c>
    </row>
    <row r="690" spans="1:20" ht="25.5" x14ac:dyDescent="0.25">
      <c r="A690" s="1">
        <v>686</v>
      </c>
      <c r="B690" s="1" t="str">
        <f t="shared" si="68"/>
        <v>2017-372</v>
      </c>
      <c r="C690" s="2" t="s">
        <v>691</v>
      </c>
      <c r="D690" s="1" t="s">
        <v>192</v>
      </c>
      <c r="E690" s="3" t="str">
        <f>""</f>
        <v/>
      </c>
      <c r="F690" s="2" t="s">
        <v>27</v>
      </c>
      <c r="G690" s="2" t="str">
        <f t="shared" si="69"/>
        <v>GRA-PO D.O.O., GOSPODARSKA 5B, 10255 ZAGREB - STUPNIK, OIB: 05364995085</v>
      </c>
      <c r="H690" s="4"/>
      <c r="I690" s="1" t="s">
        <v>162</v>
      </c>
      <c r="J690" s="1" t="s">
        <v>37</v>
      </c>
      <c r="K690" s="6" t="str">
        <f>"34.350,00"</f>
        <v>34.350,00</v>
      </c>
      <c r="L690" s="6" t="str">
        <f>"8.587,50"</f>
        <v>8.587,50</v>
      </c>
      <c r="M690" s="6" t="str">
        <f>"42.937,50"</f>
        <v>42.937,50</v>
      </c>
      <c r="N690" s="5">
        <v>43635</v>
      </c>
      <c r="O690" s="7"/>
      <c r="P690" s="6" t="str">
        <f>"15.772,50"</f>
        <v>15.772,50</v>
      </c>
      <c r="Q690" s="7"/>
      <c r="R690" s="1"/>
      <c r="S690" s="1" t="str">
        <f>"6-19/NOS-72-C/17"</f>
        <v>6-19/NOS-72-C/17</v>
      </c>
      <c r="T690" s="2" t="s">
        <v>33</v>
      </c>
    </row>
    <row r="691" spans="1:20" ht="38.25" x14ac:dyDescent="0.25">
      <c r="A691" s="1">
        <v>687</v>
      </c>
      <c r="B691" s="1" t="str">
        <f t="shared" si="68"/>
        <v>2017-372</v>
      </c>
      <c r="C691" s="2" t="s">
        <v>691</v>
      </c>
      <c r="D691" s="1" t="s">
        <v>192</v>
      </c>
      <c r="E691" s="3" t="str">
        <f>"2017/S 0F2-0012752"</f>
        <v>2017/S 0F2-0012752</v>
      </c>
      <c r="F691" s="2" t="s">
        <v>23</v>
      </c>
      <c r="G691" s="2" t="str">
        <f t="shared" si="69"/>
        <v>GRA-PO D.O.O., GOSPODARSKA 5B, 10255 ZAGREB - STUPNIK, OIB: 05364995085</v>
      </c>
      <c r="H691" s="4"/>
      <c r="I691" s="1" t="s">
        <v>692</v>
      </c>
      <c r="J691" s="1" t="s">
        <v>693</v>
      </c>
      <c r="K691" s="6" t="str">
        <f>"950.000,00"</f>
        <v>950.000,00</v>
      </c>
      <c r="L691" s="6" t="str">
        <f>"237.500,00"</f>
        <v>237.500,00</v>
      </c>
      <c r="M691" s="6" t="str">
        <f>"1.187.500,00"</f>
        <v>1.187.500,00</v>
      </c>
      <c r="N691" s="7"/>
      <c r="O691" s="7"/>
      <c r="P691" s="6" t="str">
        <f>""</f>
        <v/>
      </c>
      <c r="Q691" s="7"/>
      <c r="R691" s="1"/>
      <c r="S691" s="1" t="str">
        <f>"NOS-72-D/17"</f>
        <v>NOS-72-D/17</v>
      </c>
      <c r="T691" s="2" t="s">
        <v>26</v>
      </c>
    </row>
    <row r="692" spans="1:20" ht="38.25" x14ac:dyDescent="0.25">
      <c r="A692" s="1">
        <v>688</v>
      </c>
      <c r="B692" s="1" t="str">
        <f t="shared" si="68"/>
        <v>2017-372</v>
      </c>
      <c r="C692" s="2" t="s">
        <v>691</v>
      </c>
      <c r="D692" s="1" t="s">
        <v>192</v>
      </c>
      <c r="E692" s="3" t="str">
        <f>"2017/S 0F2-0012752"</f>
        <v>2017/S 0F2-0012752</v>
      </c>
      <c r="F692" s="2" t="s">
        <v>23</v>
      </c>
      <c r="G692" s="2" t="str">
        <f t="shared" ref="G692:G698" si="70">CONCATENATE("TEKNOXGROUP HRVATSKA D.O.O.,"," RADNIČKA CESTA 218,"," 10000 ZAGREB,"," OIB: 31826907316")</f>
        <v>TEKNOXGROUP HRVATSKA D.O.O., RADNIČKA CESTA 218, 10000 ZAGREB, OIB: 31826907316</v>
      </c>
      <c r="H692" s="4"/>
      <c r="I692" s="1" t="s">
        <v>692</v>
      </c>
      <c r="J692" s="1" t="s">
        <v>693</v>
      </c>
      <c r="K692" s="6" t="str">
        <f>"1.950.000,00"</f>
        <v>1.950.000,00</v>
      </c>
      <c r="L692" s="6" t="str">
        <f>"487.500,00"</f>
        <v>487.500,00</v>
      </c>
      <c r="M692" s="6" t="str">
        <f>"2.437.500,00"</f>
        <v>2.437.500,00</v>
      </c>
      <c r="N692" s="7"/>
      <c r="O692" s="7"/>
      <c r="P692" s="6" t="str">
        <f>""</f>
        <v/>
      </c>
      <c r="Q692" s="7"/>
      <c r="R692" s="1"/>
      <c r="S692" s="1" t="str">
        <f>"NOS-72-E/17"</f>
        <v>NOS-72-E/17</v>
      </c>
      <c r="T692" s="2" t="s">
        <v>26</v>
      </c>
    </row>
    <row r="693" spans="1:20" ht="38.25" x14ac:dyDescent="0.25">
      <c r="A693" s="1">
        <v>689</v>
      </c>
      <c r="B693" s="1" t="str">
        <f t="shared" si="68"/>
        <v>2017-372</v>
      </c>
      <c r="C693" s="2" t="s">
        <v>691</v>
      </c>
      <c r="D693" s="1" t="s">
        <v>192</v>
      </c>
      <c r="E693" s="3" t="str">
        <f>""</f>
        <v/>
      </c>
      <c r="F693" s="2" t="s">
        <v>27</v>
      </c>
      <c r="G693" s="2" t="str">
        <f t="shared" si="70"/>
        <v>TEKNOXGROUP HRVATSKA D.O.O., RADNIČKA CESTA 218, 10000 ZAGREB, OIB: 31826907316</v>
      </c>
      <c r="H693" s="4"/>
      <c r="I693" s="1" t="s">
        <v>210</v>
      </c>
      <c r="J693" s="1" t="s">
        <v>469</v>
      </c>
      <c r="K693" s="6" t="str">
        <f>"1.654,06"</f>
        <v>1.654,06</v>
      </c>
      <c r="L693" s="6" t="str">
        <f>"0,00"</f>
        <v>0,00</v>
      </c>
      <c r="M693" s="6" t="str">
        <f>"0,00"</f>
        <v>0,00</v>
      </c>
      <c r="N693" s="1" t="s">
        <v>117</v>
      </c>
      <c r="O693" s="7"/>
      <c r="P693" s="6" t="str">
        <f>"0,00"</f>
        <v>0,00</v>
      </c>
      <c r="Q693" s="7"/>
      <c r="R693" s="1"/>
      <c r="S693" s="1" t="str">
        <f>"1-19/NOS-72-E/17"</f>
        <v>1-19/NOS-72-E/17</v>
      </c>
      <c r="T693" s="2" t="s">
        <v>33</v>
      </c>
    </row>
    <row r="694" spans="1:20" ht="38.25" x14ac:dyDescent="0.25">
      <c r="A694" s="1">
        <v>690</v>
      </c>
      <c r="B694" s="1" t="str">
        <f t="shared" si="68"/>
        <v>2017-372</v>
      </c>
      <c r="C694" s="2" t="s">
        <v>691</v>
      </c>
      <c r="D694" s="1" t="s">
        <v>192</v>
      </c>
      <c r="E694" s="3" t="str">
        <f>""</f>
        <v/>
      </c>
      <c r="F694" s="2" t="s">
        <v>27</v>
      </c>
      <c r="G694" s="2" t="str">
        <f t="shared" si="70"/>
        <v>TEKNOXGROUP HRVATSKA D.O.O., RADNIČKA CESTA 218, 10000 ZAGREB, OIB: 31826907316</v>
      </c>
      <c r="H694" s="4"/>
      <c r="I694" s="1" t="s">
        <v>308</v>
      </c>
      <c r="J694" s="1" t="s">
        <v>469</v>
      </c>
      <c r="K694" s="6" t="str">
        <f>"42.142,52"</f>
        <v>42.142,52</v>
      </c>
      <c r="L694" s="6" t="str">
        <f>"10.522,73"</f>
        <v>10.522,73</v>
      </c>
      <c r="M694" s="6" t="str">
        <f>"52.613,65"</f>
        <v>52.613,65</v>
      </c>
      <c r="N694" s="5">
        <v>43585</v>
      </c>
      <c r="O694" s="7"/>
      <c r="P694" s="6" t="str">
        <f>"52.613,65"</f>
        <v>52.613,65</v>
      </c>
      <c r="Q694" s="7"/>
      <c r="R694" s="1"/>
      <c r="S694" s="1" t="str">
        <f>"2-19/NOS-72-E/17"</f>
        <v>2-19/NOS-72-E/17</v>
      </c>
      <c r="T694" s="2" t="s">
        <v>33</v>
      </c>
    </row>
    <row r="695" spans="1:20" ht="38.25" x14ac:dyDescent="0.25">
      <c r="A695" s="1">
        <v>691</v>
      </c>
      <c r="B695" s="1" t="str">
        <f t="shared" si="68"/>
        <v>2017-372</v>
      </c>
      <c r="C695" s="2" t="s">
        <v>691</v>
      </c>
      <c r="D695" s="1" t="s">
        <v>192</v>
      </c>
      <c r="E695" s="3" t="str">
        <f>""</f>
        <v/>
      </c>
      <c r="F695" s="2" t="s">
        <v>27</v>
      </c>
      <c r="G695" s="2" t="str">
        <f t="shared" si="70"/>
        <v>TEKNOXGROUP HRVATSKA D.O.O., RADNIČKA CESTA 218, 10000 ZAGREB, OIB: 31826907316</v>
      </c>
      <c r="H695" s="4"/>
      <c r="I695" s="1" t="s">
        <v>551</v>
      </c>
      <c r="J695" s="1" t="s">
        <v>469</v>
      </c>
      <c r="K695" s="6" t="str">
        <f>"2.075,00"</f>
        <v>2.075,00</v>
      </c>
      <c r="L695" s="6" t="str">
        <f>"0,00"</f>
        <v>0,00</v>
      </c>
      <c r="M695" s="6" t="str">
        <f>"0,00"</f>
        <v>0,00</v>
      </c>
      <c r="N695" s="1" t="s">
        <v>117</v>
      </c>
      <c r="O695" s="7"/>
      <c r="P695" s="6" t="str">
        <f>"0,00"</f>
        <v>0,00</v>
      </c>
      <c r="Q695" s="7"/>
      <c r="R695" s="1"/>
      <c r="S695" s="1" t="str">
        <f>"4-19/NOS-72-E/17"</f>
        <v>4-19/NOS-72-E/17</v>
      </c>
      <c r="T695" s="2" t="s">
        <v>33</v>
      </c>
    </row>
    <row r="696" spans="1:20" ht="38.25" x14ac:dyDescent="0.25">
      <c r="A696" s="1">
        <v>692</v>
      </c>
      <c r="B696" s="1" t="str">
        <f t="shared" si="68"/>
        <v>2017-372</v>
      </c>
      <c r="C696" s="2" t="s">
        <v>691</v>
      </c>
      <c r="D696" s="1" t="s">
        <v>192</v>
      </c>
      <c r="E696" s="3" t="str">
        <f>""</f>
        <v/>
      </c>
      <c r="F696" s="2" t="s">
        <v>27</v>
      </c>
      <c r="G696" s="2" t="str">
        <f t="shared" si="70"/>
        <v>TEKNOXGROUP HRVATSKA D.O.O., RADNIČKA CESTA 218, 10000 ZAGREB, OIB: 31826907316</v>
      </c>
      <c r="H696" s="4"/>
      <c r="I696" s="1" t="s">
        <v>398</v>
      </c>
      <c r="J696" s="1" t="s">
        <v>140</v>
      </c>
      <c r="K696" s="6" t="str">
        <f>"296.844,75"</f>
        <v>296.844,75</v>
      </c>
      <c r="L696" s="6" t="str">
        <f>"74.211,19"</f>
        <v>74.211,19</v>
      </c>
      <c r="M696" s="6" t="str">
        <f>"371.055,94"</f>
        <v>371.055,94</v>
      </c>
      <c r="N696" s="5">
        <v>43543</v>
      </c>
      <c r="O696" s="7"/>
      <c r="P696" s="6" t="str">
        <f>"336.676,84"</f>
        <v>336.676,84</v>
      </c>
      <c r="Q696" s="7"/>
      <c r="R696" s="1"/>
      <c r="S696" s="1" t="str">
        <f>"21-18/NOS-72-E/17"</f>
        <v>21-18/NOS-72-E/17</v>
      </c>
      <c r="T696" s="2" t="s">
        <v>26</v>
      </c>
    </row>
    <row r="697" spans="1:20" ht="38.25" x14ac:dyDescent="0.25">
      <c r="A697" s="1">
        <v>693</v>
      </c>
      <c r="B697" s="1" t="str">
        <f t="shared" si="68"/>
        <v>2017-372</v>
      </c>
      <c r="C697" s="2" t="s">
        <v>691</v>
      </c>
      <c r="D697" s="1" t="s">
        <v>192</v>
      </c>
      <c r="E697" s="3" t="str">
        <f>""</f>
        <v/>
      </c>
      <c r="F697" s="2" t="s">
        <v>27</v>
      </c>
      <c r="G697" s="2" t="str">
        <f t="shared" si="70"/>
        <v>TEKNOXGROUP HRVATSKA D.O.O., RADNIČKA CESTA 218, 10000 ZAGREB, OIB: 31826907316</v>
      </c>
      <c r="H697" s="4"/>
      <c r="I697" s="1" t="s">
        <v>162</v>
      </c>
      <c r="J697" s="1" t="s">
        <v>37</v>
      </c>
      <c r="K697" s="6" t="str">
        <f>"2.798,11"</f>
        <v>2.798,11</v>
      </c>
      <c r="L697" s="6" t="str">
        <f>"699,53"</f>
        <v>699,53</v>
      </c>
      <c r="M697" s="6" t="str">
        <f>"3.497,64"</f>
        <v>3.497,64</v>
      </c>
      <c r="N697" s="5">
        <v>43668</v>
      </c>
      <c r="O697" s="7"/>
      <c r="P697" s="6" t="str">
        <f>"3.497,64"</f>
        <v>3.497,64</v>
      </c>
      <c r="Q697" s="7"/>
      <c r="R697" s="1"/>
      <c r="S697" s="1" t="str">
        <f>"5-19/NOS-72-E/17"</f>
        <v>5-19/NOS-72-E/17</v>
      </c>
      <c r="T697" s="2" t="s">
        <v>33</v>
      </c>
    </row>
    <row r="698" spans="1:20" ht="38.25" x14ac:dyDescent="0.25">
      <c r="A698" s="1">
        <v>694</v>
      </c>
      <c r="B698" s="1" t="str">
        <f t="shared" si="68"/>
        <v>2017-372</v>
      </c>
      <c r="C698" s="2" t="s">
        <v>691</v>
      </c>
      <c r="D698" s="1" t="s">
        <v>192</v>
      </c>
      <c r="E698" s="3" t="str">
        <f>""</f>
        <v/>
      </c>
      <c r="F698" s="2" t="s">
        <v>27</v>
      </c>
      <c r="G698" s="2" t="str">
        <f t="shared" si="70"/>
        <v>TEKNOXGROUP HRVATSKA D.O.O., RADNIČKA CESTA 218, 10000 ZAGREB, OIB: 31826907316</v>
      </c>
      <c r="H698" s="4"/>
      <c r="I698" s="1" t="s">
        <v>46</v>
      </c>
      <c r="J698" s="1" t="s">
        <v>404</v>
      </c>
      <c r="K698" s="6" t="str">
        <f>"2.075,00"</f>
        <v>2.075,00</v>
      </c>
      <c r="L698" s="6" t="str">
        <f>"518,75"</f>
        <v>518,75</v>
      </c>
      <c r="M698" s="6" t="str">
        <f>"2.593,75"</f>
        <v>2.593,75</v>
      </c>
      <c r="N698" s="1" t="s">
        <v>117</v>
      </c>
      <c r="O698" s="7"/>
      <c r="P698" s="6" t="str">
        <f>""</f>
        <v/>
      </c>
      <c r="Q698" s="7"/>
      <c r="R698" s="1"/>
      <c r="S698" s="1" t="str">
        <f>"6-19/NOS-72-E/17"</f>
        <v>6-19/NOS-72-E/17</v>
      </c>
      <c r="T698" s="2" t="s">
        <v>33</v>
      </c>
    </row>
    <row r="699" spans="1:20" ht="38.25" x14ac:dyDescent="0.25">
      <c r="A699" s="1">
        <v>695</v>
      </c>
      <c r="B699" s="1" t="str">
        <f>"2017-500"</f>
        <v>2017-500</v>
      </c>
      <c r="C699" s="2" t="s">
        <v>694</v>
      </c>
      <c r="D699" s="1" t="s">
        <v>223</v>
      </c>
      <c r="E699" s="3" t="str">
        <f>"2017/S 0F2-0017455"</f>
        <v>2017/S 0F2-0017455</v>
      </c>
      <c r="F699" s="2" t="s">
        <v>23</v>
      </c>
      <c r="G699" s="2" t="str">
        <f>CONCATENATE("MEGA MONT D.O.O.,"," POPOVIĆEV PUT 2/D,"," 51211 MATULJI,"," OIB: 64536314217")</f>
        <v>MEGA MONT D.O.O., POPOVIĆEV PUT 2/D, 51211 MATULJI, OIB: 64536314217</v>
      </c>
      <c r="H699" s="4"/>
      <c r="I699" s="1" t="s">
        <v>692</v>
      </c>
      <c r="J699" s="1" t="s">
        <v>693</v>
      </c>
      <c r="K699" s="6" t="str">
        <f>"300.000,00"</f>
        <v>300.000,00</v>
      </c>
      <c r="L699" s="6" t="str">
        <f>"75.000,00"</f>
        <v>75.000,00</v>
      </c>
      <c r="M699" s="6" t="str">
        <f>"375.000,00"</f>
        <v>375.000,00</v>
      </c>
      <c r="N699" s="7"/>
      <c r="O699" s="7"/>
      <c r="P699" s="6" t="str">
        <f>""</f>
        <v/>
      </c>
      <c r="Q699" s="7"/>
      <c r="R699" s="1"/>
      <c r="S699" s="1" t="str">
        <f>"NOS-73/17"</f>
        <v>NOS-73/17</v>
      </c>
      <c r="T699" s="2" t="s">
        <v>33</v>
      </c>
    </row>
    <row r="700" spans="1:20" ht="25.5" x14ac:dyDescent="0.25">
      <c r="A700" s="1">
        <v>696</v>
      </c>
      <c r="B700" s="1" t="str">
        <f>"2017-500"</f>
        <v>2017-500</v>
      </c>
      <c r="C700" s="2" t="s">
        <v>694</v>
      </c>
      <c r="D700" s="4"/>
      <c r="E700" s="3" t="str">
        <f>""</f>
        <v/>
      </c>
      <c r="F700" s="2" t="s">
        <v>27</v>
      </c>
      <c r="G700" s="2" t="str">
        <f>CONCATENATE("MEGA MONT D.O.O.,"," POPOVIĆEV PUT 2/D,"," 51211 MATULJI,"," OIB: 64536314217")</f>
        <v>MEGA MONT D.O.O., POPOVIĆEV PUT 2/D, 51211 MATULJI, OIB: 64536314217</v>
      </c>
      <c r="H700" s="4"/>
      <c r="I700" s="1" t="s">
        <v>695</v>
      </c>
      <c r="J700" s="1" t="s">
        <v>42</v>
      </c>
      <c r="K700" s="6" t="str">
        <f>"22.500,00"</f>
        <v>22.500,00</v>
      </c>
      <c r="L700" s="6" t="str">
        <f>"5.625,00"</f>
        <v>5.625,00</v>
      </c>
      <c r="M700" s="6" t="str">
        <f>"28.125,00"</f>
        <v>28.125,00</v>
      </c>
      <c r="N700" s="5">
        <v>43553</v>
      </c>
      <c r="O700" s="7"/>
      <c r="P700" s="6" t="str">
        <f>"28.125,00"</f>
        <v>28.125,00</v>
      </c>
      <c r="Q700" s="7"/>
      <c r="R700" s="1"/>
      <c r="S700" s="1" t="str">
        <f>"3-18/NOS-73/17"</f>
        <v>3-18/NOS-73/17</v>
      </c>
      <c r="T700" s="2" t="s">
        <v>33</v>
      </c>
    </row>
    <row r="701" spans="1:20" ht="25.5" x14ac:dyDescent="0.25">
      <c r="A701" s="1">
        <v>697</v>
      </c>
      <c r="B701" s="1" t="str">
        <f>"2017-500"</f>
        <v>2017-500</v>
      </c>
      <c r="C701" s="2" t="s">
        <v>694</v>
      </c>
      <c r="D701" s="4"/>
      <c r="E701" s="3" t="str">
        <f>""</f>
        <v/>
      </c>
      <c r="F701" s="2" t="s">
        <v>27</v>
      </c>
      <c r="G701" s="2" t="str">
        <f>CONCATENATE("MEGA MONT D.O.O.,"," POPOVIĆEV PUT 2/D,"," 51211 MATULJI,"," OIB: 64536314217")</f>
        <v>MEGA MONT D.O.O., POPOVIĆEV PUT 2/D, 51211 MATULJI, OIB: 64536314217</v>
      </c>
      <c r="H701" s="4"/>
      <c r="I701" s="1" t="s">
        <v>402</v>
      </c>
      <c r="J701" s="1" t="s">
        <v>333</v>
      </c>
      <c r="K701" s="6" t="str">
        <f>"100.000,00"</f>
        <v>100.000,00</v>
      </c>
      <c r="L701" s="6" t="str">
        <f>"25.000,00"</f>
        <v>25.000,00</v>
      </c>
      <c r="M701" s="6" t="str">
        <f>"125.000,00"</f>
        <v>125.000,00</v>
      </c>
      <c r="N701" s="5">
        <v>43707</v>
      </c>
      <c r="O701" s="7"/>
      <c r="P701" s="6" t="str">
        <f>"49.425,00"</f>
        <v>49.425,00</v>
      </c>
      <c r="Q701" s="7"/>
      <c r="R701" s="1"/>
      <c r="S701" s="1" t="str">
        <f>"1-19/NOS-73/17"</f>
        <v>1-19/NOS-73/17</v>
      </c>
      <c r="T701" s="2" t="s">
        <v>33</v>
      </c>
    </row>
    <row r="702" spans="1:20" ht="25.5" x14ac:dyDescent="0.25">
      <c r="A702" s="1">
        <v>698</v>
      </c>
      <c r="B702" s="1" t="str">
        <f>"2017-500"</f>
        <v>2017-500</v>
      </c>
      <c r="C702" s="2" t="s">
        <v>694</v>
      </c>
      <c r="D702" s="1" t="s">
        <v>223</v>
      </c>
      <c r="E702" s="3" t="str">
        <f>""</f>
        <v/>
      </c>
      <c r="F702" s="2" t="s">
        <v>27</v>
      </c>
      <c r="G702" s="2" t="str">
        <f>CONCATENATE("MEGA MONT D.O.O.,"," POPOVIĆEV PUT 2/D,"," 51211 MATULJI,"," OIB: 64536314217")</f>
        <v>MEGA MONT D.O.O., POPOVIĆEV PUT 2/D, 51211 MATULJI, OIB: 64536314217</v>
      </c>
      <c r="H702" s="4"/>
      <c r="I702" s="1" t="s">
        <v>414</v>
      </c>
      <c r="J702" s="1" t="s">
        <v>242</v>
      </c>
      <c r="K702" s="6" t="str">
        <f>"9.780,00"</f>
        <v>9.780,00</v>
      </c>
      <c r="L702" s="6" t="str">
        <f>"2.445,00"</f>
        <v>2.445,00</v>
      </c>
      <c r="M702" s="6" t="str">
        <f>"12.225,00"</f>
        <v>12.225,00</v>
      </c>
      <c r="N702" s="5">
        <v>43628</v>
      </c>
      <c r="O702" s="7"/>
      <c r="P702" s="6" t="str">
        <f>"12.225,00"</f>
        <v>12.225,00</v>
      </c>
      <c r="Q702" s="7"/>
      <c r="R702" s="1"/>
      <c r="S702" s="1" t="str">
        <f>"4-19/NOS-73/17"</f>
        <v>4-19/NOS-73/17</v>
      </c>
      <c r="T702" s="2" t="s">
        <v>33</v>
      </c>
    </row>
    <row r="703" spans="1:20" ht="165.75" x14ac:dyDescent="0.25">
      <c r="A703" s="1">
        <v>699</v>
      </c>
      <c r="B703" s="1" t="str">
        <f>"2017-42"</f>
        <v>2017-42</v>
      </c>
      <c r="C703" s="2" t="s">
        <v>696</v>
      </c>
      <c r="D703" s="1" t="s">
        <v>119</v>
      </c>
      <c r="E703" s="3" t="str">
        <f>"2017/S 0F2-0012168"</f>
        <v>2017/S 0F2-0012168</v>
      </c>
      <c r="F703" s="2" t="s">
        <v>23</v>
      </c>
      <c r="G703" s="2" t="str">
        <f>CONCATENATE("BOLČEVIĆ-GRADNJA D.O.O.,"," DUGOSELSKA CESTA 56,"," 10361 SESVETSKI KRALJEVEC,"," OIB: 52098670500",CHAR(10),"NERING D.O.O.,"," LIVADARSKI PUT 24,"," 10360 SESVETE,"," OIB: 85965934616")</f>
        <v>BOLČEVIĆ-GRADNJA D.O.O., DUGOSELSKA CESTA 56, 10361 SESVETSKI KRALJEVEC, OIB: 52098670500
NERING D.O.O., LIVADARSKI PUT 24, 10360 SESVETE, OIB: 85965934616</v>
      </c>
      <c r="H703" s="1" t="str">
        <f>CONCATENATE("GRAĐEVINSKI LABORATORIJ D.O.O.,"," OIB: 51460238404",CHAR(10),"MJERNIK-LIMA D.O.O.,"," OIB: 00496607907",CHAR(10),"JURIČIĆ INVEST D.O.O.,"," OIB: 34326515074",CHAR(10),"KOM-EKO D.O.O.,"," OIB: 27859052647")</f>
        <v>GRAĐEVINSKI LABORATORIJ D.O.O., OIB: 51460238404
MJERNIK-LIMA D.O.O., OIB: 00496607907
JURIČIĆ INVEST D.O.O., OIB: 34326515074
KOM-EKO D.O.O., OIB: 27859052647</v>
      </c>
      <c r="I703" s="1" t="s">
        <v>697</v>
      </c>
      <c r="J703" s="1" t="s">
        <v>698</v>
      </c>
      <c r="K703" s="6" t="str">
        <f>"8.000.000,00"</f>
        <v>8.000.000,00</v>
      </c>
      <c r="L703" s="6" t="str">
        <f>"2.000.000,00"</f>
        <v>2.000.000,00</v>
      </c>
      <c r="M703" s="6" t="str">
        <f>"10.000.000,00"</f>
        <v>10.000.000,00</v>
      </c>
      <c r="N703" s="7"/>
      <c r="O703" s="7"/>
      <c r="P703" s="6" t="str">
        <f>""</f>
        <v/>
      </c>
      <c r="Q703" s="7"/>
      <c r="R703" s="1"/>
      <c r="S703" s="1" t="str">
        <f>"NOS-74/17"</f>
        <v>NOS-74/17</v>
      </c>
      <c r="T703" s="2" t="s">
        <v>29</v>
      </c>
    </row>
    <row r="704" spans="1:20" ht="38.25" x14ac:dyDescent="0.25">
      <c r="A704" s="1">
        <v>700</v>
      </c>
      <c r="B704" s="1" t="str">
        <f>"2017-42"</f>
        <v>2017-42</v>
      </c>
      <c r="C704" s="2" t="s">
        <v>696</v>
      </c>
      <c r="D704" s="4"/>
      <c r="E704" s="3" t="str">
        <f>""</f>
        <v/>
      </c>
      <c r="F704" s="2" t="s">
        <v>27</v>
      </c>
      <c r="G704" s="2" t="str">
        <f>CONCATENATE("BOLČEVIĆ-GRADNJA D.O.O.,"," DUGOSELSKA CESTA 56,"," 10361 SESVETSKI KRALJEVEC,"," OIB: 520986705")</f>
        <v>BOLČEVIĆ-GRADNJA D.O.O., DUGOSELSKA CESTA 56, 10361 SESVETSKI KRALJEVEC, OIB: 520986705</v>
      </c>
      <c r="H704" s="4"/>
      <c r="I704" s="1" t="s">
        <v>140</v>
      </c>
      <c r="J704" s="1" t="s">
        <v>42</v>
      </c>
      <c r="K704" s="6" t="str">
        <f>"427.686,90"</f>
        <v>427.686,90</v>
      </c>
      <c r="L704" s="6" t="str">
        <f>"106.921,73"</f>
        <v>106.921,73</v>
      </c>
      <c r="M704" s="6" t="str">
        <f>"534.608,63"</f>
        <v>534.608,63</v>
      </c>
      <c r="N704" s="1" t="s">
        <v>117</v>
      </c>
      <c r="O704" s="7"/>
      <c r="P704" s="6" t="str">
        <f>""</f>
        <v/>
      </c>
      <c r="Q704" s="7"/>
      <c r="R704" s="1"/>
      <c r="S704" s="1" t="str">
        <f>"10-18/NOS-74/17"</f>
        <v>10-18/NOS-74/17</v>
      </c>
      <c r="T704" s="2" t="s">
        <v>29</v>
      </c>
    </row>
    <row r="705" spans="1:20" ht="165.75" x14ac:dyDescent="0.25">
      <c r="A705" s="1">
        <v>701</v>
      </c>
      <c r="B705" s="1" t="str">
        <f>"2017-42"</f>
        <v>2017-42</v>
      </c>
      <c r="C705" s="2" t="s">
        <v>699</v>
      </c>
      <c r="D705" s="1" t="s">
        <v>119</v>
      </c>
      <c r="E705" s="3" t="str">
        <f>""</f>
        <v/>
      </c>
      <c r="F705" s="2" t="s">
        <v>52</v>
      </c>
      <c r="G705" s="2" t="str">
        <f>CONCATENATE("BOLČEVIĆ-GRADNJA D.O.O.,"," DUGOSELSKA CESTA 56,"," 10361 SESVETSKI KRALJEVEC,"," OIB: 520986705")</f>
        <v>BOLČEVIĆ-GRADNJA D.O.O., DUGOSELSKA CESTA 56, 10361 SESVETSKI KRALJEVEC, OIB: 520986705</v>
      </c>
      <c r="H705" s="1" t="str">
        <f>CONCATENATE("GRAĐEVINSKI LABORATORIJ D.O.O.,"," OIB: 51460238404",CHAR(10),"MJERNIK-LIMA D.O.O.,"," OIB: 00496607907",CHAR(10),"JURIČIĆ INVEST D.O.O.,"," OIB: 34326515074",CHAR(10),"KOM-EKO D.O.O.,"," OIB: 27859052647")</f>
        <v>GRAĐEVINSKI LABORATORIJ D.O.O., OIB: 51460238404
MJERNIK-LIMA D.O.O., OIB: 00496607907
JURIČIĆ INVEST D.O.O., OIB: 34326515074
KOM-EKO D.O.O., OIB: 27859052647</v>
      </c>
      <c r="I705" s="1" t="s">
        <v>700</v>
      </c>
      <c r="J705" s="1" t="s">
        <v>701</v>
      </c>
      <c r="K705" s="6" t="str">
        <f>"429.606,05"</f>
        <v>429.606,05</v>
      </c>
      <c r="L705" s="6" t="str">
        <f>"0,00"</f>
        <v>0,00</v>
      </c>
      <c r="M705" s="6" t="str">
        <f>"0,00"</f>
        <v>0,00</v>
      </c>
      <c r="N705" s="1" t="s">
        <v>117</v>
      </c>
      <c r="O705" s="7"/>
      <c r="P705" s="6" t="str">
        <f>"0,00"</f>
        <v>0,00</v>
      </c>
      <c r="Q705" s="7"/>
      <c r="R705" s="1"/>
      <c r="S705" s="1" t="str">
        <f>"6-18/NOS-74/17-1"</f>
        <v>6-18/NOS-74/17-1</v>
      </c>
      <c r="T705" s="2" t="s">
        <v>29</v>
      </c>
    </row>
    <row r="706" spans="1:20" ht="165.75" x14ac:dyDescent="0.25">
      <c r="A706" s="1">
        <v>702</v>
      </c>
      <c r="B706" s="1" t="str">
        <f>"2017-42"</f>
        <v>2017-42</v>
      </c>
      <c r="C706" s="2" t="s">
        <v>696</v>
      </c>
      <c r="D706" s="1" t="s">
        <v>119</v>
      </c>
      <c r="E706" s="3" t="str">
        <f>""</f>
        <v/>
      </c>
      <c r="F706" s="2" t="s">
        <v>27</v>
      </c>
      <c r="G706" s="2" t="str">
        <f>CONCATENATE("BOLČEVIĆ-GRADNJA D.O.O.,"," DUGOSELSKA CESTA 56,"," 10361 SESVETSKI KRALJEVEC,"," OIB: 520986705")</f>
        <v>BOLČEVIĆ-GRADNJA D.O.O., DUGOSELSKA CESTA 56, 10361 SESVETSKI KRALJEVEC, OIB: 520986705</v>
      </c>
      <c r="H706" s="1" t="str">
        <f>CONCATENATE("GRAĐEVINSKI LABORATORIJ D.O.O.,"," OIB: 51460238404",CHAR(10),"MJERNIK-LIMA D.O.O.,"," OIB: 00496607907",CHAR(10),"JURIČIĆ INVEST D.O.O.,"," OIB: 34326515074",CHAR(10),"KOM-EKO D.O.O.,"," OIB: 27859052647")</f>
        <v>GRAĐEVINSKI LABORATORIJ D.O.O., OIB: 51460238404
MJERNIK-LIMA D.O.O., OIB: 00496607907
JURIČIĆ INVEST D.O.O., OIB: 34326515074
KOM-EKO D.O.O., OIB: 27859052647</v>
      </c>
      <c r="I706" s="1" t="s">
        <v>74</v>
      </c>
      <c r="J706" s="1" t="s">
        <v>436</v>
      </c>
      <c r="K706" s="6" t="str">
        <f>"229.652,00"</f>
        <v>229.652,00</v>
      </c>
      <c r="L706" s="6" t="str">
        <f>"57.271,95"</f>
        <v>57.271,95</v>
      </c>
      <c r="M706" s="6" t="str">
        <f>"286.359,76"</f>
        <v>286.359,76</v>
      </c>
      <c r="N706" s="5">
        <v>43630</v>
      </c>
      <c r="O706" s="7"/>
      <c r="P706" s="6" t="str">
        <f>"286.359,76"</f>
        <v>286.359,76</v>
      </c>
      <c r="Q706" s="7"/>
      <c r="R706" s="1"/>
      <c r="S706" s="1" t="str">
        <f>"2-19/NOS-74/17"</f>
        <v>2-19/NOS-74/17</v>
      </c>
      <c r="T706" s="2" t="s">
        <v>29</v>
      </c>
    </row>
    <row r="707" spans="1:20" ht="38.25" x14ac:dyDescent="0.25">
      <c r="A707" s="1">
        <v>703</v>
      </c>
      <c r="B707" s="1" t="str">
        <f t="shared" ref="B707:B738" si="71">"2017-410"</f>
        <v>2017-410</v>
      </c>
      <c r="C707" s="2" t="s">
        <v>702</v>
      </c>
      <c r="D707" s="1" t="s">
        <v>703</v>
      </c>
      <c r="E707" s="3" t="str">
        <f>"2017/S 0F2-0012732"</f>
        <v>2017/S 0F2-0012732</v>
      </c>
      <c r="F707" s="2" t="s">
        <v>23</v>
      </c>
      <c r="G707" s="2" t="str">
        <f t="shared" ref="G707:G740" si="72">CONCATENATE("PAMAJO D.O.O.,"," VRANIČKA 7/A,"," 10000 ZAGREB,"," OIB: 46401136513")</f>
        <v>PAMAJO D.O.O., VRANIČKA 7/A, 10000 ZAGREB, OIB: 46401136513</v>
      </c>
      <c r="H707" s="4"/>
      <c r="I707" s="1" t="s">
        <v>704</v>
      </c>
      <c r="J707" s="1" t="s">
        <v>705</v>
      </c>
      <c r="K707" s="6" t="str">
        <f>"1.003.000,00"</f>
        <v>1.003.000,00</v>
      </c>
      <c r="L707" s="6" t="str">
        <f>"250.750,00"</f>
        <v>250.750,00</v>
      </c>
      <c r="M707" s="6" t="str">
        <f>"1.253.750,00"</f>
        <v>1.253.750,00</v>
      </c>
      <c r="N707" s="7"/>
      <c r="O707" s="7"/>
      <c r="P707" s="6" t="str">
        <f>""</f>
        <v/>
      </c>
      <c r="Q707" s="7"/>
      <c r="R707" s="1"/>
      <c r="S707" s="1" t="str">
        <f>"NOS-75-A/17"</f>
        <v>NOS-75-A/17</v>
      </c>
      <c r="T707" s="2" t="s">
        <v>706</v>
      </c>
    </row>
    <row r="708" spans="1:20" ht="25.5" x14ac:dyDescent="0.25">
      <c r="A708" s="1">
        <v>704</v>
      </c>
      <c r="B708" s="1" t="str">
        <f t="shared" si="71"/>
        <v>2017-410</v>
      </c>
      <c r="C708" s="2" t="s">
        <v>702</v>
      </c>
      <c r="D708" s="1" t="s">
        <v>703</v>
      </c>
      <c r="E708" s="3" t="str">
        <f>""</f>
        <v/>
      </c>
      <c r="F708" s="2" t="s">
        <v>27</v>
      </c>
      <c r="G708" s="2" t="str">
        <f t="shared" si="72"/>
        <v>PAMAJO D.O.O., VRANIČKA 7/A, 10000 ZAGREB, OIB: 46401136513</v>
      </c>
      <c r="H708" s="4"/>
      <c r="I708" s="1" t="s">
        <v>596</v>
      </c>
      <c r="J708" s="1" t="s">
        <v>492</v>
      </c>
      <c r="K708" s="6" t="str">
        <f>"367,00"</f>
        <v>367,00</v>
      </c>
      <c r="L708" s="6" t="str">
        <f>"91,75"</f>
        <v>91,75</v>
      </c>
      <c r="M708" s="6" t="str">
        <f>"458,75"</f>
        <v>458,75</v>
      </c>
      <c r="N708" s="5">
        <v>43469</v>
      </c>
      <c r="O708" s="7"/>
      <c r="P708" s="6" t="str">
        <f>"458,75"</f>
        <v>458,75</v>
      </c>
      <c r="Q708" s="7"/>
      <c r="R708" s="1"/>
      <c r="S708" s="1" t="str">
        <f>"2-19/NOS-75-A/17"</f>
        <v>2-19/NOS-75-A/17</v>
      </c>
      <c r="T708" s="2" t="s">
        <v>33</v>
      </c>
    </row>
    <row r="709" spans="1:20" ht="25.5" x14ac:dyDescent="0.25">
      <c r="A709" s="1">
        <v>705</v>
      </c>
      <c r="B709" s="1" t="str">
        <f t="shared" si="71"/>
        <v>2017-410</v>
      </c>
      <c r="C709" s="2" t="s">
        <v>702</v>
      </c>
      <c r="D709" s="1" t="s">
        <v>703</v>
      </c>
      <c r="E709" s="3" t="str">
        <f>""</f>
        <v/>
      </c>
      <c r="F709" s="2" t="s">
        <v>27</v>
      </c>
      <c r="G709" s="2" t="str">
        <f t="shared" si="72"/>
        <v>PAMAJO D.O.O., VRANIČKA 7/A, 10000 ZAGREB, OIB: 46401136513</v>
      </c>
      <c r="H709" s="4"/>
      <c r="I709" s="1" t="s">
        <v>462</v>
      </c>
      <c r="J709" s="1" t="s">
        <v>492</v>
      </c>
      <c r="K709" s="6" t="str">
        <f>"420,00"</f>
        <v>420,00</v>
      </c>
      <c r="L709" s="6" t="str">
        <f>"105,00"</f>
        <v>105,00</v>
      </c>
      <c r="M709" s="6" t="str">
        <f>"525,00"</f>
        <v>525,00</v>
      </c>
      <c r="N709" s="5">
        <v>43591</v>
      </c>
      <c r="O709" s="7"/>
      <c r="P709" s="6" t="str">
        <f>"525,00"</f>
        <v>525,00</v>
      </c>
      <c r="Q709" s="7"/>
      <c r="R709" s="1"/>
      <c r="S709" s="1" t="str">
        <f>"3-19/NOS-75-A/17"</f>
        <v>3-19/NOS-75-A/17</v>
      </c>
      <c r="T709" s="2" t="s">
        <v>33</v>
      </c>
    </row>
    <row r="710" spans="1:20" ht="25.5" x14ac:dyDescent="0.25">
      <c r="A710" s="1">
        <v>706</v>
      </c>
      <c r="B710" s="1" t="str">
        <f t="shared" si="71"/>
        <v>2017-410</v>
      </c>
      <c r="C710" s="2" t="s">
        <v>702</v>
      </c>
      <c r="D710" s="1" t="s">
        <v>703</v>
      </c>
      <c r="E710" s="3" t="str">
        <f>""</f>
        <v/>
      </c>
      <c r="F710" s="2" t="s">
        <v>27</v>
      </c>
      <c r="G710" s="2" t="str">
        <f t="shared" si="72"/>
        <v>PAMAJO D.O.O., VRANIČKA 7/A, 10000 ZAGREB, OIB: 46401136513</v>
      </c>
      <c r="H710" s="4"/>
      <c r="I710" s="1" t="s">
        <v>318</v>
      </c>
      <c r="J710" s="1" t="s">
        <v>492</v>
      </c>
      <c r="K710" s="6" t="str">
        <f>"5.186,00"</f>
        <v>5.186,00</v>
      </c>
      <c r="L710" s="6" t="str">
        <f>"1.296,50"</f>
        <v>1.296,50</v>
      </c>
      <c r="M710" s="6" t="str">
        <f>"6.482,50"</f>
        <v>6.482,50</v>
      </c>
      <c r="N710" s="5">
        <v>43570</v>
      </c>
      <c r="O710" s="7"/>
      <c r="P710" s="6" t="str">
        <f>"6.482,50"</f>
        <v>6.482,50</v>
      </c>
      <c r="Q710" s="7"/>
      <c r="R710" s="1"/>
      <c r="S710" s="1" t="str">
        <f>"5-19/NOS-75-A/17"</f>
        <v>5-19/NOS-75-A/17</v>
      </c>
      <c r="T710" s="2" t="s">
        <v>33</v>
      </c>
    </row>
    <row r="711" spans="1:20" ht="25.5" x14ac:dyDescent="0.25">
      <c r="A711" s="1">
        <v>707</v>
      </c>
      <c r="B711" s="1" t="str">
        <f t="shared" si="71"/>
        <v>2017-410</v>
      </c>
      <c r="C711" s="2" t="s">
        <v>702</v>
      </c>
      <c r="D711" s="1" t="s">
        <v>703</v>
      </c>
      <c r="E711" s="3" t="str">
        <f>""</f>
        <v/>
      </c>
      <c r="F711" s="2" t="s">
        <v>27</v>
      </c>
      <c r="G711" s="2" t="str">
        <f t="shared" si="72"/>
        <v>PAMAJO D.O.O., VRANIČKA 7/A, 10000 ZAGREB, OIB: 46401136513</v>
      </c>
      <c r="H711" s="4"/>
      <c r="I711" s="1" t="s">
        <v>344</v>
      </c>
      <c r="J711" s="1" t="s">
        <v>251</v>
      </c>
      <c r="K711" s="6" t="str">
        <f>"687,00"</f>
        <v>687,00</v>
      </c>
      <c r="L711" s="6" t="str">
        <f>"171,75"</f>
        <v>171,75</v>
      </c>
      <c r="M711" s="6" t="str">
        <f>"858,75"</f>
        <v>858,75</v>
      </c>
      <c r="N711" s="5">
        <v>43570</v>
      </c>
      <c r="O711" s="7"/>
      <c r="P711" s="6" t="str">
        <f>"858,75"</f>
        <v>858,75</v>
      </c>
      <c r="Q711" s="7"/>
      <c r="R711" s="1"/>
      <c r="S711" s="1" t="str">
        <f>"6-19/NOS-75-A/17"</f>
        <v>6-19/NOS-75-A/17</v>
      </c>
      <c r="T711" s="2" t="s">
        <v>33</v>
      </c>
    </row>
    <row r="712" spans="1:20" ht="25.5" x14ac:dyDescent="0.25">
      <c r="A712" s="1">
        <v>708</v>
      </c>
      <c r="B712" s="1" t="str">
        <f t="shared" si="71"/>
        <v>2017-410</v>
      </c>
      <c r="C712" s="2" t="s">
        <v>702</v>
      </c>
      <c r="D712" s="1" t="s">
        <v>703</v>
      </c>
      <c r="E712" s="3" t="str">
        <f>""</f>
        <v/>
      </c>
      <c r="F712" s="2" t="s">
        <v>27</v>
      </c>
      <c r="G712" s="2" t="str">
        <f t="shared" si="72"/>
        <v>PAMAJO D.O.O., VRANIČKA 7/A, 10000 ZAGREB, OIB: 46401136513</v>
      </c>
      <c r="H712" s="4"/>
      <c r="I712" s="1" t="s">
        <v>332</v>
      </c>
      <c r="J712" s="1" t="s">
        <v>251</v>
      </c>
      <c r="K712" s="6" t="str">
        <f>"1.160,00"</f>
        <v>1.160,00</v>
      </c>
      <c r="L712" s="6" t="str">
        <f>"290,00"</f>
        <v>290,00</v>
      </c>
      <c r="M712" s="6" t="str">
        <f>"1.450,00"</f>
        <v>1.450,00</v>
      </c>
      <c r="N712" s="5">
        <v>43578</v>
      </c>
      <c r="O712" s="7"/>
      <c r="P712" s="6" t="str">
        <f>"1.450,00"</f>
        <v>1.450,00</v>
      </c>
      <c r="Q712" s="7"/>
      <c r="R712" s="1"/>
      <c r="S712" s="1" t="str">
        <f>"7-19/NOS-75-A/17"</f>
        <v>7-19/NOS-75-A/17</v>
      </c>
      <c r="T712" s="2" t="s">
        <v>33</v>
      </c>
    </row>
    <row r="713" spans="1:20" ht="25.5" x14ac:dyDescent="0.25">
      <c r="A713" s="1">
        <v>709</v>
      </c>
      <c r="B713" s="1" t="str">
        <f t="shared" si="71"/>
        <v>2017-410</v>
      </c>
      <c r="C713" s="2" t="s">
        <v>702</v>
      </c>
      <c r="D713" s="1" t="s">
        <v>703</v>
      </c>
      <c r="E713" s="3" t="str">
        <f>""</f>
        <v/>
      </c>
      <c r="F713" s="2" t="s">
        <v>27</v>
      </c>
      <c r="G713" s="2" t="str">
        <f t="shared" si="72"/>
        <v>PAMAJO D.O.O., VRANIČKA 7/A, 10000 ZAGREB, OIB: 46401136513</v>
      </c>
      <c r="H713" s="4"/>
      <c r="I713" s="1" t="s">
        <v>332</v>
      </c>
      <c r="J713" s="1" t="s">
        <v>121</v>
      </c>
      <c r="K713" s="6" t="str">
        <f>"1.300,00"</f>
        <v>1.300,00</v>
      </c>
      <c r="L713" s="6" t="str">
        <f>"325,00"</f>
        <v>325,00</v>
      </c>
      <c r="M713" s="6" t="str">
        <f>"1.625,00"</f>
        <v>1.625,00</v>
      </c>
      <c r="N713" s="5">
        <v>43539</v>
      </c>
      <c r="O713" s="7"/>
      <c r="P713" s="6" t="str">
        <f>"1.625,00"</f>
        <v>1.625,00</v>
      </c>
      <c r="Q713" s="7"/>
      <c r="R713" s="1"/>
      <c r="S713" s="1" t="str">
        <f>"8-19/NOS-75-A/17"</f>
        <v>8-19/NOS-75-A/17</v>
      </c>
      <c r="T713" s="2" t="s">
        <v>112</v>
      </c>
    </row>
    <row r="714" spans="1:20" ht="25.5" x14ac:dyDescent="0.25">
      <c r="A714" s="1">
        <v>710</v>
      </c>
      <c r="B714" s="1" t="str">
        <f t="shared" si="71"/>
        <v>2017-410</v>
      </c>
      <c r="C714" s="2" t="s">
        <v>702</v>
      </c>
      <c r="D714" s="1" t="s">
        <v>703</v>
      </c>
      <c r="E714" s="3" t="str">
        <f>""</f>
        <v/>
      </c>
      <c r="F714" s="2" t="s">
        <v>27</v>
      </c>
      <c r="G714" s="2" t="str">
        <f t="shared" si="72"/>
        <v>PAMAJO D.O.O., VRANIČKA 7/A, 10000 ZAGREB, OIB: 46401136513</v>
      </c>
      <c r="H714" s="4"/>
      <c r="I714" s="1" t="s">
        <v>481</v>
      </c>
      <c r="J714" s="1" t="s">
        <v>492</v>
      </c>
      <c r="K714" s="6" t="str">
        <f>"1.203,59"</f>
        <v>1.203,59</v>
      </c>
      <c r="L714" s="6" t="str">
        <f>"300,90"</f>
        <v>300,90</v>
      </c>
      <c r="M714" s="6" t="str">
        <f>"1.504,49"</f>
        <v>1.504,49</v>
      </c>
      <c r="N714" s="5">
        <v>43591</v>
      </c>
      <c r="O714" s="7"/>
      <c r="P714" s="6" t="str">
        <f>"1.504,49"</f>
        <v>1.504,49</v>
      </c>
      <c r="Q714" s="7"/>
      <c r="R714" s="1"/>
      <c r="S714" s="1" t="str">
        <f>"9-19/NOS-75-A/17"</f>
        <v>9-19/NOS-75-A/17</v>
      </c>
      <c r="T714" s="2" t="s">
        <v>33</v>
      </c>
    </row>
    <row r="715" spans="1:20" ht="25.5" x14ac:dyDescent="0.25">
      <c r="A715" s="1">
        <v>711</v>
      </c>
      <c r="B715" s="1" t="str">
        <f t="shared" si="71"/>
        <v>2017-410</v>
      </c>
      <c r="C715" s="2" t="s">
        <v>702</v>
      </c>
      <c r="D715" s="1" t="s">
        <v>703</v>
      </c>
      <c r="E715" s="3" t="str">
        <f>""</f>
        <v/>
      </c>
      <c r="F715" s="2" t="s">
        <v>27</v>
      </c>
      <c r="G715" s="2" t="str">
        <f t="shared" si="72"/>
        <v>PAMAJO D.O.O., VRANIČKA 7/A, 10000 ZAGREB, OIB: 46401136513</v>
      </c>
      <c r="H715" s="4"/>
      <c r="I715" s="1" t="s">
        <v>435</v>
      </c>
      <c r="J715" s="1" t="s">
        <v>121</v>
      </c>
      <c r="K715" s="6" t="str">
        <f>"2.750,00"</f>
        <v>2.750,00</v>
      </c>
      <c r="L715" s="6" t="str">
        <f>"687,50"</f>
        <v>687,50</v>
      </c>
      <c r="M715" s="6" t="str">
        <f>"3.437,50"</f>
        <v>3.437,50</v>
      </c>
      <c r="N715" s="5">
        <v>43626</v>
      </c>
      <c r="O715" s="7"/>
      <c r="P715" s="6" t="str">
        <f>"3.437,50"</f>
        <v>3.437,50</v>
      </c>
      <c r="Q715" s="7"/>
      <c r="R715" s="1"/>
      <c r="S715" s="1" t="str">
        <f>"10-19/NOS-75-A/17"</f>
        <v>10-19/NOS-75-A/17</v>
      </c>
      <c r="T715" s="2" t="s">
        <v>29</v>
      </c>
    </row>
    <row r="716" spans="1:20" ht="25.5" x14ac:dyDescent="0.25">
      <c r="A716" s="1">
        <v>712</v>
      </c>
      <c r="B716" s="1" t="str">
        <f t="shared" si="71"/>
        <v>2017-410</v>
      </c>
      <c r="C716" s="2" t="s">
        <v>702</v>
      </c>
      <c r="D716" s="1" t="s">
        <v>703</v>
      </c>
      <c r="E716" s="3" t="str">
        <f>""</f>
        <v/>
      </c>
      <c r="F716" s="2" t="s">
        <v>27</v>
      </c>
      <c r="G716" s="2" t="str">
        <f t="shared" si="72"/>
        <v>PAMAJO D.O.O., VRANIČKA 7/A, 10000 ZAGREB, OIB: 46401136513</v>
      </c>
      <c r="H716" s="4"/>
      <c r="I716" s="1" t="s">
        <v>499</v>
      </c>
      <c r="J716" s="1" t="s">
        <v>121</v>
      </c>
      <c r="K716" s="6" t="str">
        <f>"1.130,50"</f>
        <v>1.130,50</v>
      </c>
      <c r="L716" s="6" t="str">
        <f>"282,63"</f>
        <v>282,63</v>
      </c>
      <c r="M716" s="6" t="str">
        <f>"1.413,13"</f>
        <v>1.413,13</v>
      </c>
      <c r="N716" s="5">
        <v>43626</v>
      </c>
      <c r="O716" s="7"/>
      <c r="P716" s="6" t="str">
        <f>"1.413,12"</f>
        <v>1.413,12</v>
      </c>
      <c r="Q716" s="7"/>
      <c r="R716" s="1"/>
      <c r="S716" s="1" t="str">
        <f>"11-19/NOS-75-A/17"</f>
        <v>11-19/NOS-75-A/17</v>
      </c>
      <c r="T716" s="2" t="s">
        <v>29</v>
      </c>
    </row>
    <row r="717" spans="1:20" ht="25.5" x14ac:dyDescent="0.25">
      <c r="A717" s="1">
        <v>713</v>
      </c>
      <c r="B717" s="1" t="str">
        <f t="shared" si="71"/>
        <v>2017-410</v>
      </c>
      <c r="C717" s="2" t="s">
        <v>702</v>
      </c>
      <c r="D717" s="1" t="s">
        <v>703</v>
      </c>
      <c r="E717" s="3" t="str">
        <f>""</f>
        <v/>
      </c>
      <c r="F717" s="2" t="s">
        <v>27</v>
      </c>
      <c r="G717" s="2" t="str">
        <f t="shared" si="72"/>
        <v>PAMAJO D.O.O., VRANIČKA 7/A, 10000 ZAGREB, OIB: 46401136513</v>
      </c>
      <c r="H717" s="4"/>
      <c r="I717" s="1" t="s">
        <v>499</v>
      </c>
      <c r="J717" s="1" t="s">
        <v>121</v>
      </c>
      <c r="K717" s="6" t="str">
        <f>"745,00"</f>
        <v>745,00</v>
      </c>
      <c r="L717" s="6" t="str">
        <f>"186,25"</f>
        <v>186,25</v>
      </c>
      <c r="M717" s="6" t="str">
        <f>"931,25"</f>
        <v>931,25</v>
      </c>
      <c r="N717" s="5">
        <v>43628</v>
      </c>
      <c r="O717" s="7"/>
      <c r="P717" s="6" t="str">
        <f>"931,25"</f>
        <v>931,25</v>
      </c>
      <c r="Q717" s="7"/>
      <c r="R717" s="1"/>
      <c r="S717" s="1" t="str">
        <f>"12-19/NOS-75-A/17"</f>
        <v>12-19/NOS-75-A/17</v>
      </c>
      <c r="T717" s="2" t="s">
        <v>29</v>
      </c>
    </row>
    <row r="718" spans="1:20" ht="25.5" x14ac:dyDescent="0.25">
      <c r="A718" s="1">
        <v>714</v>
      </c>
      <c r="B718" s="1" t="str">
        <f t="shared" si="71"/>
        <v>2017-410</v>
      </c>
      <c r="C718" s="2" t="s">
        <v>702</v>
      </c>
      <c r="D718" s="1" t="s">
        <v>703</v>
      </c>
      <c r="E718" s="3" t="str">
        <f>""</f>
        <v/>
      </c>
      <c r="F718" s="2" t="s">
        <v>27</v>
      </c>
      <c r="G718" s="2" t="str">
        <f t="shared" si="72"/>
        <v>PAMAJO D.O.O., VRANIČKA 7/A, 10000 ZAGREB, OIB: 46401136513</v>
      </c>
      <c r="H718" s="4"/>
      <c r="I718" s="1" t="s">
        <v>25</v>
      </c>
      <c r="J718" s="1" t="s">
        <v>251</v>
      </c>
      <c r="K718" s="6" t="str">
        <f>"2.341,00"</f>
        <v>2.341,00</v>
      </c>
      <c r="L718" s="6" t="str">
        <f>"585,25"</f>
        <v>585,25</v>
      </c>
      <c r="M718" s="6" t="str">
        <f>"2.926,25"</f>
        <v>2.926,25</v>
      </c>
      <c r="N718" s="5">
        <v>43584</v>
      </c>
      <c r="O718" s="7"/>
      <c r="P718" s="6" t="str">
        <f>"2.926,25"</f>
        <v>2.926,25</v>
      </c>
      <c r="Q718" s="7"/>
      <c r="R718" s="1"/>
      <c r="S718" s="1" t="str">
        <f>"13-19/NOS-75-A/17"</f>
        <v>13-19/NOS-75-A/17</v>
      </c>
      <c r="T718" s="2" t="s">
        <v>33</v>
      </c>
    </row>
    <row r="719" spans="1:20" ht="25.5" x14ac:dyDescent="0.25">
      <c r="A719" s="1">
        <v>715</v>
      </c>
      <c r="B719" s="1" t="str">
        <f t="shared" si="71"/>
        <v>2017-410</v>
      </c>
      <c r="C719" s="2" t="s">
        <v>702</v>
      </c>
      <c r="D719" s="1" t="s">
        <v>703</v>
      </c>
      <c r="E719" s="3" t="str">
        <f>""</f>
        <v/>
      </c>
      <c r="F719" s="2" t="s">
        <v>27</v>
      </c>
      <c r="G719" s="2" t="str">
        <f t="shared" si="72"/>
        <v>PAMAJO D.O.O., VRANIČKA 7/A, 10000 ZAGREB, OIB: 46401136513</v>
      </c>
      <c r="H719" s="4"/>
      <c r="I719" s="1" t="s">
        <v>74</v>
      </c>
      <c r="J719" s="1" t="s">
        <v>121</v>
      </c>
      <c r="K719" s="6" t="str">
        <f>"1.487,00"</f>
        <v>1.487,00</v>
      </c>
      <c r="L719" s="6" t="str">
        <f>"371,75"</f>
        <v>371,75</v>
      </c>
      <c r="M719" s="6" t="str">
        <f>"1.858,75"</f>
        <v>1.858,75</v>
      </c>
      <c r="N719" s="5">
        <v>43631</v>
      </c>
      <c r="O719" s="7"/>
      <c r="P719" s="6" t="str">
        <f>"1.858,75"</f>
        <v>1.858,75</v>
      </c>
      <c r="Q719" s="7"/>
      <c r="R719" s="1"/>
      <c r="S719" s="1" t="str">
        <f>"15-19/NOS-75-A/17"</f>
        <v>15-19/NOS-75-A/17</v>
      </c>
      <c r="T719" s="2" t="s">
        <v>33</v>
      </c>
    </row>
    <row r="720" spans="1:20" ht="25.5" x14ac:dyDescent="0.25">
      <c r="A720" s="1">
        <v>716</v>
      </c>
      <c r="B720" s="1" t="str">
        <f t="shared" si="71"/>
        <v>2017-410</v>
      </c>
      <c r="C720" s="2" t="s">
        <v>702</v>
      </c>
      <c r="D720" s="1" t="s">
        <v>703</v>
      </c>
      <c r="E720" s="3" t="str">
        <f>""</f>
        <v/>
      </c>
      <c r="F720" s="2" t="s">
        <v>27</v>
      </c>
      <c r="G720" s="2" t="str">
        <f t="shared" si="72"/>
        <v>PAMAJO D.O.O., VRANIČKA 7/A, 10000 ZAGREB, OIB: 46401136513</v>
      </c>
      <c r="H720" s="4"/>
      <c r="I720" s="1" t="s">
        <v>74</v>
      </c>
      <c r="J720" s="1" t="s">
        <v>121</v>
      </c>
      <c r="K720" s="6" t="str">
        <f>"280,00"</f>
        <v>280,00</v>
      </c>
      <c r="L720" s="6" t="str">
        <f>"0,00"</f>
        <v>0,00</v>
      </c>
      <c r="M720" s="6" t="str">
        <f>"0,00"</f>
        <v>0,00</v>
      </c>
      <c r="N720" s="1" t="s">
        <v>117</v>
      </c>
      <c r="O720" s="7"/>
      <c r="P720" s="6" t="str">
        <f>"0,00"</f>
        <v>0,00</v>
      </c>
      <c r="Q720" s="7"/>
      <c r="R720" s="1"/>
      <c r="S720" s="1" t="str">
        <f>"16-19/NOS-75-A/17"</f>
        <v>16-19/NOS-75-A/17</v>
      </c>
      <c r="T720" s="2" t="s">
        <v>33</v>
      </c>
    </row>
    <row r="721" spans="1:20" ht="25.5" x14ac:dyDescent="0.25">
      <c r="A721" s="1">
        <v>717</v>
      </c>
      <c r="B721" s="1" t="str">
        <f t="shared" si="71"/>
        <v>2017-410</v>
      </c>
      <c r="C721" s="2" t="s">
        <v>702</v>
      </c>
      <c r="D721" s="1" t="s">
        <v>703</v>
      </c>
      <c r="E721" s="3" t="str">
        <f>""</f>
        <v/>
      </c>
      <c r="F721" s="2" t="s">
        <v>27</v>
      </c>
      <c r="G721" s="2" t="str">
        <f t="shared" si="72"/>
        <v>PAMAJO D.O.O., VRANIČKA 7/A, 10000 ZAGREB, OIB: 46401136513</v>
      </c>
      <c r="H721" s="4"/>
      <c r="I721" s="1" t="s">
        <v>74</v>
      </c>
      <c r="J721" s="1" t="s">
        <v>121</v>
      </c>
      <c r="K721" s="6" t="str">
        <f>"1.546,00"</f>
        <v>1.546,00</v>
      </c>
      <c r="L721" s="6" t="str">
        <f>"386,50"</f>
        <v>386,50</v>
      </c>
      <c r="M721" s="6" t="str">
        <f>"1.932,50"</f>
        <v>1.932,50</v>
      </c>
      <c r="N721" s="5">
        <v>43631</v>
      </c>
      <c r="O721" s="7"/>
      <c r="P721" s="6" t="str">
        <f>"1.932,50"</f>
        <v>1.932,50</v>
      </c>
      <c r="Q721" s="7"/>
      <c r="R721" s="1"/>
      <c r="S721" s="1" t="str">
        <f>"17-19/NOS-75-A/17"</f>
        <v>17-19/NOS-75-A/17</v>
      </c>
      <c r="T721" s="2" t="s">
        <v>33</v>
      </c>
    </row>
    <row r="722" spans="1:20" ht="25.5" x14ac:dyDescent="0.25">
      <c r="A722" s="1">
        <v>718</v>
      </c>
      <c r="B722" s="1" t="str">
        <f t="shared" si="71"/>
        <v>2017-410</v>
      </c>
      <c r="C722" s="2" t="s">
        <v>702</v>
      </c>
      <c r="D722" s="1" t="s">
        <v>703</v>
      </c>
      <c r="E722" s="3" t="str">
        <f>""</f>
        <v/>
      </c>
      <c r="F722" s="2" t="s">
        <v>27</v>
      </c>
      <c r="G722" s="2" t="str">
        <f t="shared" si="72"/>
        <v>PAMAJO D.O.O., VRANIČKA 7/A, 10000 ZAGREB, OIB: 46401136513</v>
      </c>
      <c r="H722" s="4"/>
      <c r="I722" s="1" t="s">
        <v>74</v>
      </c>
      <c r="J722" s="1" t="s">
        <v>121</v>
      </c>
      <c r="K722" s="6" t="str">
        <f>"1.546,00"</f>
        <v>1.546,00</v>
      </c>
      <c r="L722" s="6" t="str">
        <f>"386,50"</f>
        <v>386,50</v>
      </c>
      <c r="M722" s="6" t="str">
        <f>"1.932,50"</f>
        <v>1.932,50</v>
      </c>
      <c r="N722" s="5">
        <v>43631</v>
      </c>
      <c r="O722" s="7"/>
      <c r="P722" s="6" t="str">
        <f>"1.932,50"</f>
        <v>1.932,50</v>
      </c>
      <c r="Q722" s="7"/>
      <c r="R722" s="1"/>
      <c r="S722" s="1" t="str">
        <f>"18-19/NOS-75-A/17"</f>
        <v>18-19/NOS-75-A/17</v>
      </c>
      <c r="T722" s="2" t="s">
        <v>33</v>
      </c>
    </row>
    <row r="723" spans="1:20" ht="25.5" x14ac:dyDescent="0.25">
      <c r="A723" s="1">
        <v>719</v>
      </c>
      <c r="B723" s="1" t="str">
        <f t="shared" si="71"/>
        <v>2017-410</v>
      </c>
      <c r="C723" s="2" t="s">
        <v>702</v>
      </c>
      <c r="D723" s="1" t="s">
        <v>703</v>
      </c>
      <c r="E723" s="3" t="str">
        <f>""</f>
        <v/>
      </c>
      <c r="F723" s="2" t="s">
        <v>27</v>
      </c>
      <c r="G723" s="2" t="str">
        <f t="shared" si="72"/>
        <v>PAMAJO D.O.O., VRANIČKA 7/A, 10000 ZAGREB, OIB: 46401136513</v>
      </c>
      <c r="H723" s="4"/>
      <c r="I723" s="1" t="s">
        <v>74</v>
      </c>
      <c r="J723" s="1" t="s">
        <v>121</v>
      </c>
      <c r="K723" s="6" t="str">
        <f>"3.780,00"</f>
        <v>3.780,00</v>
      </c>
      <c r="L723" s="6" t="str">
        <f>"945,00"</f>
        <v>945,00</v>
      </c>
      <c r="M723" s="6" t="str">
        <f>"4.725,00"</f>
        <v>4.725,00</v>
      </c>
      <c r="N723" s="5">
        <v>43708</v>
      </c>
      <c r="O723" s="7"/>
      <c r="P723" s="6" t="str">
        <f>"4.725,00"</f>
        <v>4.725,00</v>
      </c>
      <c r="Q723" s="7"/>
      <c r="R723" s="1"/>
      <c r="S723" s="1" t="str">
        <f>"19-19/NOS-75-A/17"</f>
        <v>19-19/NOS-75-A/17</v>
      </c>
      <c r="T723" s="2" t="s">
        <v>33</v>
      </c>
    </row>
    <row r="724" spans="1:20" ht="25.5" x14ac:dyDescent="0.25">
      <c r="A724" s="1">
        <v>720</v>
      </c>
      <c r="B724" s="1" t="str">
        <f t="shared" si="71"/>
        <v>2017-410</v>
      </c>
      <c r="C724" s="2" t="s">
        <v>702</v>
      </c>
      <c r="D724" s="1" t="s">
        <v>703</v>
      </c>
      <c r="E724" s="3" t="str">
        <f>""</f>
        <v/>
      </c>
      <c r="F724" s="2" t="s">
        <v>27</v>
      </c>
      <c r="G724" s="2" t="str">
        <f t="shared" si="72"/>
        <v>PAMAJO D.O.O., VRANIČKA 7/A, 10000 ZAGREB, OIB: 46401136513</v>
      </c>
      <c r="H724" s="4"/>
      <c r="I724" s="1" t="s">
        <v>74</v>
      </c>
      <c r="J724" s="1" t="s">
        <v>121</v>
      </c>
      <c r="K724" s="6" t="str">
        <f>"1.557,00"</f>
        <v>1.557,00</v>
      </c>
      <c r="L724" s="6" t="str">
        <f>"389,25"</f>
        <v>389,25</v>
      </c>
      <c r="M724" s="6" t="str">
        <f>"1.946,25"</f>
        <v>1.946,25</v>
      </c>
      <c r="N724" s="5">
        <v>43631</v>
      </c>
      <c r="O724" s="7"/>
      <c r="P724" s="6" t="str">
        <f>"1.946,25"</f>
        <v>1.946,25</v>
      </c>
      <c r="Q724" s="7"/>
      <c r="R724" s="1"/>
      <c r="S724" s="1" t="str">
        <f>"20-19/NOS-75-A/17"</f>
        <v>20-19/NOS-75-A/17</v>
      </c>
      <c r="T724" s="2" t="s">
        <v>33</v>
      </c>
    </row>
    <row r="725" spans="1:20" ht="25.5" x14ac:dyDescent="0.25">
      <c r="A725" s="1">
        <v>721</v>
      </c>
      <c r="B725" s="1" t="str">
        <f t="shared" si="71"/>
        <v>2017-410</v>
      </c>
      <c r="C725" s="2" t="s">
        <v>702</v>
      </c>
      <c r="D725" s="1" t="s">
        <v>703</v>
      </c>
      <c r="E725" s="3" t="str">
        <f>""</f>
        <v/>
      </c>
      <c r="F725" s="2" t="s">
        <v>27</v>
      </c>
      <c r="G725" s="2" t="str">
        <f t="shared" si="72"/>
        <v>PAMAJO D.O.O., VRANIČKA 7/A, 10000 ZAGREB, OIB: 46401136513</v>
      </c>
      <c r="H725" s="4"/>
      <c r="I725" s="1" t="s">
        <v>74</v>
      </c>
      <c r="J725" s="1" t="s">
        <v>121</v>
      </c>
      <c r="K725" s="6" t="str">
        <f>"1.392,00"</f>
        <v>1.392,00</v>
      </c>
      <c r="L725" s="6" t="str">
        <f>"348,00"</f>
        <v>348,00</v>
      </c>
      <c r="M725" s="6" t="str">
        <f>"1.740,00"</f>
        <v>1.740,00</v>
      </c>
      <c r="N725" s="5">
        <v>43631</v>
      </c>
      <c r="O725" s="7"/>
      <c r="P725" s="6" t="str">
        <f>"1.740,00"</f>
        <v>1.740,00</v>
      </c>
      <c r="Q725" s="7"/>
      <c r="R725" s="1"/>
      <c r="S725" s="1" t="str">
        <f>"21-19/NOS-75-A/17"</f>
        <v>21-19/NOS-75-A/17</v>
      </c>
      <c r="T725" s="2" t="s">
        <v>33</v>
      </c>
    </row>
    <row r="726" spans="1:20" ht="25.5" x14ac:dyDescent="0.25">
      <c r="A726" s="1">
        <v>722</v>
      </c>
      <c r="B726" s="1" t="str">
        <f t="shared" si="71"/>
        <v>2017-410</v>
      </c>
      <c r="C726" s="2" t="s">
        <v>702</v>
      </c>
      <c r="D726" s="1" t="s">
        <v>703</v>
      </c>
      <c r="E726" s="3" t="str">
        <f>""</f>
        <v/>
      </c>
      <c r="F726" s="2" t="s">
        <v>27</v>
      </c>
      <c r="G726" s="2" t="str">
        <f t="shared" si="72"/>
        <v>PAMAJO D.O.O., VRANIČKA 7/A, 10000 ZAGREB, OIB: 46401136513</v>
      </c>
      <c r="H726" s="4"/>
      <c r="I726" s="1" t="s">
        <v>74</v>
      </c>
      <c r="J726" s="1" t="s">
        <v>121</v>
      </c>
      <c r="K726" s="6" t="str">
        <f>"1.528,00"</f>
        <v>1.528,00</v>
      </c>
      <c r="L726" s="6" t="str">
        <f>"382,00"</f>
        <v>382,00</v>
      </c>
      <c r="M726" s="6" t="str">
        <f>"1.910,00"</f>
        <v>1.910,00</v>
      </c>
      <c r="N726" s="5">
        <v>43631</v>
      </c>
      <c r="O726" s="7"/>
      <c r="P726" s="6" t="str">
        <f>"1.910,00"</f>
        <v>1.910,00</v>
      </c>
      <c r="Q726" s="7"/>
      <c r="R726" s="1"/>
      <c r="S726" s="1" t="str">
        <f>"22-19/NOS-75-A/17"</f>
        <v>22-19/NOS-75-A/17</v>
      </c>
      <c r="T726" s="2" t="s">
        <v>33</v>
      </c>
    </row>
    <row r="727" spans="1:20" ht="25.5" x14ac:dyDescent="0.25">
      <c r="A727" s="1">
        <v>723</v>
      </c>
      <c r="B727" s="1" t="str">
        <f t="shared" si="71"/>
        <v>2017-410</v>
      </c>
      <c r="C727" s="2" t="s">
        <v>702</v>
      </c>
      <c r="D727" s="1" t="s">
        <v>703</v>
      </c>
      <c r="E727" s="3" t="str">
        <f>""</f>
        <v/>
      </c>
      <c r="F727" s="2" t="s">
        <v>27</v>
      </c>
      <c r="G727" s="2" t="str">
        <f t="shared" si="72"/>
        <v>PAMAJO D.O.O., VRANIČKA 7/A, 10000 ZAGREB, OIB: 46401136513</v>
      </c>
      <c r="H727" s="4"/>
      <c r="I727" s="1" t="s">
        <v>74</v>
      </c>
      <c r="J727" s="1" t="s">
        <v>492</v>
      </c>
      <c r="K727" s="6" t="str">
        <f>"280,00"</f>
        <v>280,00</v>
      </c>
      <c r="L727" s="6" t="str">
        <f>"70,00"</f>
        <v>70,00</v>
      </c>
      <c r="M727" s="6" t="str">
        <f>"350,00"</f>
        <v>350,00</v>
      </c>
      <c r="N727" s="5">
        <v>43631</v>
      </c>
      <c r="O727" s="7"/>
      <c r="P727" s="6" t="str">
        <f>"350,00"</f>
        <v>350,00</v>
      </c>
      <c r="Q727" s="7"/>
      <c r="R727" s="1"/>
      <c r="S727" s="1" t="str">
        <f>"23-19/NOS-75-A/17"</f>
        <v>23-19/NOS-75-A/17</v>
      </c>
      <c r="T727" s="2" t="s">
        <v>33</v>
      </c>
    </row>
    <row r="728" spans="1:20" ht="25.5" x14ac:dyDescent="0.25">
      <c r="A728" s="1">
        <v>724</v>
      </c>
      <c r="B728" s="1" t="str">
        <f t="shared" si="71"/>
        <v>2017-410</v>
      </c>
      <c r="C728" s="2" t="s">
        <v>702</v>
      </c>
      <c r="D728" s="1" t="s">
        <v>703</v>
      </c>
      <c r="E728" s="3" t="str">
        <f>""</f>
        <v/>
      </c>
      <c r="F728" s="2" t="s">
        <v>27</v>
      </c>
      <c r="G728" s="2" t="str">
        <f t="shared" si="72"/>
        <v>PAMAJO D.O.O., VRANIČKA 7/A, 10000 ZAGREB, OIB: 46401136513</v>
      </c>
      <c r="H728" s="4"/>
      <c r="I728" s="1" t="s">
        <v>74</v>
      </c>
      <c r="J728" s="1" t="s">
        <v>121</v>
      </c>
      <c r="K728" s="6" t="str">
        <f>"3.200,00"</f>
        <v>3.200,00</v>
      </c>
      <c r="L728" s="6" t="str">
        <f>"800,00"</f>
        <v>800,00</v>
      </c>
      <c r="M728" s="6" t="str">
        <f>"4.000,00"</f>
        <v>4.000,00</v>
      </c>
      <c r="N728" s="5">
        <v>43626</v>
      </c>
      <c r="O728" s="7"/>
      <c r="P728" s="6" t="str">
        <f>"4.000,00"</f>
        <v>4.000,00</v>
      </c>
      <c r="Q728" s="7"/>
      <c r="R728" s="1"/>
      <c r="S728" s="1" t="str">
        <f>"24-19/NOS-75-A/17"</f>
        <v>24-19/NOS-75-A/17</v>
      </c>
      <c r="T728" s="2" t="s">
        <v>33</v>
      </c>
    </row>
    <row r="729" spans="1:20" ht="25.5" x14ac:dyDescent="0.25">
      <c r="A729" s="1">
        <v>725</v>
      </c>
      <c r="B729" s="1" t="str">
        <f t="shared" si="71"/>
        <v>2017-410</v>
      </c>
      <c r="C729" s="2" t="s">
        <v>702</v>
      </c>
      <c r="D729" s="1" t="s">
        <v>703</v>
      </c>
      <c r="E729" s="3" t="str">
        <f>""</f>
        <v/>
      </c>
      <c r="F729" s="2" t="s">
        <v>27</v>
      </c>
      <c r="G729" s="2" t="str">
        <f t="shared" si="72"/>
        <v>PAMAJO D.O.O., VRANIČKA 7/A, 10000 ZAGREB, OIB: 46401136513</v>
      </c>
      <c r="H729" s="4"/>
      <c r="I729" s="1" t="s">
        <v>320</v>
      </c>
      <c r="J729" s="1" t="s">
        <v>492</v>
      </c>
      <c r="K729" s="6" t="str">
        <f>"1.704,00"</f>
        <v>1.704,00</v>
      </c>
      <c r="L729" s="6" t="str">
        <f>"426,00"</f>
        <v>426,00</v>
      </c>
      <c r="M729" s="6" t="str">
        <f>"2.130,00"</f>
        <v>2.130,00</v>
      </c>
      <c r="N729" s="5">
        <v>43619</v>
      </c>
      <c r="O729" s="7"/>
      <c r="P729" s="6" t="str">
        <f>"2.130,00"</f>
        <v>2.130,00</v>
      </c>
      <c r="Q729" s="7"/>
      <c r="R729" s="1"/>
      <c r="S729" s="1" t="str">
        <f>"26-19/NOS-75-A/17"</f>
        <v>26-19/NOS-75-A/17</v>
      </c>
      <c r="T729" s="2" t="s">
        <v>33</v>
      </c>
    </row>
    <row r="730" spans="1:20" ht="25.5" x14ac:dyDescent="0.25">
      <c r="A730" s="1">
        <v>726</v>
      </c>
      <c r="B730" s="1" t="str">
        <f t="shared" si="71"/>
        <v>2017-410</v>
      </c>
      <c r="C730" s="2" t="s">
        <v>702</v>
      </c>
      <c r="D730" s="1" t="s">
        <v>703</v>
      </c>
      <c r="E730" s="3" t="str">
        <f>""</f>
        <v/>
      </c>
      <c r="F730" s="2" t="s">
        <v>27</v>
      </c>
      <c r="G730" s="2" t="str">
        <f t="shared" si="72"/>
        <v>PAMAJO D.O.O., VRANIČKA 7/A, 10000 ZAGREB, OIB: 46401136513</v>
      </c>
      <c r="H730" s="4"/>
      <c r="I730" s="1" t="s">
        <v>414</v>
      </c>
      <c r="J730" s="1" t="s">
        <v>47</v>
      </c>
      <c r="K730" s="6" t="str">
        <f>"490,00"</f>
        <v>490,00</v>
      </c>
      <c r="L730" s="6" t="str">
        <f>"122,50"</f>
        <v>122,50</v>
      </c>
      <c r="M730" s="6" t="str">
        <f>"612,50"</f>
        <v>612,50</v>
      </c>
      <c r="N730" s="5">
        <v>43628</v>
      </c>
      <c r="O730" s="7"/>
      <c r="P730" s="6" t="str">
        <f>"612,50"</f>
        <v>612,50</v>
      </c>
      <c r="Q730" s="7"/>
      <c r="R730" s="1"/>
      <c r="S730" s="1" t="str">
        <f>"28-19/NOS-75-A/17"</f>
        <v>28-19/NOS-75-A/17</v>
      </c>
      <c r="T730" s="2" t="s">
        <v>29</v>
      </c>
    </row>
    <row r="731" spans="1:20" ht="25.5" x14ac:dyDescent="0.25">
      <c r="A731" s="1">
        <v>727</v>
      </c>
      <c r="B731" s="1" t="str">
        <f t="shared" si="71"/>
        <v>2017-410</v>
      </c>
      <c r="C731" s="2" t="s">
        <v>702</v>
      </c>
      <c r="D731" s="1" t="s">
        <v>703</v>
      </c>
      <c r="E731" s="3" t="str">
        <f>""</f>
        <v/>
      </c>
      <c r="F731" s="2" t="s">
        <v>27</v>
      </c>
      <c r="G731" s="2" t="str">
        <f t="shared" si="72"/>
        <v>PAMAJO D.O.O., VRANIČKA 7/A, 10000 ZAGREB, OIB: 46401136513</v>
      </c>
      <c r="H731" s="4"/>
      <c r="I731" s="1" t="s">
        <v>414</v>
      </c>
      <c r="J731" s="1" t="s">
        <v>47</v>
      </c>
      <c r="K731" s="6" t="str">
        <f>"1.590,00"</f>
        <v>1.590,00</v>
      </c>
      <c r="L731" s="6" t="str">
        <f>"397,50"</f>
        <v>397,50</v>
      </c>
      <c r="M731" s="6" t="str">
        <f>"1.987,50"</f>
        <v>1.987,50</v>
      </c>
      <c r="N731" s="5">
        <v>43628</v>
      </c>
      <c r="O731" s="7"/>
      <c r="P731" s="6" t="str">
        <f>"1.987,50"</f>
        <v>1.987,50</v>
      </c>
      <c r="Q731" s="7"/>
      <c r="R731" s="1"/>
      <c r="S731" s="1" t="str">
        <f>"29-19/NOS-75-A/17"</f>
        <v>29-19/NOS-75-A/17</v>
      </c>
      <c r="T731" s="2" t="s">
        <v>29</v>
      </c>
    </row>
    <row r="732" spans="1:20" ht="25.5" x14ac:dyDescent="0.25">
      <c r="A732" s="1">
        <v>728</v>
      </c>
      <c r="B732" s="1" t="str">
        <f t="shared" si="71"/>
        <v>2017-410</v>
      </c>
      <c r="C732" s="2" t="s">
        <v>702</v>
      </c>
      <c r="D732" s="1" t="s">
        <v>703</v>
      </c>
      <c r="E732" s="3" t="str">
        <f>""</f>
        <v/>
      </c>
      <c r="F732" s="2" t="s">
        <v>27</v>
      </c>
      <c r="G732" s="2" t="str">
        <f t="shared" si="72"/>
        <v>PAMAJO D.O.O., VRANIČKA 7/A, 10000 ZAGREB, OIB: 46401136513</v>
      </c>
      <c r="H732" s="4"/>
      <c r="I732" s="1" t="s">
        <v>269</v>
      </c>
      <c r="J732" s="1" t="s">
        <v>121</v>
      </c>
      <c r="K732" s="6" t="str">
        <f>"2.543,00"</f>
        <v>2.543,00</v>
      </c>
      <c r="L732" s="6" t="str">
        <f>"0,00"</f>
        <v>0,00</v>
      </c>
      <c r="M732" s="6" t="str">
        <f>"0,00"</f>
        <v>0,00</v>
      </c>
      <c r="N732" s="1" t="s">
        <v>117</v>
      </c>
      <c r="O732" s="7"/>
      <c r="P732" s="6" t="str">
        <f>"0,00"</f>
        <v>0,00</v>
      </c>
      <c r="Q732" s="7"/>
      <c r="R732" s="1"/>
      <c r="S732" s="1" t="str">
        <f>"31-19/NOS-75-A/17"</f>
        <v>31-19/NOS-75-A/17</v>
      </c>
      <c r="T732" s="2" t="s">
        <v>29</v>
      </c>
    </row>
    <row r="733" spans="1:20" ht="25.5" x14ac:dyDescent="0.25">
      <c r="A733" s="1">
        <v>729</v>
      </c>
      <c r="B733" s="1" t="str">
        <f t="shared" si="71"/>
        <v>2017-410</v>
      </c>
      <c r="C733" s="2" t="s">
        <v>702</v>
      </c>
      <c r="D733" s="1" t="s">
        <v>703</v>
      </c>
      <c r="E733" s="3" t="str">
        <f>""</f>
        <v/>
      </c>
      <c r="F733" s="2" t="s">
        <v>27</v>
      </c>
      <c r="G733" s="2" t="str">
        <f t="shared" si="72"/>
        <v>PAMAJO D.O.O., VRANIČKA 7/A, 10000 ZAGREB, OIB: 46401136513</v>
      </c>
      <c r="H733" s="4"/>
      <c r="I733" s="1" t="s">
        <v>269</v>
      </c>
      <c r="J733" s="1" t="s">
        <v>47</v>
      </c>
      <c r="K733" s="6" t="str">
        <f>"2.308,72"</f>
        <v>2.308,72</v>
      </c>
      <c r="L733" s="6" t="str">
        <f>"577,18"</f>
        <v>577,18</v>
      </c>
      <c r="M733" s="6" t="str">
        <f>"2.885,90"</f>
        <v>2.885,90</v>
      </c>
      <c r="N733" s="5">
        <v>43633</v>
      </c>
      <c r="O733" s="7"/>
      <c r="P733" s="6" t="str">
        <f>"2.885,90"</f>
        <v>2.885,90</v>
      </c>
      <c r="Q733" s="7"/>
      <c r="R733" s="1"/>
      <c r="S733" s="1" t="str">
        <f>"35-19/NOS-75-A/17"</f>
        <v>35-19/NOS-75-A/17</v>
      </c>
      <c r="T733" s="2" t="s">
        <v>33</v>
      </c>
    </row>
    <row r="734" spans="1:20" ht="25.5" x14ac:dyDescent="0.25">
      <c r="A734" s="1">
        <v>730</v>
      </c>
      <c r="B734" s="1" t="str">
        <f t="shared" si="71"/>
        <v>2017-410</v>
      </c>
      <c r="C734" s="2" t="s">
        <v>702</v>
      </c>
      <c r="D734" s="1" t="s">
        <v>703</v>
      </c>
      <c r="E734" s="3" t="str">
        <f>""</f>
        <v/>
      </c>
      <c r="F734" s="2" t="s">
        <v>27</v>
      </c>
      <c r="G734" s="2" t="str">
        <f t="shared" si="72"/>
        <v>PAMAJO D.O.O., VRANIČKA 7/A, 10000 ZAGREB, OIB: 46401136513</v>
      </c>
      <c r="H734" s="4"/>
      <c r="I734" s="1" t="s">
        <v>414</v>
      </c>
      <c r="J734" s="1" t="s">
        <v>47</v>
      </c>
      <c r="K734" s="6" t="str">
        <f>"3.310,00"</f>
        <v>3.310,00</v>
      </c>
      <c r="L734" s="6" t="str">
        <f>"827,50"</f>
        <v>827,50</v>
      </c>
      <c r="M734" s="6" t="str">
        <f>"4.137,50"</f>
        <v>4.137,50</v>
      </c>
      <c r="N734" s="5">
        <v>43609</v>
      </c>
      <c r="O734" s="7"/>
      <c r="P734" s="6" t="str">
        <f>"4.137,50"</f>
        <v>4.137,50</v>
      </c>
      <c r="Q734" s="7"/>
      <c r="R734" s="1"/>
      <c r="S734" s="1" t="str">
        <f>"36-19/NOS-75-A/17"</f>
        <v>36-19/NOS-75-A/17</v>
      </c>
      <c r="T734" s="2" t="s">
        <v>33</v>
      </c>
    </row>
    <row r="735" spans="1:20" ht="25.5" x14ac:dyDescent="0.25">
      <c r="A735" s="1">
        <v>731</v>
      </c>
      <c r="B735" s="1" t="str">
        <f t="shared" si="71"/>
        <v>2017-410</v>
      </c>
      <c r="C735" s="2" t="s">
        <v>702</v>
      </c>
      <c r="D735" s="1" t="s">
        <v>703</v>
      </c>
      <c r="E735" s="3" t="str">
        <f>""</f>
        <v/>
      </c>
      <c r="F735" s="2" t="s">
        <v>27</v>
      </c>
      <c r="G735" s="2" t="str">
        <f t="shared" si="72"/>
        <v>PAMAJO D.O.O., VRANIČKA 7/A, 10000 ZAGREB, OIB: 46401136513</v>
      </c>
      <c r="H735" s="4"/>
      <c r="I735" s="1" t="s">
        <v>414</v>
      </c>
      <c r="J735" s="1" t="s">
        <v>121</v>
      </c>
      <c r="K735" s="6" t="str">
        <f>"630,00"</f>
        <v>630,00</v>
      </c>
      <c r="L735" s="6" t="str">
        <f>"157,50"</f>
        <v>157,50</v>
      </c>
      <c r="M735" s="6" t="str">
        <f>"787,50"</f>
        <v>787,50</v>
      </c>
      <c r="N735" s="5">
        <v>43609</v>
      </c>
      <c r="O735" s="7"/>
      <c r="P735" s="6" t="str">
        <f>"787,50"</f>
        <v>787,50</v>
      </c>
      <c r="Q735" s="7"/>
      <c r="R735" s="1"/>
      <c r="S735" s="1" t="str">
        <f>"37-19/NOS-75-A/17"</f>
        <v>37-19/NOS-75-A/17</v>
      </c>
      <c r="T735" s="2" t="s">
        <v>33</v>
      </c>
    </row>
    <row r="736" spans="1:20" ht="25.5" x14ac:dyDescent="0.25">
      <c r="A736" s="1">
        <v>732</v>
      </c>
      <c r="B736" s="1" t="str">
        <f t="shared" si="71"/>
        <v>2017-410</v>
      </c>
      <c r="C736" s="2" t="s">
        <v>702</v>
      </c>
      <c r="D736" s="1" t="s">
        <v>703</v>
      </c>
      <c r="E736" s="3" t="str">
        <f>""</f>
        <v/>
      </c>
      <c r="F736" s="2" t="s">
        <v>27</v>
      </c>
      <c r="G736" s="2" t="str">
        <f t="shared" si="72"/>
        <v>PAMAJO D.O.O., VRANIČKA 7/A, 10000 ZAGREB, OIB: 46401136513</v>
      </c>
      <c r="H736" s="4"/>
      <c r="I736" s="1" t="s">
        <v>414</v>
      </c>
      <c r="J736" s="1" t="s">
        <v>47</v>
      </c>
      <c r="K736" s="6" t="str">
        <f>"3.904,00"</f>
        <v>3.904,00</v>
      </c>
      <c r="L736" s="6" t="str">
        <f>"976,00"</f>
        <v>976,00</v>
      </c>
      <c r="M736" s="6" t="str">
        <f>"4.880,00"</f>
        <v>4.880,00</v>
      </c>
      <c r="N736" s="5">
        <v>43628</v>
      </c>
      <c r="O736" s="7"/>
      <c r="P736" s="6" t="str">
        <f>"4.880,00"</f>
        <v>4.880,00</v>
      </c>
      <c r="Q736" s="7"/>
      <c r="R736" s="1"/>
      <c r="S736" s="1" t="str">
        <f>"38-19/NOS-75-A/17"</f>
        <v>38-19/NOS-75-A/17</v>
      </c>
      <c r="T736" s="2" t="s">
        <v>33</v>
      </c>
    </row>
    <row r="737" spans="1:20" ht="25.5" x14ac:dyDescent="0.25">
      <c r="A737" s="1">
        <v>733</v>
      </c>
      <c r="B737" s="1" t="str">
        <f t="shared" si="71"/>
        <v>2017-410</v>
      </c>
      <c r="C737" s="2" t="s">
        <v>702</v>
      </c>
      <c r="D737" s="1" t="s">
        <v>703</v>
      </c>
      <c r="E737" s="3" t="str">
        <f>""</f>
        <v/>
      </c>
      <c r="F737" s="2" t="s">
        <v>27</v>
      </c>
      <c r="G737" s="2" t="str">
        <f t="shared" si="72"/>
        <v>PAMAJO D.O.O., VRANIČKA 7/A, 10000 ZAGREB, OIB: 46401136513</v>
      </c>
      <c r="H737" s="4"/>
      <c r="I737" s="1" t="s">
        <v>579</v>
      </c>
      <c r="J737" s="1" t="s">
        <v>121</v>
      </c>
      <c r="K737" s="6" t="str">
        <f>"2.268,00"</f>
        <v>2.268,00</v>
      </c>
      <c r="L737" s="6" t="str">
        <f>"0,00"</f>
        <v>0,00</v>
      </c>
      <c r="M737" s="6" t="str">
        <f>"0,00"</f>
        <v>0,00</v>
      </c>
      <c r="N737" s="1" t="s">
        <v>117</v>
      </c>
      <c r="O737" s="7"/>
      <c r="P737" s="6" t="str">
        <f>"0,00"</f>
        <v>0,00</v>
      </c>
      <c r="Q737" s="7"/>
      <c r="R737" s="1"/>
      <c r="S737" s="1" t="str">
        <f>"39-19/NOS-75-A/17"</f>
        <v>39-19/NOS-75-A/17</v>
      </c>
      <c r="T737" s="17"/>
    </row>
    <row r="738" spans="1:20" ht="25.5" x14ac:dyDescent="0.25">
      <c r="A738" s="1">
        <v>734</v>
      </c>
      <c r="B738" s="1" t="str">
        <f t="shared" si="71"/>
        <v>2017-410</v>
      </c>
      <c r="C738" s="2" t="s">
        <v>702</v>
      </c>
      <c r="D738" s="1" t="s">
        <v>703</v>
      </c>
      <c r="E738" s="3" t="str">
        <f>""</f>
        <v/>
      </c>
      <c r="F738" s="2" t="s">
        <v>27</v>
      </c>
      <c r="G738" s="2" t="str">
        <f t="shared" si="72"/>
        <v>PAMAJO D.O.O., VRANIČKA 7/A, 10000 ZAGREB, OIB: 46401136513</v>
      </c>
      <c r="H738" s="4"/>
      <c r="I738" s="1" t="s">
        <v>440</v>
      </c>
      <c r="J738" s="1" t="s">
        <v>47</v>
      </c>
      <c r="K738" s="6" t="str">
        <f>"2.700,00"</f>
        <v>2.700,00</v>
      </c>
      <c r="L738" s="6" t="str">
        <f>"0,00"</f>
        <v>0,00</v>
      </c>
      <c r="M738" s="6" t="str">
        <f>"0,00"</f>
        <v>0,00</v>
      </c>
      <c r="N738" s="1" t="s">
        <v>117</v>
      </c>
      <c r="O738" s="7"/>
      <c r="P738" s="6" t="str">
        <f>"0,00"</f>
        <v>0,00</v>
      </c>
      <c r="Q738" s="7"/>
      <c r="R738" s="1"/>
      <c r="S738" s="1" t="str">
        <f>"40-19/NOS-75-A/17"</f>
        <v>40-19/NOS-75-A/17</v>
      </c>
      <c r="T738" s="2" t="s">
        <v>33</v>
      </c>
    </row>
    <row r="739" spans="1:20" ht="25.5" x14ac:dyDescent="0.25">
      <c r="A739" s="1">
        <v>735</v>
      </c>
      <c r="B739" s="1" t="str">
        <f t="shared" ref="B739:B775" si="73">"2017-410"</f>
        <v>2017-410</v>
      </c>
      <c r="C739" s="2" t="s">
        <v>702</v>
      </c>
      <c r="D739" s="1" t="s">
        <v>703</v>
      </c>
      <c r="E739" s="3" t="str">
        <f>""</f>
        <v/>
      </c>
      <c r="F739" s="2" t="s">
        <v>27</v>
      </c>
      <c r="G739" s="2" t="str">
        <f t="shared" si="72"/>
        <v>PAMAJO D.O.O., VRANIČKA 7/A, 10000 ZAGREB, OIB: 46401136513</v>
      </c>
      <c r="H739" s="4"/>
      <c r="I739" s="1" t="s">
        <v>640</v>
      </c>
      <c r="J739" s="1" t="s">
        <v>121</v>
      </c>
      <c r="K739" s="6" t="str">
        <f>"2.268,00"</f>
        <v>2.268,00</v>
      </c>
      <c r="L739" s="6" t="str">
        <f>"567,00"</f>
        <v>567,00</v>
      </c>
      <c r="M739" s="6" t="str">
        <f>"2.835,00"</f>
        <v>2.835,00</v>
      </c>
      <c r="N739" s="5">
        <v>43644</v>
      </c>
      <c r="O739" s="7"/>
      <c r="P739" s="6" t="str">
        <f>"2.835,00"</f>
        <v>2.835,00</v>
      </c>
      <c r="Q739" s="7"/>
      <c r="R739" s="1"/>
      <c r="S739" s="1" t="str">
        <f>"41-19/NOS-75-A/17"</f>
        <v>41-19/NOS-75-A/17</v>
      </c>
      <c r="T739" s="2" t="s">
        <v>33</v>
      </c>
    </row>
    <row r="740" spans="1:20" ht="25.5" x14ac:dyDescent="0.25">
      <c r="A740" s="1">
        <v>736</v>
      </c>
      <c r="B740" s="1" t="str">
        <f t="shared" si="73"/>
        <v>2017-410</v>
      </c>
      <c r="C740" s="2" t="s">
        <v>702</v>
      </c>
      <c r="D740" s="1" t="s">
        <v>703</v>
      </c>
      <c r="E740" s="3" t="str">
        <f>""</f>
        <v/>
      </c>
      <c r="F740" s="2" t="s">
        <v>27</v>
      </c>
      <c r="G740" s="2" t="str">
        <f t="shared" si="72"/>
        <v>PAMAJO D.O.O., VRANIČKA 7/A, 10000 ZAGREB, OIB: 46401136513</v>
      </c>
      <c r="H740" s="4"/>
      <c r="I740" s="1" t="s">
        <v>640</v>
      </c>
      <c r="J740" s="1" t="s">
        <v>492</v>
      </c>
      <c r="K740" s="6" t="str">
        <f>"2.147,00"</f>
        <v>2.147,00</v>
      </c>
      <c r="L740" s="6" t="str">
        <f>"536,75"</f>
        <v>536,75</v>
      </c>
      <c r="M740" s="6" t="str">
        <f>"2.683,75"</f>
        <v>2.683,75</v>
      </c>
      <c r="N740" s="5">
        <v>43644</v>
      </c>
      <c r="O740" s="7"/>
      <c r="P740" s="6" t="str">
        <f>"2.683,75"</f>
        <v>2.683,75</v>
      </c>
      <c r="Q740" s="7"/>
      <c r="R740" s="1"/>
      <c r="S740" s="1" t="str">
        <f>"42-19/NOS-75-A/17"</f>
        <v>42-19/NOS-75-A/17</v>
      </c>
      <c r="T740" s="2" t="s">
        <v>33</v>
      </c>
    </row>
    <row r="741" spans="1:20" ht="63.75" x14ac:dyDescent="0.25">
      <c r="A741" s="1">
        <v>737</v>
      </c>
      <c r="B741" s="1" t="str">
        <f t="shared" si="73"/>
        <v>2017-410</v>
      </c>
      <c r="C741" s="2" t="s">
        <v>702</v>
      </c>
      <c r="D741" s="1" t="s">
        <v>703</v>
      </c>
      <c r="E741" s="3" t="str">
        <f>"2017/S 0F2-0012732"</f>
        <v>2017/S 0F2-0012732</v>
      </c>
      <c r="F741" s="2" t="s">
        <v>23</v>
      </c>
      <c r="G741" s="2" t="str">
        <f>CONCATENATE("PAMAJO D.O.O.,"," VRANIČKA 7/A,"," 10000 ZAGREB,"," OIB: 46401136513",CHAR(10),"HIDROTERM-SD D.O.O.,"," REMETINEČKA CESTA 102C,"," 10020 ZAGREB-NOVI ZAGREB,"," OIB: 929030013")</f>
        <v>PAMAJO D.O.O., VRANIČKA 7/A, 10000 ZAGREB, OIB: 46401136513
HIDROTERM-SD D.O.O., REMETINEČKA CESTA 102C, 10020 ZAGREB-NOVI ZAGREB, OIB: 929030013</v>
      </c>
      <c r="H741" s="4"/>
      <c r="I741" s="1" t="s">
        <v>707</v>
      </c>
      <c r="J741" s="1" t="s">
        <v>708</v>
      </c>
      <c r="K741" s="6" t="str">
        <f>"3.000.000,00"</f>
        <v>3.000.000,00</v>
      </c>
      <c r="L741" s="6" t="str">
        <f>"750.000,00"</f>
        <v>750.000,00</v>
      </c>
      <c r="M741" s="6" t="str">
        <f>"3.750.000,00"</f>
        <v>3.750.000,00</v>
      </c>
      <c r="N741" s="7"/>
      <c r="O741" s="7"/>
      <c r="P741" s="6" t="str">
        <f>""</f>
        <v/>
      </c>
      <c r="Q741" s="7"/>
      <c r="R741" s="1"/>
      <c r="S741" s="1" t="str">
        <f>"NOS-75-B/17"</f>
        <v>NOS-75-B/17</v>
      </c>
      <c r="T741" s="2" t="s">
        <v>706</v>
      </c>
    </row>
    <row r="742" spans="1:20" ht="25.5" x14ac:dyDescent="0.25">
      <c r="A742" s="1">
        <v>738</v>
      </c>
      <c r="B742" s="1" t="str">
        <f t="shared" si="73"/>
        <v>2017-410</v>
      </c>
      <c r="C742" s="2" t="s">
        <v>702</v>
      </c>
      <c r="D742" s="1" t="s">
        <v>703</v>
      </c>
      <c r="E742" s="3" t="str">
        <f>""</f>
        <v/>
      </c>
      <c r="F742" s="2" t="s">
        <v>27</v>
      </c>
      <c r="G742" s="2" t="str">
        <f t="shared" ref="G742:G775" si="74">CONCATENATE("PAMAJO D.O.O.,"," VRANIČKA 7/A,"," 10000 ZAGREB,"," OIB: 46401136513")</f>
        <v>PAMAJO D.O.O., VRANIČKA 7/A, 10000 ZAGREB, OIB: 46401136513</v>
      </c>
      <c r="H742" s="4"/>
      <c r="I742" s="1" t="s">
        <v>461</v>
      </c>
      <c r="J742" s="1" t="s">
        <v>47</v>
      </c>
      <c r="K742" s="6" t="str">
        <f>"837,00"</f>
        <v>837,00</v>
      </c>
      <c r="L742" s="6" t="str">
        <f>"209,25"</f>
        <v>209,25</v>
      </c>
      <c r="M742" s="6" t="str">
        <f>"1.046,25"</f>
        <v>1.046,25</v>
      </c>
      <c r="N742" s="5">
        <v>43509</v>
      </c>
      <c r="O742" s="7"/>
      <c r="P742" s="6" t="str">
        <f>"1.046,25"</f>
        <v>1.046,25</v>
      </c>
      <c r="Q742" s="7"/>
      <c r="R742" s="1"/>
      <c r="S742" s="1" t="str">
        <f>"1-19/NOS-75-B/17"</f>
        <v>1-19/NOS-75-B/17</v>
      </c>
      <c r="T742" s="2" t="s">
        <v>33</v>
      </c>
    </row>
    <row r="743" spans="1:20" ht="25.5" x14ac:dyDescent="0.25">
      <c r="A743" s="1">
        <v>739</v>
      </c>
      <c r="B743" s="1" t="str">
        <f t="shared" si="73"/>
        <v>2017-410</v>
      </c>
      <c r="C743" s="2" t="s">
        <v>702</v>
      </c>
      <c r="D743" s="1" t="s">
        <v>703</v>
      </c>
      <c r="E743" s="3" t="str">
        <f>""</f>
        <v/>
      </c>
      <c r="F743" s="2" t="s">
        <v>27</v>
      </c>
      <c r="G743" s="2" t="str">
        <f t="shared" si="74"/>
        <v>PAMAJO D.O.O., VRANIČKA 7/A, 10000 ZAGREB, OIB: 46401136513</v>
      </c>
      <c r="H743" s="4"/>
      <c r="I743" s="1" t="s">
        <v>596</v>
      </c>
      <c r="J743" s="1" t="s">
        <v>47</v>
      </c>
      <c r="K743" s="6" t="str">
        <f>"2.977,20"</f>
        <v>2.977,20</v>
      </c>
      <c r="L743" s="6" t="str">
        <f>"744,30"</f>
        <v>744,30</v>
      </c>
      <c r="M743" s="6" t="str">
        <f>"3.721,50"</f>
        <v>3.721,50</v>
      </c>
      <c r="N743" s="5">
        <v>43514</v>
      </c>
      <c r="O743" s="7"/>
      <c r="P743" s="6" t="str">
        <f>"3.721,50"</f>
        <v>3.721,50</v>
      </c>
      <c r="Q743" s="7"/>
      <c r="R743" s="1"/>
      <c r="S743" s="1" t="str">
        <f>"2-19/NOS-75-B/17"</f>
        <v>2-19/NOS-75-B/17</v>
      </c>
      <c r="T743" s="2" t="s">
        <v>33</v>
      </c>
    </row>
    <row r="744" spans="1:20" ht="25.5" x14ac:dyDescent="0.25">
      <c r="A744" s="1">
        <v>740</v>
      </c>
      <c r="B744" s="1" t="str">
        <f t="shared" si="73"/>
        <v>2017-410</v>
      </c>
      <c r="C744" s="2" t="s">
        <v>702</v>
      </c>
      <c r="D744" s="1" t="s">
        <v>703</v>
      </c>
      <c r="E744" s="3" t="str">
        <f>""</f>
        <v/>
      </c>
      <c r="F744" s="2" t="s">
        <v>27</v>
      </c>
      <c r="G744" s="2" t="str">
        <f t="shared" si="74"/>
        <v>PAMAJO D.O.O., VRANIČKA 7/A, 10000 ZAGREB, OIB: 46401136513</v>
      </c>
      <c r="H744" s="4"/>
      <c r="I744" s="1" t="s">
        <v>194</v>
      </c>
      <c r="J744" s="1" t="s">
        <v>47</v>
      </c>
      <c r="K744" s="6" t="str">
        <f>"1.045,00"</f>
        <v>1.045,00</v>
      </c>
      <c r="L744" s="6" t="str">
        <f>"261,25"</f>
        <v>261,25</v>
      </c>
      <c r="M744" s="6" t="str">
        <f>"1.306,25"</f>
        <v>1.306,25</v>
      </c>
      <c r="N744" s="5">
        <v>43510</v>
      </c>
      <c r="O744" s="7"/>
      <c r="P744" s="6" t="str">
        <f>"1.306,25"</f>
        <v>1.306,25</v>
      </c>
      <c r="Q744" s="7"/>
      <c r="R744" s="1"/>
      <c r="S744" s="1" t="str">
        <f>"3-19/NOS-75-B/17"</f>
        <v>3-19/NOS-75-B/17</v>
      </c>
      <c r="T744" s="2" t="s">
        <v>33</v>
      </c>
    </row>
    <row r="745" spans="1:20" ht="25.5" x14ac:dyDescent="0.25">
      <c r="A745" s="1">
        <v>741</v>
      </c>
      <c r="B745" s="1" t="str">
        <f t="shared" si="73"/>
        <v>2017-410</v>
      </c>
      <c r="C745" s="2" t="s">
        <v>702</v>
      </c>
      <c r="D745" s="1" t="s">
        <v>703</v>
      </c>
      <c r="E745" s="3" t="str">
        <f>""</f>
        <v/>
      </c>
      <c r="F745" s="2" t="s">
        <v>27</v>
      </c>
      <c r="G745" s="2" t="str">
        <f t="shared" si="74"/>
        <v>PAMAJO D.O.O., VRANIČKA 7/A, 10000 ZAGREB, OIB: 46401136513</v>
      </c>
      <c r="H745" s="4"/>
      <c r="I745" s="1" t="s">
        <v>462</v>
      </c>
      <c r="J745" s="1" t="s">
        <v>47</v>
      </c>
      <c r="K745" s="6" t="str">
        <f>"3.837,00"</f>
        <v>3.837,00</v>
      </c>
      <c r="L745" s="6" t="str">
        <f>"959,25"</f>
        <v>959,25</v>
      </c>
      <c r="M745" s="6" t="str">
        <f>"4.796,25"</f>
        <v>4.796,25</v>
      </c>
      <c r="N745" s="5">
        <v>43570</v>
      </c>
      <c r="O745" s="7"/>
      <c r="P745" s="6" t="str">
        <f>"4.796,25"</f>
        <v>4.796,25</v>
      </c>
      <c r="Q745" s="7"/>
      <c r="R745" s="1"/>
      <c r="S745" s="1" t="str">
        <f>"4-19/NOS-75-B/17"</f>
        <v>4-19/NOS-75-B/17</v>
      </c>
      <c r="T745" s="2" t="s">
        <v>33</v>
      </c>
    </row>
    <row r="746" spans="1:20" ht="25.5" x14ac:dyDescent="0.25">
      <c r="A746" s="1">
        <v>742</v>
      </c>
      <c r="B746" s="1" t="str">
        <f t="shared" si="73"/>
        <v>2017-410</v>
      </c>
      <c r="C746" s="2" t="s">
        <v>702</v>
      </c>
      <c r="D746" s="1" t="s">
        <v>703</v>
      </c>
      <c r="E746" s="3" t="str">
        <f>""</f>
        <v/>
      </c>
      <c r="F746" s="2" t="s">
        <v>27</v>
      </c>
      <c r="G746" s="2" t="str">
        <f t="shared" si="74"/>
        <v>PAMAJO D.O.O., VRANIČKA 7/A, 10000 ZAGREB, OIB: 46401136513</v>
      </c>
      <c r="H746" s="4"/>
      <c r="I746" s="1" t="s">
        <v>479</v>
      </c>
      <c r="J746" s="1" t="s">
        <v>47</v>
      </c>
      <c r="K746" s="6" t="str">
        <f>"1.052,00"</f>
        <v>1.052,00</v>
      </c>
      <c r="L746" s="6" t="str">
        <f>"263,00"</f>
        <v>263,00</v>
      </c>
      <c r="M746" s="6" t="str">
        <f>"1.315,00"</f>
        <v>1.315,00</v>
      </c>
      <c r="N746" s="5">
        <v>43591</v>
      </c>
      <c r="O746" s="7"/>
      <c r="P746" s="6" t="str">
        <f>"1.315,00"</f>
        <v>1.315,00</v>
      </c>
      <c r="Q746" s="7"/>
      <c r="R746" s="1"/>
      <c r="S746" s="1" t="str">
        <f>"5-19/NOS-75-B/17"</f>
        <v>5-19/NOS-75-B/17</v>
      </c>
      <c r="T746" s="2" t="s">
        <v>33</v>
      </c>
    </row>
    <row r="747" spans="1:20" ht="25.5" x14ac:dyDescent="0.25">
      <c r="A747" s="1">
        <v>743</v>
      </c>
      <c r="B747" s="1" t="str">
        <f t="shared" si="73"/>
        <v>2017-410</v>
      </c>
      <c r="C747" s="2" t="s">
        <v>702</v>
      </c>
      <c r="D747" s="1" t="s">
        <v>703</v>
      </c>
      <c r="E747" s="3" t="str">
        <f>""</f>
        <v/>
      </c>
      <c r="F747" s="2" t="s">
        <v>27</v>
      </c>
      <c r="G747" s="2" t="str">
        <f t="shared" si="74"/>
        <v>PAMAJO D.O.O., VRANIČKA 7/A, 10000 ZAGREB, OIB: 46401136513</v>
      </c>
      <c r="H747" s="4"/>
      <c r="I747" s="1" t="s">
        <v>293</v>
      </c>
      <c r="J747" s="1" t="s">
        <v>47</v>
      </c>
      <c r="K747" s="6" t="str">
        <f>"5.459,60"</f>
        <v>5.459,60</v>
      </c>
      <c r="L747" s="6" t="str">
        <f>"1.364,90"</f>
        <v>1.364,90</v>
      </c>
      <c r="M747" s="6" t="str">
        <f>"6.824,50"</f>
        <v>6.824,50</v>
      </c>
      <c r="N747" s="5">
        <v>43570</v>
      </c>
      <c r="O747" s="7"/>
      <c r="P747" s="6" t="str">
        <f>"6.824,50"</f>
        <v>6.824,50</v>
      </c>
      <c r="Q747" s="7"/>
      <c r="R747" s="1"/>
      <c r="S747" s="1" t="str">
        <f>"6-19/NOS-75-B/17"</f>
        <v>6-19/NOS-75-B/17</v>
      </c>
      <c r="T747" s="2" t="s">
        <v>33</v>
      </c>
    </row>
    <row r="748" spans="1:20" ht="25.5" x14ac:dyDescent="0.25">
      <c r="A748" s="1">
        <v>744</v>
      </c>
      <c r="B748" s="1" t="str">
        <f t="shared" si="73"/>
        <v>2017-410</v>
      </c>
      <c r="C748" s="2" t="s">
        <v>702</v>
      </c>
      <c r="D748" s="1" t="s">
        <v>703</v>
      </c>
      <c r="E748" s="3" t="str">
        <f>""</f>
        <v/>
      </c>
      <c r="F748" s="2" t="s">
        <v>27</v>
      </c>
      <c r="G748" s="2" t="str">
        <f t="shared" si="74"/>
        <v>PAMAJO D.O.O., VRANIČKA 7/A, 10000 ZAGREB, OIB: 46401136513</v>
      </c>
      <c r="H748" s="4"/>
      <c r="I748" s="1" t="s">
        <v>244</v>
      </c>
      <c r="J748" s="1" t="s">
        <v>47</v>
      </c>
      <c r="K748" s="6" t="str">
        <f>"945,00"</f>
        <v>945,00</v>
      </c>
      <c r="L748" s="6" t="str">
        <f>"236,25"</f>
        <v>236,25</v>
      </c>
      <c r="M748" s="6" t="str">
        <f>"1.181,25"</f>
        <v>1.181,25</v>
      </c>
      <c r="N748" s="5">
        <v>43546</v>
      </c>
      <c r="O748" s="7"/>
      <c r="P748" s="6" t="str">
        <f>"1.181,25"</f>
        <v>1.181,25</v>
      </c>
      <c r="Q748" s="7"/>
      <c r="R748" s="1"/>
      <c r="S748" s="1" t="str">
        <f>"7-19/NOS-75-B/17"</f>
        <v>7-19/NOS-75-B/17</v>
      </c>
      <c r="T748" s="2" t="s">
        <v>33</v>
      </c>
    </row>
    <row r="749" spans="1:20" ht="25.5" x14ac:dyDescent="0.25">
      <c r="A749" s="1">
        <v>745</v>
      </c>
      <c r="B749" s="1" t="str">
        <f t="shared" si="73"/>
        <v>2017-410</v>
      </c>
      <c r="C749" s="2" t="s">
        <v>702</v>
      </c>
      <c r="D749" s="1" t="s">
        <v>703</v>
      </c>
      <c r="E749" s="3" t="str">
        <f>""</f>
        <v/>
      </c>
      <c r="F749" s="2" t="s">
        <v>27</v>
      </c>
      <c r="G749" s="2" t="str">
        <f t="shared" si="74"/>
        <v>PAMAJO D.O.O., VRANIČKA 7/A, 10000 ZAGREB, OIB: 46401136513</v>
      </c>
      <c r="H749" s="4"/>
      <c r="I749" s="1" t="s">
        <v>463</v>
      </c>
      <c r="J749" s="1" t="s">
        <v>492</v>
      </c>
      <c r="K749" s="6" t="str">
        <f>"819,00"</f>
        <v>819,00</v>
      </c>
      <c r="L749" s="6" t="str">
        <f>"204,75"</f>
        <v>204,75</v>
      </c>
      <c r="M749" s="6" t="str">
        <f>"1.023,75"</f>
        <v>1.023,75</v>
      </c>
      <c r="N749" s="5">
        <v>43591</v>
      </c>
      <c r="O749" s="7"/>
      <c r="P749" s="6" t="str">
        <f>"1.023,75"</f>
        <v>1.023,75</v>
      </c>
      <c r="Q749" s="7"/>
      <c r="R749" s="1"/>
      <c r="S749" s="1" t="str">
        <f>"8-19/NOS-75-B/17"</f>
        <v>8-19/NOS-75-B/17</v>
      </c>
      <c r="T749" s="2" t="s">
        <v>33</v>
      </c>
    </row>
    <row r="750" spans="1:20" ht="25.5" x14ac:dyDescent="0.25">
      <c r="A750" s="1">
        <v>746</v>
      </c>
      <c r="B750" s="1" t="str">
        <f t="shared" si="73"/>
        <v>2017-410</v>
      </c>
      <c r="C750" s="2" t="s">
        <v>702</v>
      </c>
      <c r="D750" s="1" t="s">
        <v>703</v>
      </c>
      <c r="E750" s="3" t="str">
        <f>""</f>
        <v/>
      </c>
      <c r="F750" s="2" t="s">
        <v>27</v>
      </c>
      <c r="G750" s="2" t="str">
        <f t="shared" si="74"/>
        <v>PAMAJO D.O.O., VRANIČKA 7/A, 10000 ZAGREB, OIB: 46401136513</v>
      </c>
      <c r="H750" s="4"/>
      <c r="I750" s="1" t="s">
        <v>301</v>
      </c>
      <c r="J750" s="1" t="s">
        <v>47</v>
      </c>
      <c r="K750" s="6" t="str">
        <f>"565,00"</f>
        <v>565,00</v>
      </c>
      <c r="L750" s="6" t="str">
        <f>"141,25"</f>
        <v>141,25</v>
      </c>
      <c r="M750" s="6" t="str">
        <f>"706,25"</f>
        <v>706,25</v>
      </c>
      <c r="N750" s="5">
        <v>43558</v>
      </c>
      <c r="O750" s="7"/>
      <c r="P750" s="6" t="str">
        <f>"706,25"</f>
        <v>706,25</v>
      </c>
      <c r="Q750" s="7"/>
      <c r="R750" s="1"/>
      <c r="S750" s="1" t="str">
        <f>"9-19/NOS-75-B/17"</f>
        <v>9-19/NOS-75-B/17</v>
      </c>
      <c r="T750" s="2" t="s">
        <v>33</v>
      </c>
    </row>
    <row r="751" spans="1:20" ht="25.5" x14ac:dyDescent="0.25">
      <c r="A751" s="1">
        <v>747</v>
      </c>
      <c r="B751" s="1" t="str">
        <f t="shared" si="73"/>
        <v>2017-410</v>
      </c>
      <c r="C751" s="2" t="s">
        <v>702</v>
      </c>
      <c r="D751" s="1" t="s">
        <v>703</v>
      </c>
      <c r="E751" s="3" t="str">
        <f>""</f>
        <v/>
      </c>
      <c r="F751" s="2" t="s">
        <v>27</v>
      </c>
      <c r="G751" s="2" t="str">
        <f t="shared" si="74"/>
        <v>PAMAJO D.O.O., VRANIČKA 7/A, 10000 ZAGREB, OIB: 46401136513</v>
      </c>
      <c r="H751" s="4"/>
      <c r="I751" s="1" t="s">
        <v>322</v>
      </c>
      <c r="J751" s="1" t="s">
        <v>47</v>
      </c>
      <c r="K751" s="6" t="str">
        <f>"2.151,47"</f>
        <v>2.151,47</v>
      </c>
      <c r="L751" s="6" t="str">
        <f>"537,87"</f>
        <v>537,87</v>
      </c>
      <c r="M751" s="6" t="str">
        <f>"2.689,34"</f>
        <v>2.689,34</v>
      </c>
      <c r="N751" s="5">
        <v>43591</v>
      </c>
      <c r="O751" s="7"/>
      <c r="P751" s="6" t="str">
        <f>"2.689,34"</f>
        <v>2.689,34</v>
      </c>
      <c r="Q751" s="7"/>
      <c r="R751" s="1"/>
      <c r="S751" s="1" t="str">
        <f>"10-19/NOS-75-B/17"</f>
        <v>10-19/NOS-75-B/17</v>
      </c>
      <c r="T751" s="2" t="s">
        <v>33</v>
      </c>
    </row>
    <row r="752" spans="1:20" ht="25.5" x14ac:dyDescent="0.25">
      <c r="A752" s="1">
        <v>748</v>
      </c>
      <c r="B752" s="1" t="str">
        <f t="shared" si="73"/>
        <v>2017-410</v>
      </c>
      <c r="C752" s="2" t="s">
        <v>702</v>
      </c>
      <c r="D752" s="1" t="s">
        <v>703</v>
      </c>
      <c r="E752" s="3" t="str">
        <f>""</f>
        <v/>
      </c>
      <c r="F752" s="2" t="s">
        <v>27</v>
      </c>
      <c r="G752" s="2" t="str">
        <f t="shared" si="74"/>
        <v>PAMAJO D.O.O., VRANIČKA 7/A, 10000 ZAGREB, OIB: 46401136513</v>
      </c>
      <c r="H752" s="4"/>
      <c r="I752" s="1" t="s">
        <v>332</v>
      </c>
      <c r="J752" s="1" t="s">
        <v>47</v>
      </c>
      <c r="K752" s="6" t="str">
        <f>"1.699,98"</f>
        <v>1.699,98</v>
      </c>
      <c r="L752" s="6" t="str">
        <f>"425,00"</f>
        <v>425,00</v>
      </c>
      <c r="M752" s="6" t="str">
        <f>"2.124,98"</f>
        <v>2.124,98</v>
      </c>
      <c r="N752" s="5">
        <v>43546</v>
      </c>
      <c r="O752" s="7"/>
      <c r="P752" s="6" t="str">
        <f>"2.124,98"</f>
        <v>2.124,98</v>
      </c>
      <c r="Q752" s="7"/>
      <c r="R752" s="1"/>
      <c r="S752" s="1" t="str">
        <f>"11-19/NOS-75-B/17"</f>
        <v>11-19/NOS-75-B/17</v>
      </c>
      <c r="T752" s="2" t="s">
        <v>33</v>
      </c>
    </row>
    <row r="753" spans="1:20" ht="25.5" x14ac:dyDescent="0.25">
      <c r="A753" s="1">
        <v>749</v>
      </c>
      <c r="B753" s="1" t="str">
        <f t="shared" si="73"/>
        <v>2017-410</v>
      </c>
      <c r="C753" s="2" t="s">
        <v>702</v>
      </c>
      <c r="D753" s="1" t="s">
        <v>703</v>
      </c>
      <c r="E753" s="3" t="str">
        <f>""</f>
        <v/>
      </c>
      <c r="F753" s="2" t="s">
        <v>27</v>
      </c>
      <c r="G753" s="2" t="str">
        <f t="shared" si="74"/>
        <v>PAMAJO D.O.O., VRANIČKA 7/A, 10000 ZAGREB, OIB: 46401136513</v>
      </c>
      <c r="H753" s="4"/>
      <c r="I753" s="1" t="s">
        <v>551</v>
      </c>
      <c r="J753" s="1" t="s">
        <v>47</v>
      </c>
      <c r="K753" s="6" t="str">
        <f>"1.803,00"</f>
        <v>1.803,00</v>
      </c>
      <c r="L753" s="6" t="str">
        <f>"450,75"</f>
        <v>450,75</v>
      </c>
      <c r="M753" s="6" t="str">
        <f>"2.253,75"</f>
        <v>2.253,75</v>
      </c>
      <c r="N753" s="5">
        <v>43585</v>
      </c>
      <c r="O753" s="7"/>
      <c r="P753" s="6" t="str">
        <f>"2.253,75"</f>
        <v>2.253,75</v>
      </c>
      <c r="Q753" s="7"/>
      <c r="R753" s="1"/>
      <c r="S753" s="1" t="str">
        <f>"14-19/NOS-75-B/17"</f>
        <v>14-19/NOS-75-B/17</v>
      </c>
      <c r="T753" s="2" t="s">
        <v>33</v>
      </c>
    </row>
    <row r="754" spans="1:20" ht="25.5" x14ac:dyDescent="0.25">
      <c r="A754" s="1">
        <v>750</v>
      </c>
      <c r="B754" s="1" t="str">
        <f t="shared" si="73"/>
        <v>2017-410</v>
      </c>
      <c r="C754" s="2" t="s">
        <v>702</v>
      </c>
      <c r="D754" s="1" t="s">
        <v>703</v>
      </c>
      <c r="E754" s="3" t="str">
        <f>""</f>
        <v/>
      </c>
      <c r="F754" s="2" t="s">
        <v>27</v>
      </c>
      <c r="G754" s="2" t="str">
        <f t="shared" si="74"/>
        <v>PAMAJO D.O.O., VRANIČKA 7/A, 10000 ZAGREB, OIB: 46401136513</v>
      </c>
      <c r="H754" s="4"/>
      <c r="I754" s="1" t="s">
        <v>464</v>
      </c>
      <c r="J754" s="1" t="s">
        <v>47</v>
      </c>
      <c r="K754" s="6" t="str">
        <f>"1.842,80"</f>
        <v>1.842,80</v>
      </c>
      <c r="L754" s="6" t="str">
        <f>"460,70"</f>
        <v>460,70</v>
      </c>
      <c r="M754" s="6" t="str">
        <f>"2.303,50"</f>
        <v>2.303,50</v>
      </c>
      <c r="N754" s="5">
        <v>43594</v>
      </c>
      <c r="O754" s="7"/>
      <c r="P754" s="6" t="str">
        <f>"2.303,50"</f>
        <v>2.303,50</v>
      </c>
      <c r="Q754" s="7"/>
      <c r="R754" s="1"/>
      <c r="S754" s="1" t="str">
        <f>"15-19/NOS-75-B/17"</f>
        <v>15-19/NOS-75-B/17</v>
      </c>
      <c r="T754" s="2" t="s">
        <v>33</v>
      </c>
    </row>
    <row r="755" spans="1:20" ht="25.5" x14ac:dyDescent="0.25">
      <c r="A755" s="1">
        <v>751</v>
      </c>
      <c r="B755" s="1" t="str">
        <f t="shared" si="73"/>
        <v>2017-410</v>
      </c>
      <c r="C755" s="2" t="s">
        <v>702</v>
      </c>
      <c r="D755" s="1" t="s">
        <v>703</v>
      </c>
      <c r="E755" s="3" t="str">
        <f>""</f>
        <v/>
      </c>
      <c r="F755" s="2" t="s">
        <v>27</v>
      </c>
      <c r="G755" s="2" t="str">
        <f t="shared" si="74"/>
        <v>PAMAJO D.O.O., VRANIČKA 7/A, 10000 ZAGREB, OIB: 46401136513</v>
      </c>
      <c r="H755" s="4"/>
      <c r="I755" s="1" t="s">
        <v>637</v>
      </c>
      <c r="J755" s="1" t="s">
        <v>47</v>
      </c>
      <c r="K755" s="6" t="str">
        <f>"32.326,00"</f>
        <v>32.326,00</v>
      </c>
      <c r="L755" s="6" t="str">
        <f>"8.081,50"</f>
        <v>8.081,50</v>
      </c>
      <c r="M755" s="6" t="str">
        <f>"40.407,50"</f>
        <v>40.407,50</v>
      </c>
      <c r="N755" s="5">
        <v>43559</v>
      </c>
      <c r="O755" s="7"/>
      <c r="P755" s="6" t="str">
        <f>"40.407,50"</f>
        <v>40.407,50</v>
      </c>
      <c r="Q755" s="7"/>
      <c r="R755" s="1"/>
      <c r="S755" s="1" t="str">
        <f>"16-19/NOS-75-B/17"</f>
        <v>16-19/NOS-75-B/17</v>
      </c>
      <c r="T755" s="2" t="s">
        <v>33</v>
      </c>
    </row>
    <row r="756" spans="1:20" ht="25.5" x14ac:dyDescent="0.25">
      <c r="A756" s="1">
        <v>752</v>
      </c>
      <c r="B756" s="1" t="str">
        <f t="shared" si="73"/>
        <v>2017-410</v>
      </c>
      <c r="C756" s="2" t="s">
        <v>702</v>
      </c>
      <c r="D756" s="1" t="s">
        <v>703</v>
      </c>
      <c r="E756" s="3" t="str">
        <f>""</f>
        <v/>
      </c>
      <c r="F756" s="2" t="s">
        <v>27</v>
      </c>
      <c r="G756" s="2" t="str">
        <f t="shared" si="74"/>
        <v>PAMAJO D.O.O., VRANIČKA 7/A, 10000 ZAGREB, OIB: 46401136513</v>
      </c>
      <c r="H756" s="4"/>
      <c r="I756" s="1" t="s">
        <v>455</v>
      </c>
      <c r="J756" s="1" t="s">
        <v>47</v>
      </c>
      <c r="K756" s="6" t="str">
        <f>"525,00"</f>
        <v>525,00</v>
      </c>
      <c r="L756" s="6" t="str">
        <f>"131,25"</f>
        <v>131,25</v>
      </c>
      <c r="M756" s="6" t="str">
        <f>"656,25"</f>
        <v>656,25</v>
      </c>
      <c r="N756" s="5">
        <v>43595</v>
      </c>
      <c r="O756" s="7"/>
      <c r="P756" s="6" t="str">
        <f>"656,25"</f>
        <v>656,25</v>
      </c>
      <c r="Q756" s="7"/>
      <c r="R756" s="1"/>
      <c r="S756" s="1" t="str">
        <f>"17-19/NOS-75-B/17"</f>
        <v>17-19/NOS-75-B/17</v>
      </c>
      <c r="T756" s="2" t="s">
        <v>33</v>
      </c>
    </row>
    <row r="757" spans="1:20" ht="25.5" x14ac:dyDescent="0.25">
      <c r="A757" s="1">
        <v>753</v>
      </c>
      <c r="B757" s="1" t="str">
        <f t="shared" si="73"/>
        <v>2017-410</v>
      </c>
      <c r="C757" s="2" t="s">
        <v>702</v>
      </c>
      <c r="D757" s="1" t="s">
        <v>703</v>
      </c>
      <c r="E757" s="3" t="str">
        <f>""</f>
        <v/>
      </c>
      <c r="F757" s="2" t="s">
        <v>27</v>
      </c>
      <c r="G757" s="2" t="str">
        <f t="shared" si="74"/>
        <v>PAMAJO D.O.O., VRANIČKA 7/A, 10000 ZAGREB, OIB: 46401136513</v>
      </c>
      <c r="H757" s="4"/>
      <c r="I757" s="1" t="s">
        <v>25</v>
      </c>
      <c r="J757" s="1" t="s">
        <v>47</v>
      </c>
      <c r="K757" s="6" t="str">
        <f>"630,00"</f>
        <v>630,00</v>
      </c>
      <c r="L757" s="6" t="str">
        <f>"157,50"</f>
        <v>157,50</v>
      </c>
      <c r="M757" s="6" t="str">
        <f>"787,50"</f>
        <v>787,50</v>
      </c>
      <c r="N757" s="5">
        <v>43605</v>
      </c>
      <c r="O757" s="7"/>
      <c r="P757" s="6" t="str">
        <f>"787,50"</f>
        <v>787,50</v>
      </c>
      <c r="Q757" s="7"/>
      <c r="R757" s="1"/>
      <c r="S757" s="1" t="str">
        <f>"18-19/NOS-75-B/17"</f>
        <v>18-19/NOS-75-B/17</v>
      </c>
      <c r="T757" s="2" t="s">
        <v>33</v>
      </c>
    </row>
    <row r="758" spans="1:20" ht="25.5" x14ac:dyDescent="0.25">
      <c r="A758" s="1">
        <v>754</v>
      </c>
      <c r="B758" s="1" t="str">
        <f t="shared" si="73"/>
        <v>2017-410</v>
      </c>
      <c r="C758" s="2" t="s">
        <v>702</v>
      </c>
      <c r="D758" s="1" t="s">
        <v>703</v>
      </c>
      <c r="E758" s="3" t="str">
        <f>""</f>
        <v/>
      </c>
      <c r="F758" s="2" t="s">
        <v>27</v>
      </c>
      <c r="G758" s="2" t="str">
        <f t="shared" si="74"/>
        <v>PAMAJO D.O.O., VRANIČKA 7/A, 10000 ZAGREB, OIB: 46401136513</v>
      </c>
      <c r="H758" s="4"/>
      <c r="I758" s="1" t="s">
        <v>499</v>
      </c>
      <c r="J758" s="1" t="s">
        <v>47</v>
      </c>
      <c r="K758" s="6" t="str">
        <f>"4.385,00"</f>
        <v>4.385,00</v>
      </c>
      <c r="L758" s="6" t="str">
        <f>"0,00"</f>
        <v>0,00</v>
      </c>
      <c r="M758" s="6" t="str">
        <f>"0,00"</f>
        <v>0,00</v>
      </c>
      <c r="N758" s="1" t="s">
        <v>117</v>
      </c>
      <c r="O758" s="7"/>
      <c r="P758" s="6" t="str">
        <f>"0,00"</f>
        <v>0,00</v>
      </c>
      <c r="Q758" s="7"/>
      <c r="R758" s="1"/>
      <c r="S758" s="1" t="str">
        <f>"20-19/NOS-75-B/17"</f>
        <v>20-19/NOS-75-B/17</v>
      </c>
      <c r="T758" s="2" t="s">
        <v>33</v>
      </c>
    </row>
    <row r="759" spans="1:20" ht="25.5" x14ac:dyDescent="0.25">
      <c r="A759" s="1">
        <v>755</v>
      </c>
      <c r="B759" s="1" t="str">
        <f t="shared" si="73"/>
        <v>2017-410</v>
      </c>
      <c r="C759" s="2" t="s">
        <v>702</v>
      </c>
      <c r="D759" s="1" t="s">
        <v>703</v>
      </c>
      <c r="E759" s="3" t="str">
        <f>""</f>
        <v/>
      </c>
      <c r="F759" s="2" t="s">
        <v>27</v>
      </c>
      <c r="G759" s="2" t="str">
        <f t="shared" si="74"/>
        <v>PAMAJO D.O.O., VRANIČKA 7/A, 10000 ZAGREB, OIB: 46401136513</v>
      </c>
      <c r="H759" s="4"/>
      <c r="I759" s="1" t="s">
        <v>74</v>
      </c>
      <c r="J759" s="1" t="s">
        <v>47</v>
      </c>
      <c r="K759" s="6" t="str">
        <f>"280,00"</f>
        <v>280,00</v>
      </c>
      <c r="L759" s="6" t="str">
        <f>"70,00"</f>
        <v>70,00</v>
      </c>
      <c r="M759" s="6" t="str">
        <f>"350,00"</f>
        <v>350,00</v>
      </c>
      <c r="N759" s="5">
        <v>43632</v>
      </c>
      <c r="O759" s="7"/>
      <c r="P759" s="6" t="str">
        <f>"350,00"</f>
        <v>350,00</v>
      </c>
      <c r="Q759" s="7"/>
      <c r="R759" s="1"/>
      <c r="S759" s="1" t="str">
        <f>"21-19/NOS-75-B/17"</f>
        <v>21-19/NOS-75-B/17</v>
      </c>
      <c r="T759" s="2" t="s">
        <v>33</v>
      </c>
    </row>
    <row r="760" spans="1:20" ht="25.5" x14ac:dyDescent="0.25">
      <c r="A760" s="1">
        <v>756</v>
      </c>
      <c r="B760" s="1" t="str">
        <f t="shared" si="73"/>
        <v>2017-410</v>
      </c>
      <c r="C760" s="2" t="s">
        <v>702</v>
      </c>
      <c r="D760" s="1" t="s">
        <v>703</v>
      </c>
      <c r="E760" s="3" t="str">
        <f>""</f>
        <v/>
      </c>
      <c r="F760" s="2" t="s">
        <v>27</v>
      </c>
      <c r="G760" s="2" t="str">
        <f t="shared" si="74"/>
        <v>PAMAJO D.O.O., VRANIČKA 7/A, 10000 ZAGREB, OIB: 46401136513</v>
      </c>
      <c r="H760" s="4"/>
      <c r="I760" s="1" t="s">
        <v>642</v>
      </c>
      <c r="J760" s="1" t="s">
        <v>492</v>
      </c>
      <c r="K760" s="6" t="str">
        <f>"1.130,00"</f>
        <v>1.130,00</v>
      </c>
      <c r="L760" s="6" t="str">
        <f>"282,50"</f>
        <v>282,50</v>
      </c>
      <c r="M760" s="6" t="str">
        <f>"1.412,50"</f>
        <v>1.412,50</v>
      </c>
      <c r="N760" s="5">
        <v>43605</v>
      </c>
      <c r="O760" s="7"/>
      <c r="P760" s="6" t="str">
        <f>"1.412,50"</f>
        <v>1.412,50</v>
      </c>
      <c r="Q760" s="7"/>
      <c r="R760" s="1"/>
      <c r="S760" s="1" t="str">
        <f>"22-19/NOS-75-B/17"</f>
        <v>22-19/NOS-75-B/17</v>
      </c>
      <c r="T760" s="2" t="s">
        <v>33</v>
      </c>
    </row>
    <row r="761" spans="1:20" ht="25.5" x14ac:dyDescent="0.25">
      <c r="A761" s="1">
        <v>757</v>
      </c>
      <c r="B761" s="1" t="str">
        <f t="shared" si="73"/>
        <v>2017-410</v>
      </c>
      <c r="C761" s="2" t="s">
        <v>702</v>
      </c>
      <c r="D761" s="1" t="s">
        <v>703</v>
      </c>
      <c r="E761" s="3" t="str">
        <f>""</f>
        <v/>
      </c>
      <c r="F761" s="2" t="s">
        <v>27</v>
      </c>
      <c r="G761" s="2" t="str">
        <f t="shared" si="74"/>
        <v>PAMAJO D.O.O., VRANIČKA 7/A, 10000 ZAGREB, OIB: 46401136513</v>
      </c>
      <c r="H761" s="4"/>
      <c r="I761" s="1" t="s">
        <v>414</v>
      </c>
      <c r="J761" s="1" t="s">
        <v>47</v>
      </c>
      <c r="K761" s="6" t="str">
        <f>"13.802,00"</f>
        <v>13.802,00</v>
      </c>
      <c r="L761" s="6" t="str">
        <f>"3.450,50"</f>
        <v>3.450,50</v>
      </c>
      <c r="M761" s="6" t="str">
        <f>"17.252,50"</f>
        <v>17.252,50</v>
      </c>
      <c r="N761" s="5">
        <v>43628</v>
      </c>
      <c r="O761" s="7"/>
      <c r="P761" s="6" t="str">
        <f>"17.252,50"</f>
        <v>17.252,50</v>
      </c>
      <c r="Q761" s="7"/>
      <c r="R761" s="1"/>
      <c r="S761" s="1" t="str">
        <f>"26-19/NOS-75-B/17"</f>
        <v>26-19/NOS-75-B/17</v>
      </c>
      <c r="T761" s="2" t="s">
        <v>29</v>
      </c>
    </row>
    <row r="762" spans="1:20" ht="25.5" x14ac:dyDescent="0.25">
      <c r="A762" s="1">
        <v>758</v>
      </c>
      <c r="B762" s="1" t="str">
        <f t="shared" si="73"/>
        <v>2017-410</v>
      </c>
      <c r="C762" s="2" t="s">
        <v>702</v>
      </c>
      <c r="D762" s="1" t="s">
        <v>703</v>
      </c>
      <c r="E762" s="3" t="str">
        <f>""</f>
        <v/>
      </c>
      <c r="F762" s="2" t="s">
        <v>27</v>
      </c>
      <c r="G762" s="2" t="str">
        <f t="shared" si="74"/>
        <v>PAMAJO D.O.O., VRANIČKA 7/A, 10000 ZAGREB, OIB: 46401136513</v>
      </c>
      <c r="H762" s="4"/>
      <c r="I762" s="1" t="s">
        <v>414</v>
      </c>
      <c r="J762" s="1" t="s">
        <v>47</v>
      </c>
      <c r="K762" s="6" t="str">
        <f>"2.900,00"</f>
        <v>2.900,00</v>
      </c>
      <c r="L762" s="6" t="str">
        <f>"725,00"</f>
        <v>725,00</v>
      </c>
      <c r="M762" s="6" t="str">
        <f>"3.625,00"</f>
        <v>3.625,00</v>
      </c>
      <c r="N762" s="5">
        <v>43628</v>
      </c>
      <c r="O762" s="7"/>
      <c r="P762" s="6" t="str">
        <f>"3.625,00"</f>
        <v>3.625,00</v>
      </c>
      <c r="Q762" s="7"/>
      <c r="R762" s="1"/>
      <c r="S762" s="1" t="str">
        <f>"27-19/NOS-75-B/17"</f>
        <v>27-19/NOS-75-B/17</v>
      </c>
      <c r="T762" s="2" t="s">
        <v>29</v>
      </c>
    </row>
    <row r="763" spans="1:20" ht="25.5" x14ac:dyDescent="0.25">
      <c r="A763" s="1">
        <v>759</v>
      </c>
      <c r="B763" s="1" t="str">
        <f t="shared" si="73"/>
        <v>2017-410</v>
      </c>
      <c r="C763" s="2" t="s">
        <v>702</v>
      </c>
      <c r="D763" s="1" t="s">
        <v>703</v>
      </c>
      <c r="E763" s="3" t="str">
        <f>""</f>
        <v/>
      </c>
      <c r="F763" s="2" t="s">
        <v>27</v>
      </c>
      <c r="G763" s="2" t="str">
        <f t="shared" si="74"/>
        <v>PAMAJO D.O.O., VRANIČKA 7/A, 10000 ZAGREB, OIB: 46401136513</v>
      </c>
      <c r="H763" s="4"/>
      <c r="I763" s="1" t="s">
        <v>414</v>
      </c>
      <c r="J763" s="1" t="s">
        <v>47</v>
      </c>
      <c r="K763" s="6" t="str">
        <f>"875,00"</f>
        <v>875,00</v>
      </c>
      <c r="L763" s="6" t="str">
        <f>"218,75"</f>
        <v>218,75</v>
      </c>
      <c r="M763" s="6" t="str">
        <f>"1.093,75"</f>
        <v>1.093,75</v>
      </c>
      <c r="N763" s="5">
        <v>43644</v>
      </c>
      <c r="O763" s="7"/>
      <c r="P763" s="6" t="str">
        <f>"1.093,75"</f>
        <v>1.093,75</v>
      </c>
      <c r="Q763" s="7"/>
      <c r="R763" s="1"/>
      <c r="S763" s="1" t="str">
        <f>"29-19/NOS-75-B/17"</f>
        <v>29-19/NOS-75-B/17</v>
      </c>
      <c r="T763" s="2" t="s">
        <v>29</v>
      </c>
    </row>
    <row r="764" spans="1:20" ht="25.5" x14ac:dyDescent="0.25">
      <c r="A764" s="1">
        <v>760</v>
      </c>
      <c r="B764" s="1" t="str">
        <f t="shared" si="73"/>
        <v>2017-410</v>
      </c>
      <c r="C764" s="2" t="s">
        <v>702</v>
      </c>
      <c r="D764" s="1" t="s">
        <v>703</v>
      </c>
      <c r="E764" s="3" t="str">
        <f>""</f>
        <v/>
      </c>
      <c r="F764" s="2" t="s">
        <v>27</v>
      </c>
      <c r="G764" s="2" t="str">
        <f t="shared" si="74"/>
        <v>PAMAJO D.O.O., VRANIČKA 7/A, 10000 ZAGREB, OIB: 46401136513</v>
      </c>
      <c r="H764" s="4"/>
      <c r="I764" s="1" t="s">
        <v>414</v>
      </c>
      <c r="J764" s="1" t="s">
        <v>47</v>
      </c>
      <c r="K764" s="6" t="str">
        <f>"420,00"</f>
        <v>420,00</v>
      </c>
      <c r="L764" s="6" t="str">
        <f>"0,00"</f>
        <v>0,00</v>
      </c>
      <c r="M764" s="6" t="str">
        <f>"0,00"</f>
        <v>0,00</v>
      </c>
      <c r="N764" s="1" t="s">
        <v>117</v>
      </c>
      <c r="O764" s="7"/>
      <c r="P764" s="6" t="str">
        <f>"0,00"</f>
        <v>0,00</v>
      </c>
      <c r="Q764" s="7"/>
      <c r="R764" s="1"/>
      <c r="S764" s="1" t="str">
        <f>"30-19/NOS-75-B/17"</f>
        <v>30-19/NOS-75-B/17</v>
      </c>
      <c r="T764" s="2" t="s">
        <v>29</v>
      </c>
    </row>
    <row r="765" spans="1:20" ht="25.5" x14ac:dyDescent="0.25">
      <c r="A765" s="1">
        <v>761</v>
      </c>
      <c r="B765" s="1" t="str">
        <f t="shared" si="73"/>
        <v>2017-410</v>
      </c>
      <c r="C765" s="2" t="s">
        <v>702</v>
      </c>
      <c r="D765" s="1" t="s">
        <v>703</v>
      </c>
      <c r="E765" s="3" t="str">
        <f>""</f>
        <v/>
      </c>
      <c r="F765" s="2" t="s">
        <v>27</v>
      </c>
      <c r="G765" s="2" t="str">
        <f t="shared" si="74"/>
        <v>PAMAJO D.O.O., VRANIČKA 7/A, 10000 ZAGREB, OIB: 46401136513</v>
      </c>
      <c r="H765" s="4"/>
      <c r="I765" s="1" t="s">
        <v>269</v>
      </c>
      <c r="J765" s="1" t="s">
        <v>47</v>
      </c>
      <c r="K765" s="6" t="str">
        <f>"630,00"</f>
        <v>630,00</v>
      </c>
      <c r="L765" s="6" t="str">
        <f>"0,00"</f>
        <v>0,00</v>
      </c>
      <c r="M765" s="6" t="str">
        <f>"0,00"</f>
        <v>0,00</v>
      </c>
      <c r="N765" s="1" t="s">
        <v>117</v>
      </c>
      <c r="O765" s="7"/>
      <c r="P765" s="6" t="str">
        <f>"0,00"</f>
        <v>0,00</v>
      </c>
      <c r="Q765" s="7"/>
      <c r="R765" s="1"/>
      <c r="S765" s="1" t="str">
        <f>"33-19/NOS-75-B/17"</f>
        <v>33-19/NOS-75-B/17</v>
      </c>
      <c r="T765" s="2" t="s">
        <v>29</v>
      </c>
    </row>
    <row r="766" spans="1:20" ht="25.5" x14ac:dyDescent="0.25">
      <c r="A766" s="1">
        <v>762</v>
      </c>
      <c r="B766" s="1" t="str">
        <f t="shared" si="73"/>
        <v>2017-410</v>
      </c>
      <c r="C766" s="2" t="s">
        <v>702</v>
      </c>
      <c r="D766" s="1" t="s">
        <v>703</v>
      </c>
      <c r="E766" s="3" t="str">
        <f>""</f>
        <v/>
      </c>
      <c r="F766" s="2" t="s">
        <v>27</v>
      </c>
      <c r="G766" s="2" t="str">
        <f t="shared" si="74"/>
        <v>PAMAJO D.O.O., VRANIČKA 7/A, 10000 ZAGREB, OIB: 46401136513</v>
      </c>
      <c r="H766" s="4"/>
      <c r="I766" s="1" t="s">
        <v>46</v>
      </c>
      <c r="J766" s="1" t="s">
        <v>47</v>
      </c>
      <c r="K766" s="6" t="str">
        <f>"420,00"</f>
        <v>420,00</v>
      </c>
      <c r="L766" s="6" t="str">
        <f>"105,00"</f>
        <v>105,00</v>
      </c>
      <c r="M766" s="6" t="str">
        <f>"525,00"</f>
        <v>525,00</v>
      </c>
      <c r="N766" s="5">
        <v>43634</v>
      </c>
      <c r="O766" s="7"/>
      <c r="P766" s="6" t="str">
        <f>"525,00"</f>
        <v>525,00</v>
      </c>
      <c r="Q766" s="7"/>
      <c r="R766" s="1"/>
      <c r="S766" s="1" t="str">
        <f>"34-19/NOS-75-B/17"</f>
        <v>34-19/NOS-75-B/17</v>
      </c>
      <c r="T766" s="2" t="s">
        <v>33</v>
      </c>
    </row>
    <row r="767" spans="1:20" ht="25.5" x14ac:dyDescent="0.25">
      <c r="A767" s="1">
        <v>763</v>
      </c>
      <c r="B767" s="1" t="str">
        <f t="shared" si="73"/>
        <v>2017-410</v>
      </c>
      <c r="C767" s="2" t="s">
        <v>702</v>
      </c>
      <c r="D767" s="1" t="s">
        <v>703</v>
      </c>
      <c r="E767" s="3" t="str">
        <f>""</f>
        <v/>
      </c>
      <c r="F767" s="2" t="s">
        <v>27</v>
      </c>
      <c r="G767" s="2" t="str">
        <f t="shared" si="74"/>
        <v>PAMAJO D.O.O., VRANIČKA 7/A, 10000 ZAGREB, OIB: 46401136513</v>
      </c>
      <c r="H767" s="4"/>
      <c r="I767" s="1" t="s">
        <v>414</v>
      </c>
      <c r="J767" s="1" t="s">
        <v>47</v>
      </c>
      <c r="K767" s="6" t="str">
        <f>"420,00"</f>
        <v>420,00</v>
      </c>
      <c r="L767" s="6" t="str">
        <f>"105,00"</f>
        <v>105,00</v>
      </c>
      <c r="M767" s="6" t="str">
        <f>"525,00"</f>
        <v>525,00</v>
      </c>
      <c r="N767" s="5">
        <v>43609</v>
      </c>
      <c r="O767" s="7"/>
      <c r="P767" s="6" t="str">
        <f>"525,00"</f>
        <v>525,00</v>
      </c>
      <c r="Q767" s="7"/>
      <c r="R767" s="1"/>
      <c r="S767" s="1" t="str">
        <f>"35-19/NOS-75-B/17"</f>
        <v>35-19/NOS-75-B/17</v>
      </c>
      <c r="T767" s="2" t="s">
        <v>33</v>
      </c>
    </row>
    <row r="768" spans="1:20" ht="25.5" x14ac:dyDescent="0.25">
      <c r="A768" s="1">
        <v>764</v>
      </c>
      <c r="B768" s="1" t="str">
        <f t="shared" si="73"/>
        <v>2017-410</v>
      </c>
      <c r="C768" s="2" t="s">
        <v>702</v>
      </c>
      <c r="D768" s="1" t="s">
        <v>703</v>
      </c>
      <c r="E768" s="3" t="str">
        <f>""</f>
        <v/>
      </c>
      <c r="F768" s="2" t="s">
        <v>27</v>
      </c>
      <c r="G768" s="2" t="str">
        <f t="shared" si="74"/>
        <v>PAMAJO D.O.O., VRANIČKA 7/A, 10000 ZAGREB, OIB: 46401136513</v>
      </c>
      <c r="H768" s="4"/>
      <c r="I768" s="1" t="s">
        <v>269</v>
      </c>
      <c r="J768" s="1" t="s">
        <v>47</v>
      </c>
      <c r="K768" s="6" t="str">
        <f>"3.780,00"</f>
        <v>3.780,00</v>
      </c>
      <c r="L768" s="6" t="str">
        <f>"945,00"</f>
        <v>945,00</v>
      </c>
      <c r="M768" s="6" t="str">
        <f>"4.725,00"</f>
        <v>4.725,00</v>
      </c>
      <c r="N768" s="5">
        <v>43633</v>
      </c>
      <c r="O768" s="7"/>
      <c r="P768" s="6" t="str">
        <f>"4.725,00"</f>
        <v>4.725,00</v>
      </c>
      <c r="Q768" s="7"/>
      <c r="R768" s="1"/>
      <c r="S768" s="1" t="str">
        <f>"36-19/NOS-75-B/17"</f>
        <v>36-19/NOS-75-B/17</v>
      </c>
      <c r="T768" s="2" t="s">
        <v>33</v>
      </c>
    </row>
    <row r="769" spans="1:20" ht="25.5" x14ac:dyDescent="0.25">
      <c r="A769" s="1">
        <v>765</v>
      </c>
      <c r="B769" s="1" t="str">
        <f t="shared" si="73"/>
        <v>2017-410</v>
      </c>
      <c r="C769" s="2" t="s">
        <v>702</v>
      </c>
      <c r="D769" s="1" t="s">
        <v>703</v>
      </c>
      <c r="E769" s="3" t="str">
        <f>""</f>
        <v/>
      </c>
      <c r="F769" s="2" t="s">
        <v>27</v>
      </c>
      <c r="G769" s="2" t="str">
        <f t="shared" si="74"/>
        <v>PAMAJO D.O.O., VRANIČKA 7/A, 10000 ZAGREB, OIB: 46401136513</v>
      </c>
      <c r="H769" s="4"/>
      <c r="I769" s="1" t="s">
        <v>269</v>
      </c>
      <c r="J769" s="1" t="s">
        <v>47</v>
      </c>
      <c r="K769" s="6" t="str">
        <f>"420,00"</f>
        <v>420,00</v>
      </c>
      <c r="L769" s="6" t="str">
        <f>"105,00"</f>
        <v>105,00</v>
      </c>
      <c r="M769" s="6" t="str">
        <f>"525,00"</f>
        <v>525,00</v>
      </c>
      <c r="N769" s="5">
        <v>43633</v>
      </c>
      <c r="O769" s="7"/>
      <c r="P769" s="6" t="str">
        <f>"525,00"</f>
        <v>525,00</v>
      </c>
      <c r="Q769" s="7"/>
      <c r="R769" s="1"/>
      <c r="S769" s="1" t="str">
        <f>"38-19/NOS-75-B/17"</f>
        <v>38-19/NOS-75-B/17</v>
      </c>
      <c r="T769" s="2" t="s">
        <v>33</v>
      </c>
    </row>
    <row r="770" spans="1:20" ht="25.5" x14ac:dyDescent="0.25">
      <c r="A770" s="1">
        <v>766</v>
      </c>
      <c r="B770" s="1" t="str">
        <f t="shared" si="73"/>
        <v>2017-410</v>
      </c>
      <c r="C770" s="2" t="s">
        <v>702</v>
      </c>
      <c r="D770" s="1" t="s">
        <v>703</v>
      </c>
      <c r="E770" s="3" t="str">
        <f>""</f>
        <v/>
      </c>
      <c r="F770" s="2" t="s">
        <v>27</v>
      </c>
      <c r="G770" s="2" t="str">
        <f t="shared" si="74"/>
        <v>PAMAJO D.O.O., VRANIČKA 7/A, 10000 ZAGREB, OIB: 46401136513</v>
      </c>
      <c r="H770" s="4"/>
      <c r="I770" s="1" t="s">
        <v>269</v>
      </c>
      <c r="J770" s="1" t="s">
        <v>47</v>
      </c>
      <c r="K770" s="6" t="str">
        <f>"1.750,00"</f>
        <v>1.750,00</v>
      </c>
      <c r="L770" s="6" t="str">
        <f>"437,50"</f>
        <v>437,50</v>
      </c>
      <c r="M770" s="6" t="str">
        <f>"2.187,50"</f>
        <v>2.187,50</v>
      </c>
      <c r="N770" s="5">
        <v>43633</v>
      </c>
      <c r="O770" s="7"/>
      <c r="P770" s="6" t="str">
        <f>"2.187,50"</f>
        <v>2.187,50</v>
      </c>
      <c r="Q770" s="7"/>
      <c r="R770" s="1"/>
      <c r="S770" s="1" t="str">
        <f>"39-19/NOS-75-B/17"</f>
        <v>39-19/NOS-75-B/17</v>
      </c>
      <c r="T770" s="2" t="s">
        <v>33</v>
      </c>
    </row>
    <row r="771" spans="1:20" ht="25.5" x14ac:dyDescent="0.25">
      <c r="A771" s="1">
        <v>767</v>
      </c>
      <c r="B771" s="1" t="str">
        <f t="shared" si="73"/>
        <v>2017-410</v>
      </c>
      <c r="C771" s="2" t="s">
        <v>702</v>
      </c>
      <c r="D771" s="1" t="s">
        <v>703</v>
      </c>
      <c r="E771" s="3" t="str">
        <f>""</f>
        <v/>
      </c>
      <c r="F771" s="2" t="s">
        <v>27</v>
      </c>
      <c r="G771" s="2" t="str">
        <f t="shared" si="74"/>
        <v>PAMAJO D.O.O., VRANIČKA 7/A, 10000 ZAGREB, OIB: 46401136513</v>
      </c>
      <c r="H771" s="4"/>
      <c r="I771" s="1" t="s">
        <v>414</v>
      </c>
      <c r="J771" s="1" t="s">
        <v>47</v>
      </c>
      <c r="K771" s="6" t="str">
        <f>"3.000,00"</f>
        <v>3.000,00</v>
      </c>
      <c r="L771" s="6" t="str">
        <f>"750,00"</f>
        <v>750,00</v>
      </c>
      <c r="M771" s="6" t="str">
        <f>"3.750,00"</f>
        <v>3.750,00</v>
      </c>
      <c r="N771" s="5">
        <v>43609</v>
      </c>
      <c r="O771" s="7"/>
      <c r="P771" s="6" t="str">
        <f>"3.750,00"</f>
        <v>3.750,00</v>
      </c>
      <c r="Q771" s="7"/>
      <c r="R771" s="1"/>
      <c r="S771" s="1" t="str">
        <f>"40-19/NOS-75-B/17"</f>
        <v>40-19/NOS-75-B/17</v>
      </c>
      <c r="T771" s="2" t="s">
        <v>33</v>
      </c>
    </row>
    <row r="772" spans="1:20" ht="25.5" x14ac:dyDescent="0.25">
      <c r="A772" s="1">
        <v>768</v>
      </c>
      <c r="B772" s="1" t="str">
        <f t="shared" si="73"/>
        <v>2017-410</v>
      </c>
      <c r="C772" s="2" t="s">
        <v>702</v>
      </c>
      <c r="D772" s="1" t="s">
        <v>703</v>
      </c>
      <c r="E772" s="3" t="str">
        <f>""</f>
        <v/>
      </c>
      <c r="F772" s="2" t="s">
        <v>27</v>
      </c>
      <c r="G772" s="2" t="str">
        <f t="shared" si="74"/>
        <v>PAMAJO D.O.O., VRANIČKA 7/A, 10000 ZAGREB, OIB: 46401136513</v>
      </c>
      <c r="H772" s="4"/>
      <c r="I772" s="1" t="s">
        <v>440</v>
      </c>
      <c r="J772" s="1" t="s">
        <v>47</v>
      </c>
      <c r="K772" s="6" t="str">
        <f>"3.900,00"</f>
        <v>3.900,00</v>
      </c>
      <c r="L772" s="6" t="str">
        <f>"0,00"</f>
        <v>0,00</v>
      </c>
      <c r="M772" s="6" t="str">
        <f>"0,00"</f>
        <v>0,00</v>
      </c>
      <c r="N772" s="1" t="s">
        <v>117</v>
      </c>
      <c r="O772" s="7"/>
      <c r="P772" s="6" t="str">
        <f>"0,00"</f>
        <v>0,00</v>
      </c>
      <c r="Q772" s="7"/>
      <c r="R772" s="1"/>
      <c r="S772" s="1" t="str">
        <f>"41-19/NOS-75-B/17"</f>
        <v>41-19/NOS-75-B/17</v>
      </c>
      <c r="T772" s="2" t="s">
        <v>33</v>
      </c>
    </row>
    <row r="773" spans="1:20" ht="38.25" x14ac:dyDescent="0.25">
      <c r="A773" s="1">
        <v>769</v>
      </c>
      <c r="B773" s="1" t="str">
        <f t="shared" si="73"/>
        <v>2017-410</v>
      </c>
      <c r="C773" s="2" t="s">
        <v>702</v>
      </c>
      <c r="D773" s="1" t="s">
        <v>703</v>
      </c>
      <c r="E773" s="3" t="str">
        <f>"2017/S 0F2-0012732"</f>
        <v>2017/S 0F2-0012732</v>
      </c>
      <c r="F773" s="2" t="s">
        <v>23</v>
      </c>
      <c r="G773" s="2" t="str">
        <f t="shared" si="74"/>
        <v>PAMAJO D.O.O., VRANIČKA 7/A, 10000 ZAGREB, OIB: 46401136513</v>
      </c>
      <c r="H773" s="4"/>
      <c r="I773" s="1" t="s">
        <v>704</v>
      </c>
      <c r="J773" s="1" t="s">
        <v>705</v>
      </c>
      <c r="K773" s="6" t="str">
        <f>"1.000.000,00"</f>
        <v>1.000.000,00</v>
      </c>
      <c r="L773" s="6" t="str">
        <f>"250.000,00"</f>
        <v>250.000,00</v>
      </c>
      <c r="M773" s="6" t="str">
        <f>"1.250.000,00"</f>
        <v>1.250.000,00</v>
      </c>
      <c r="N773" s="7"/>
      <c r="O773" s="7"/>
      <c r="P773" s="6" t="str">
        <f>""</f>
        <v/>
      </c>
      <c r="Q773" s="7"/>
      <c r="R773" s="1"/>
      <c r="S773" s="1" t="str">
        <f>"NOS-75-C/17"</f>
        <v>NOS-75-C/17</v>
      </c>
      <c r="T773" s="2" t="s">
        <v>706</v>
      </c>
    </row>
    <row r="774" spans="1:20" ht="38.25" x14ac:dyDescent="0.25">
      <c r="A774" s="1">
        <v>770</v>
      </c>
      <c r="B774" s="1" t="str">
        <f t="shared" si="73"/>
        <v>2017-410</v>
      </c>
      <c r="C774" s="2" t="s">
        <v>702</v>
      </c>
      <c r="D774" s="1" t="s">
        <v>703</v>
      </c>
      <c r="E774" s="3" t="str">
        <f>"2017/S 0F2-0012732"</f>
        <v>2017/S 0F2-0012732</v>
      </c>
      <c r="F774" s="2" t="s">
        <v>23</v>
      </c>
      <c r="G774" s="2" t="str">
        <f t="shared" si="74"/>
        <v>PAMAJO D.O.O., VRANIČKA 7/A, 10000 ZAGREB, OIB: 46401136513</v>
      </c>
      <c r="H774" s="4"/>
      <c r="I774" s="1" t="s">
        <v>704</v>
      </c>
      <c r="J774" s="1" t="s">
        <v>705</v>
      </c>
      <c r="K774" s="6" t="str">
        <f>"600.000,00"</f>
        <v>600.000,00</v>
      </c>
      <c r="L774" s="6" t="str">
        <f>"150.000,00"</f>
        <v>150.000,00</v>
      </c>
      <c r="M774" s="6" t="str">
        <f>"750.000,00"</f>
        <v>750.000,00</v>
      </c>
      <c r="N774" s="7"/>
      <c r="O774" s="7"/>
      <c r="P774" s="6" t="str">
        <f>""</f>
        <v/>
      </c>
      <c r="Q774" s="7"/>
      <c r="R774" s="1"/>
      <c r="S774" s="1" t="str">
        <f>"NOS-75-D/17"</f>
        <v>NOS-75-D/17</v>
      </c>
      <c r="T774" s="2" t="s">
        <v>706</v>
      </c>
    </row>
    <row r="775" spans="1:20" ht="38.25" x14ac:dyDescent="0.25">
      <c r="A775" s="1">
        <v>771</v>
      </c>
      <c r="B775" s="1" t="str">
        <f t="shared" si="73"/>
        <v>2017-410</v>
      </c>
      <c r="C775" s="2" t="s">
        <v>702</v>
      </c>
      <c r="D775" s="1" t="s">
        <v>703</v>
      </c>
      <c r="E775" s="3" t="str">
        <f>"2017/S 0F2-0012732"</f>
        <v>2017/S 0F2-0012732</v>
      </c>
      <c r="F775" s="2" t="s">
        <v>23</v>
      </c>
      <c r="G775" s="2" t="str">
        <f t="shared" si="74"/>
        <v>PAMAJO D.O.O., VRANIČKA 7/A, 10000 ZAGREB, OIB: 46401136513</v>
      </c>
      <c r="H775" s="4"/>
      <c r="I775" s="1" t="s">
        <v>704</v>
      </c>
      <c r="J775" s="1" t="s">
        <v>705</v>
      </c>
      <c r="K775" s="6" t="str">
        <f>"1.055.000,00"</f>
        <v>1.055.000,00</v>
      </c>
      <c r="L775" s="6" t="str">
        <f>"263.750,00"</f>
        <v>263.750,00</v>
      </c>
      <c r="M775" s="6" t="str">
        <f>"1.318.750,00"</f>
        <v>1.318.750,00</v>
      </c>
      <c r="N775" s="7"/>
      <c r="O775" s="7"/>
      <c r="P775" s="6" t="str">
        <f>""</f>
        <v/>
      </c>
      <c r="Q775" s="7"/>
      <c r="R775" s="1"/>
      <c r="S775" s="1" t="str">
        <f>"NOS-75-F/17"</f>
        <v>NOS-75-F/17</v>
      </c>
      <c r="T775" s="2" t="s">
        <v>706</v>
      </c>
    </row>
    <row r="776" spans="1:20" ht="76.5" x14ac:dyDescent="0.25">
      <c r="A776" s="1">
        <v>772</v>
      </c>
      <c r="B776" s="1" t="str">
        <f>"2017-2583"</f>
        <v>2017-2583</v>
      </c>
      <c r="C776" s="2" t="s">
        <v>709</v>
      </c>
      <c r="D776" s="1" t="s">
        <v>119</v>
      </c>
      <c r="E776" s="3" t="str">
        <f>"2017/S 0F2-0012861"</f>
        <v>2017/S 0F2-0012861</v>
      </c>
      <c r="F776" s="2" t="s">
        <v>23</v>
      </c>
      <c r="G776" s="2" t="str">
        <f>CONCATENATE("MONTEL D.O.O.,"," HORVATOVA 48/B,"," 10000 ZAGREB,"," OIB: 12595351308",CHAR(10),"M.SOLDO D.O.O.,"," DEBANIĆEVA 39,"," 10000 ZAGREB,"," OIB: 58353605637",CHAR(10),"ELEKTRO IMBER D.O.O.,"," NOVA CESTA 184,"," 10000 ZAGREB,"," OIB: 41188361058")</f>
        <v>MONTEL D.O.O., HORVATOVA 48/B, 10000 ZAGREB, OIB: 12595351308
M.SOLDO D.O.O., DEBANIĆEVA 39, 10000 ZAGREB, OIB: 58353605637
ELEKTRO IMBER D.O.O., NOVA CESTA 184, 10000 ZAGREB, OIB: 41188361058</v>
      </c>
      <c r="H776" s="1" t="str">
        <f>CONCATENATE("TRSTENIK ELEKTRONIKA D.O.O.,"," OIB: 5366343679")</f>
        <v>TRSTENIK ELEKTRONIKA D.O.O., OIB: 5366343679</v>
      </c>
      <c r="I776" s="1" t="s">
        <v>710</v>
      </c>
      <c r="J776" s="1" t="s">
        <v>711</v>
      </c>
      <c r="K776" s="6" t="str">
        <f>"6.000.000,00"</f>
        <v>6.000.000,00</v>
      </c>
      <c r="L776" s="6" t="str">
        <f>"1.500.000,00"</f>
        <v>1.500.000,00</v>
      </c>
      <c r="M776" s="6" t="str">
        <f>"7.500.000,00"</f>
        <v>7.500.000,00</v>
      </c>
      <c r="N776" s="7"/>
      <c r="O776" s="7"/>
      <c r="P776" s="6" t="str">
        <f>""</f>
        <v/>
      </c>
      <c r="Q776" s="7"/>
      <c r="R776" s="1"/>
      <c r="S776" s="1" t="str">
        <f>"NOS-76/17"</f>
        <v>NOS-76/17</v>
      </c>
      <c r="T776" s="2" t="s">
        <v>33</v>
      </c>
    </row>
    <row r="777" spans="1:20" ht="38.25" x14ac:dyDescent="0.25">
      <c r="A777" s="1">
        <v>773</v>
      </c>
      <c r="B777" s="1" t="str">
        <f>"2017-364"</f>
        <v>2017-364</v>
      </c>
      <c r="C777" s="2" t="s">
        <v>712</v>
      </c>
      <c r="D777" s="1" t="s">
        <v>599</v>
      </c>
      <c r="E777" s="3" t="str">
        <f>"2017/S 0F2-0016539"</f>
        <v>2017/S 0F2-0016539</v>
      </c>
      <c r="F777" s="2" t="s">
        <v>23</v>
      </c>
      <c r="G777" s="2" t="str">
        <f>CONCATENATE("KONČAR-ELEKTRIČNA VOZILA D.D.,"," ANTE BABAJE 1,"," 10090 ZAGREB-SUSEDGRAD,"," OIB: 6625394579")</f>
        <v>KONČAR-ELEKTRIČNA VOZILA D.D., ANTE BABAJE 1, 10090 ZAGREB-SUSEDGRAD, OIB: 6625394579</v>
      </c>
      <c r="H777" s="4"/>
      <c r="I777" s="1" t="s">
        <v>713</v>
      </c>
      <c r="J777" s="1" t="s">
        <v>714</v>
      </c>
      <c r="K777" s="6" t="str">
        <f>"4.000.000,00"</f>
        <v>4.000.000,00</v>
      </c>
      <c r="L777" s="6" t="str">
        <f>"1.000.000,00"</f>
        <v>1.000.000,00</v>
      </c>
      <c r="M777" s="6" t="str">
        <f>"5.000.000,00"</f>
        <v>5.000.000,00</v>
      </c>
      <c r="N777" s="7"/>
      <c r="O777" s="7"/>
      <c r="P777" s="6" t="str">
        <f>""</f>
        <v/>
      </c>
      <c r="Q777" s="7"/>
      <c r="R777" s="1"/>
      <c r="S777" s="1" t="str">
        <f>"NOS-77/17"</f>
        <v>NOS-77/17</v>
      </c>
      <c r="T777" s="2" t="s">
        <v>33</v>
      </c>
    </row>
    <row r="778" spans="1:20" ht="89.25" x14ac:dyDescent="0.25">
      <c r="A778" s="1">
        <v>774</v>
      </c>
      <c r="B778" s="1" t="str">
        <f>"2017-2758"</f>
        <v>2017-2758</v>
      </c>
      <c r="C778" s="2" t="s">
        <v>715</v>
      </c>
      <c r="D778" s="1" t="s">
        <v>292</v>
      </c>
      <c r="E778" s="3" t="str">
        <f>"2017/S 0F2-0017612"</f>
        <v>2017/S 0F2-0017612</v>
      </c>
      <c r="F778" s="2" t="s">
        <v>23</v>
      </c>
      <c r="G778" s="2" t="str">
        <f>CONCATENATE("SMIT-COMMERCE D.O.O.,"," GORNJOSTUPNIČKA 9B,"," 10255 GORNJI STUPNIK,"," OIB: 95243482140",CHAR(10),"DIV GRUPA  D.O.O. ZA USLUGE,"," BOBOVICA 10/A,"," 10430 SAMOBOR,"," OIB: 33890755814",CHAR(10),"BBB  D.O.O.,"," SOPNIČKA 93A,"," 10360 SESVETE,"," OIB: 46219067545")</f>
        <v>SMIT-COMMERCE D.O.O., GORNJOSTUPNIČKA 9B, 10255 GORNJI STUPNIK, OIB: 95243482140
DIV GRUPA  D.O.O. ZA USLUGE, BOBOVICA 10/A, 10430 SAMOBOR, OIB: 33890755814
BBB  D.O.O., SOPNIČKA 93A, 10360 SESVETE, OIB: 46219067545</v>
      </c>
      <c r="H778" s="4"/>
      <c r="I778" s="1" t="s">
        <v>707</v>
      </c>
      <c r="J778" s="1" t="s">
        <v>716</v>
      </c>
      <c r="K778" s="6" t="str">
        <f>"500.000,00"</f>
        <v>500.000,00</v>
      </c>
      <c r="L778" s="6" t="str">
        <f>"125.000,00"</f>
        <v>125.000,00</v>
      </c>
      <c r="M778" s="6" t="str">
        <f>"625.000,00"</f>
        <v>625.000,00</v>
      </c>
      <c r="N778" s="7"/>
      <c r="O778" s="7"/>
      <c r="P778" s="6" t="str">
        <f>""</f>
        <v/>
      </c>
      <c r="Q778" s="7"/>
      <c r="R778" s="1"/>
      <c r="S778" s="1" t="str">
        <f>"NOS-78/17"</f>
        <v>NOS-78/17</v>
      </c>
      <c r="T778" s="2" t="s">
        <v>33</v>
      </c>
    </row>
    <row r="779" spans="1:20" ht="25.5" x14ac:dyDescent="0.25">
      <c r="A779" s="1">
        <v>775</v>
      </c>
      <c r="B779" s="1" t="str">
        <f>"2017-2758"</f>
        <v>2017-2758</v>
      </c>
      <c r="C779" s="2" t="s">
        <v>715</v>
      </c>
      <c r="D779" s="1" t="s">
        <v>292</v>
      </c>
      <c r="E779" s="3" t="str">
        <f>""</f>
        <v/>
      </c>
      <c r="F779" s="2" t="s">
        <v>27</v>
      </c>
      <c r="G779" s="2" t="str">
        <f>CONCATENATE("DIV GRUPA  D.O.O. ZA USLUGE,"," BOBOVICA 10/A,"," 10430 SAMOBOR,"," OIB: 33890755814")</f>
        <v>DIV GRUPA  D.O.O. ZA USLUGE, BOBOVICA 10/A, 10430 SAMOBOR, OIB: 33890755814</v>
      </c>
      <c r="H779" s="4"/>
      <c r="I779" s="1" t="s">
        <v>162</v>
      </c>
      <c r="J779" s="1" t="s">
        <v>469</v>
      </c>
      <c r="K779" s="6" t="str">
        <f>"23.200,00"</f>
        <v>23.200,00</v>
      </c>
      <c r="L779" s="6" t="str">
        <f>"4.739,50"</f>
        <v>4.739,50</v>
      </c>
      <c r="M779" s="6" t="str">
        <f>"23.697,50"</f>
        <v>23.697,50</v>
      </c>
      <c r="N779" s="5">
        <v>43635</v>
      </c>
      <c r="O779" s="7"/>
      <c r="P779" s="6" t="str">
        <f>"23.697,50"</f>
        <v>23.697,50</v>
      </c>
      <c r="Q779" s="7"/>
      <c r="R779" s="1"/>
      <c r="S779" s="1" t="str">
        <f>"1-19/NOS-78/17"</f>
        <v>1-19/NOS-78/17</v>
      </c>
      <c r="T779" s="2" t="s">
        <v>33</v>
      </c>
    </row>
    <row r="780" spans="1:20" ht="25.5" x14ac:dyDescent="0.25">
      <c r="A780" s="1">
        <v>776</v>
      </c>
      <c r="B780" s="1" t="str">
        <f>"2017-2758"</f>
        <v>2017-2758</v>
      </c>
      <c r="C780" s="2" t="s">
        <v>715</v>
      </c>
      <c r="D780" s="1" t="s">
        <v>292</v>
      </c>
      <c r="E780" s="3" t="str">
        <f>""</f>
        <v/>
      </c>
      <c r="F780" s="2" t="s">
        <v>27</v>
      </c>
      <c r="G780" s="2" t="str">
        <f>CONCATENATE("DIV GRUPA  D.O.O. ZA USLUGE,"," BOBOVICA 10/A,"," 10430 SAMOBOR,"," OIB: 33890755814")</f>
        <v>DIV GRUPA  D.O.O. ZA USLUGE, BOBOVICA 10/A, 10430 SAMOBOR, OIB: 33890755814</v>
      </c>
      <c r="H780" s="4"/>
      <c r="I780" s="1" t="s">
        <v>638</v>
      </c>
      <c r="J780" s="1" t="s">
        <v>469</v>
      </c>
      <c r="K780" s="6" t="str">
        <f>"6.400,00"</f>
        <v>6.400,00</v>
      </c>
      <c r="L780" s="6" t="str">
        <f>"0,00"</f>
        <v>0,00</v>
      </c>
      <c r="M780" s="6" t="str">
        <f>"0,00"</f>
        <v>0,00</v>
      </c>
      <c r="N780" s="1" t="s">
        <v>117</v>
      </c>
      <c r="O780" s="7"/>
      <c r="P780" s="6" t="str">
        <f>"0,00"</f>
        <v>0,00</v>
      </c>
      <c r="Q780" s="7"/>
      <c r="R780" s="1"/>
      <c r="S780" s="1" t="str">
        <f>"2-19/NOS-78/17"</f>
        <v>2-19/NOS-78/17</v>
      </c>
      <c r="T780" s="2" t="s">
        <v>33</v>
      </c>
    </row>
    <row r="781" spans="1:20" ht="38.25" x14ac:dyDescent="0.25">
      <c r="A781" s="1">
        <v>777</v>
      </c>
      <c r="B781" s="1" t="str">
        <f t="shared" ref="B781:B792" si="75">"2017-408"</f>
        <v>2017-408</v>
      </c>
      <c r="C781" s="2" t="s">
        <v>717</v>
      </c>
      <c r="D781" s="1" t="s">
        <v>208</v>
      </c>
      <c r="E781" s="3" t="str">
        <f>"2017/S 0F2-0011682"</f>
        <v>2017/S 0F2-0011682</v>
      </c>
      <c r="F781" s="2" t="s">
        <v>23</v>
      </c>
      <c r="G781" s="2" t="str">
        <f>CONCATENATE("AGS HRVATSKA D.O.O.,"," ZAGREBAČKA AVENIJA 100A,"," 10090 ZAGREB,"," OIB: 47227514767")</f>
        <v>AGS HRVATSKA D.O.O., ZAGREBAČKA AVENIJA 100A, 10090 ZAGREB, OIB: 47227514767</v>
      </c>
      <c r="H781" s="4"/>
      <c r="I781" s="1" t="s">
        <v>718</v>
      </c>
      <c r="J781" s="1" t="s">
        <v>719</v>
      </c>
      <c r="K781" s="6" t="str">
        <f>"7.000.000,00"</f>
        <v>7.000.000,00</v>
      </c>
      <c r="L781" s="6" t="str">
        <f>"1.750.000,00"</f>
        <v>1.750.000,00</v>
      </c>
      <c r="M781" s="6" t="str">
        <f>"8.750.000,00"</f>
        <v>8.750.000,00</v>
      </c>
      <c r="N781" s="7"/>
      <c r="O781" s="7"/>
      <c r="P781" s="6" t="str">
        <f>""</f>
        <v/>
      </c>
      <c r="Q781" s="7"/>
      <c r="R781" s="1"/>
      <c r="S781" s="1" t="str">
        <f>"NOS-79-A/17"</f>
        <v>NOS-79-A/17</v>
      </c>
      <c r="T781" s="2" t="s">
        <v>33</v>
      </c>
    </row>
    <row r="782" spans="1:20" ht="25.5" x14ac:dyDescent="0.25">
      <c r="A782" s="1">
        <v>778</v>
      </c>
      <c r="B782" s="1" t="str">
        <f t="shared" si="75"/>
        <v>2017-408</v>
      </c>
      <c r="C782" s="2" t="s">
        <v>717</v>
      </c>
      <c r="D782" s="1" t="s">
        <v>208</v>
      </c>
      <c r="E782" s="3" t="str">
        <f>""</f>
        <v/>
      </c>
      <c r="F782" s="2" t="s">
        <v>27</v>
      </c>
      <c r="G782" s="2" t="str">
        <f>CONCATENATE("AGS HRVATSKA D.O.O.,"," ZAGREBAČKA AVENIJA 100A,"," 10090 ZAGREB,"," OIB: 47227514767")</f>
        <v>AGS HRVATSKA D.O.O., ZAGREBAČKA AVENIJA 100A, 10090 ZAGREB, OIB: 47227514767</v>
      </c>
      <c r="H782" s="4"/>
      <c r="I782" s="1" t="s">
        <v>162</v>
      </c>
      <c r="J782" s="1" t="s">
        <v>28</v>
      </c>
      <c r="K782" s="6" t="str">
        <f>"2.390.000,00"</f>
        <v>2.390.000,00</v>
      </c>
      <c r="L782" s="6" t="str">
        <f>"597.500,00"</f>
        <v>597.500,00</v>
      </c>
      <c r="M782" s="6" t="str">
        <f>"2.987.500,00"</f>
        <v>2.987.500,00</v>
      </c>
      <c r="N782" s="5">
        <v>43704</v>
      </c>
      <c r="O782" s="7"/>
      <c r="P782" s="6" t="str">
        <f>"2.459.085,94"</f>
        <v>2.459.085,94</v>
      </c>
      <c r="Q782" s="7"/>
      <c r="R782" s="1"/>
      <c r="S782" s="1" t="str">
        <f>"1-19/NOS-79-A/17"</f>
        <v>1-19/NOS-79-A/17</v>
      </c>
      <c r="T782" s="2" t="s">
        <v>33</v>
      </c>
    </row>
    <row r="783" spans="1:20" ht="51" x14ac:dyDescent="0.25">
      <c r="A783" s="1">
        <v>779</v>
      </c>
      <c r="B783" s="1" t="str">
        <f t="shared" si="75"/>
        <v>2017-408</v>
      </c>
      <c r="C783" s="2" t="s">
        <v>717</v>
      </c>
      <c r="D783" s="1" t="s">
        <v>208</v>
      </c>
      <c r="E783" s="3" t="str">
        <f>"2017/S 0F2-0011682"</f>
        <v>2017/S 0F2-0011682</v>
      </c>
      <c r="F783" s="2" t="s">
        <v>23</v>
      </c>
      <c r="G783" s="2" t="str">
        <f>CONCATENATE("INA D.D.,"," AVENIJA VEĆESLAVA HOLJEVCA 10,"," 10000 ZAGREB,"," OIB: 27759560625",CHAR(10),"AGS HRVATSKA D.O.O.,"," ZAGREBAČKA AVENIJA 100A,"," 10090 ZAGREB,"," OIB: 47227514767")</f>
        <v>INA D.D., AVENIJA VEĆESLAVA HOLJEVCA 10, 10000 ZAGREB, OIB: 27759560625
AGS HRVATSKA D.O.O., ZAGREBAČKA AVENIJA 100A, 10090 ZAGREB, OIB: 47227514767</v>
      </c>
      <c r="H783" s="4"/>
      <c r="I783" s="1" t="s">
        <v>718</v>
      </c>
      <c r="J783" s="1" t="s">
        <v>719</v>
      </c>
      <c r="K783" s="6" t="str">
        <f>"75.000.000,00"</f>
        <v>75.000.000,00</v>
      </c>
      <c r="L783" s="6" t="str">
        <f>"18.750.000,00"</f>
        <v>18.750.000,00</v>
      </c>
      <c r="M783" s="6" t="str">
        <f>"93.750.000,00"</f>
        <v>93.750.000,00</v>
      </c>
      <c r="N783" s="7"/>
      <c r="O783" s="7"/>
      <c r="P783" s="6" t="str">
        <f>""</f>
        <v/>
      </c>
      <c r="Q783" s="7"/>
      <c r="R783" s="1"/>
      <c r="S783" s="1" t="str">
        <f>"NOS-79-B/17"</f>
        <v>NOS-79-B/17</v>
      </c>
      <c r="T783" s="2" t="s">
        <v>33</v>
      </c>
    </row>
    <row r="784" spans="1:20" ht="25.5" x14ac:dyDescent="0.25">
      <c r="A784" s="1">
        <v>780</v>
      </c>
      <c r="B784" s="1" t="str">
        <f t="shared" si="75"/>
        <v>2017-408</v>
      </c>
      <c r="C784" s="2" t="s">
        <v>717</v>
      </c>
      <c r="D784" s="1" t="s">
        <v>208</v>
      </c>
      <c r="E784" s="3" t="str">
        <f>""</f>
        <v/>
      </c>
      <c r="F784" s="2" t="s">
        <v>27</v>
      </c>
      <c r="G784" s="2" t="str">
        <f>CONCATENATE("INA D.D.,"," AVENIJA VEĆESLAVA HOLJEVCA 10,"," 10000 ZAGREB,"," OIB: 27759560625")</f>
        <v>INA D.D., AVENIJA VEĆESLAVA HOLJEVCA 10, 10000 ZAGREB, OIB: 27759560625</v>
      </c>
      <c r="H784" s="4"/>
      <c r="I784" s="1" t="s">
        <v>720</v>
      </c>
      <c r="J784" s="1" t="s">
        <v>721</v>
      </c>
      <c r="K784" s="6" t="str">
        <f>"3.516.300,00"</f>
        <v>3.516.300,00</v>
      </c>
      <c r="L784" s="6" t="str">
        <f>"879.075,00"</f>
        <v>879.075,00</v>
      </c>
      <c r="M784" s="6" t="str">
        <f>"4.395.375,00"</f>
        <v>4.395.375,00</v>
      </c>
      <c r="N784" s="5">
        <v>43498</v>
      </c>
      <c r="O784" s="7"/>
      <c r="P784" s="6" t="str">
        <f>"4.395.375,00"</f>
        <v>4.395.375,00</v>
      </c>
      <c r="Q784" s="7"/>
      <c r="R784" s="1"/>
      <c r="S784" s="1" t="str">
        <f>"11-18/NOS-79-B/17"</f>
        <v>11-18/NOS-79-B/17</v>
      </c>
      <c r="T784" s="2" t="s">
        <v>33</v>
      </c>
    </row>
    <row r="785" spans="1:20" ht="25.5" x14ac:dyDescent="0.25">
      <c r="A785" s="1">
        <v>781</v>
      </c>
      <c r="B785" s="1" t="str">
        <f t="shared" si="75"/>
        <v>2017-408</v>
      </c>
      <c r="C785" s="2" t="s">
        <v>717</v>
      </c>
      <c r="D785" s="1" t="s">
        <v>208</v>
      </c>
      <c r="E785" s="3" t="str">
        <f>""</f>
        <v/>
      </c>
      <c r="F785" s="2" t="s">
        <v>27</v>
      </c>
      <c r="G785" s="2" t="str">
        <f>CONCATENATE("AGS HRVATSKA D.O.O.,"," ZAGREBAČKA AVENIJA 100A,"," 10090 ZAGREB,"," OIB: 47227514767")</f>
        <v>AGS HRVATSKA D.O.O., ZAGREBAČKA AVENIJA 100A, 10090 ZAGREB, OIB: 47227514767</v>
      </c>
      <c r="H785" s="4"/>
      <c r="I785" s="1" t="s">
        <v>379</v>
      </c>
      <c r="J785" s="1" t="s">
        <v>373</v>
      </c>
      <c r="K785" s="6" t="str">
        <f>"1.674.500,00"</f>
        <v>1.674.500,00</v>
      </c>
      <c r="L785" s="6" t="str">
        <f>"418.625,00"</f>
        <v>418.625,00</v>
      </c>
      <c r="M785" s="6" t="str">
        <f>"2.093.125,00"</f>
        <v>2.093.125,00</v>
      </c>
      <c r="N785" s="5">
        <v>43515</v>
      </c>
      <c r="O785" s="7"/>
      <c r="P785" s="6" t="str">
        <f>"2.093.125,00"</f>
        <v>2.093.125,00</v>
      </c>
      <c r="Q785" s="7"/>
      <c r="R785" s="1"/>
      <c r="S785" s="1" t="str">
        <f>"12-18/NOS-79-B/17"</f>
        <v>12-18/NOS-79-B/17</v>
      </c>
      <c r="T785" s="2" t="s">
        <v>33</v>
      </c>
    </row>
    <row r="786" spans="1:20" ht="25.5" x14ac:dyDescent="0.25">
      <c r="A786" s="1">
        <v>782</v>
      </c>
      <c r="B786" s="1" t="str">
        <f t="shared" si="75"/>
        <v>2017-408</v>
      </c>
      <c r="C786" s="2" t="s">
        <v>717</v>
      </c>
      <c r="D786" s="1" t="s">
        <v>208</v>
      </c>
      <c r="E786" s="3" t="str">
        <f>""</f>
        <v/>
      </c>
      <c r="F786" s="2" t="s">
        <v>27</v>
      </c>
      <c r="G786" s="2" t="str">
        <f>CONCATENATE("AGS HRVATSKA D.O.O.,"," ZAGREBAČKA AVENIJA 100A,"," 10090 ZAGREB,"," OIB: 47227514767")</f>
        <v>AGS HRVATSKA D.O.O., ZAGREBAČKA AVENIJA 100A, 10090 ZAGREB, OIB: 47227514767</v>
      </c>
      <c r="H786" s="4"/>
      <c r="I786" s="1" t="s">
        <v>596</v>
      </c>
      <c r="J786" s="1" t="s">
        <v>332</v>
      </c>
      <c r="K786" s="6" t="str">
        <f>"3.906.000,00"</f>
        <v>3.906.000,00</v>
      </c>
      <c r="L786" s="6" t="str">
        <f>"976.500,00"</f>
        <v>976.500,00</v>
      </c>
      <c r="M786" s="6" t="str">
        <f>"4.882.500,00"</f>
        <v>4.882.500,00</v>
      </c>
      <c r="N786" s="5">
        <v>43552</v>
      </c>
      <c r="O786" s="7"/>
      <c r="P786" s="6" t="str">
        <f>"4.882.500,00"</f>
        <v>4.882.500,00</v>
      </c>
      <c r="Q786" s="7"/>
      <c r="R786" s="1"/>
      <c r="S786" s="1" t="str">
        <f>"1-19/NOS-79-B/17"</f>
        <v>1-19/NOS-79-B/17</v>
      </c>
      <c r="T786" s="2" t="s">
        <v>33</v>
      </c>
    </row>
    <row r="787" spans="1:20" ht="25.5" x14ac:dyDescent="0.25">
      <c r="A787" s="1">
        <v>783</v>
      </c>
      <c r="B787" s="1" t="str">
        <f t="shared" si="75"/>
        <v>2017-408</v>
      </c>
      <c r="C787" s="2" t="s">
        <v>717</v>
      </c>
      <c r="D787" s="1" t="s">
        <v>208</v>
      </c>
      <c r="E787" s="3" t="str">
        <f>""</f>
        <v/>
      </c>
      <c r="F787" s="2" t="s">
        <v>27</v>
      </c>
      <c r="G787" s="2" t="str">
        <f>CONCATENATE("AGS HRVATSKA D.O.O.,"," ZAGREBAČKA AVENIJA 100A,"," 10090 ZAGREB,"," OIB: 47227514767")</f>
        <v>AGS HRVATSKA D.O.O., ZAGREBAČKA AVENIJA 100A, 10090 ZAGREB, OIB: 47227514767</v>
      </c>
      <c r="H787" s="4"/>
      <c r="I787" s="1" t="s">
        <v>44</v>
      </c>
      <c r="J787" s="1" t="s">
        <v>722</v>
      </c>
      <c r="K787" s="6" t="str">
        <f>"3.928.800,00"</f>
        <v>3.928.800,00</v>
      </c>
      <c r="L787" s="6" t="str">
        <f>"982.200,00"</f>
        <v>982.200,00</v>
      </c>
      <c r="M787" s="6" t="str">
        <f>"4.911.000,00"</f>
        <v>4.911.000,00</v>
      </c>
      <c r="N787" s="5">
        <v>43588</v>
      </c>
      <c r="O787" s="7"/>
      <c r="P787" s="6" t="str">
        <f>"4.920.167,20"</f>
        <v>4.920.167,20</v>
      </c>
      <c r="Q787" s="7"/>
      <c r="R787" s="1"/>
      <c r="S787" s="1" t="str">
        <f>"3-19/NOS-79-B/17"</f>
        <v>3-19/NOS-79-B/17</v>
      </c>
      <c r="T787" s="2" t="s">
        <v>33</v>
      </c>
    </row>
    <row r="788" spans="1:20" ht="25.5" x14ac:dyDescent="0.25">
      <c r="A788" s="1">
        <v>784</v>
      </c>
      <c r="B788" s="1" t="str">
        <f t="shared" si="75"/>
        <v>2017-408</v>
      </c>
      <c r="C788" s="2" t="s">
        <v>717</v>
      </c>
      <c r="D788" s="1" t="s">
        <v>208</v>
      </c>
      <c r="E788" s="3" t="str">
        <f>""</f>
        <v/>
      </c>
      <c r="F788" s="2" t="s">
        <v>27</v>
      </c>
      <c r="G788" s="2" t="str">
        <f>CONCATENATE("INA D.D.,"," AVENIJA VEĆESLAVA HOLJEVCA 10,"," 10000 ZAGREB,"," OIB: 27759560625")</f>
        <v>INA D.D., AVENIJA VEĆESLAVA HOLJEVCA 10, 10000 ZAGREB, OIB: 27759560625</v>
      </c>
      <c r="H788" s="4"/>
      <c r="I788" s="1" t="s">
        <v>64</v>
      </c>
      <c r="J788" s="1" t="s">
        <v>495</v>
      </c>
      <c r="K788" s="6" t="str">
        <f>"4.150.800,00"</f>
        <v>4.150.800,00</v>
      </c>
      <c r="L788" s="6" t="str">
        <f>"1.037.700,00"</f>
        <v>1.037.700,00</v>
      </c>
      <c r="M788" s="6" t="str">
        <f>"5.188.500,00"</f>
        <v>5.188.500,00</v>
      </c>
      <c r="N788" s="5">
        <v>43644</v>
      </c>
      <c r="O788" s="7"/>
      <c r="P788" s="6" t="str">
        <f>"4.950.239,66"</f>
        <v>4.950.239,66</v>
      </c>
      <c r="Q788" s="7"/>
      <c r="R788" s="1"/>
      <c r="S788" s="1" t="str">
        <f>"4-19/NOS-79-B/17"</f>
        <v>4-19/NOS-79-B/17</v>
      </c>
      <c r="T788" s="2" t="s">
        <v>33</v>
      </c>
    </row>
    <row r="789" spans="1:20" ht="25.5" x14ac:dyDescent="0.25">
      <c r="A789" s="1">
        <v>785</v>
      </c>
      <c r="B789" s="1" t="str">
        <f t="shared" si="75"/>
        <v>2017-408</v>
      </c>
      <c r="C789" s="2" t="s">
        <v>717</v>
      </c>
      <c r="D789" s="1" t="s">
        <v>208</v>
      </c>
      <c r="E789" s="3" t="str">
        <f>""</f>
        <v/>
      </c>
      <c r="F789" s="2" t="s">
        <v>27</v>
      </c>
      <c r="G789" s="2" t="str">
        <f>CONCATENATE("INA D.D.,"," AVENIJA VEĆESLAVA HOLJEVCA 10,"," 10000 ZAGREB,"," OIB: 27759560625")</f>
        <v>INA D.D., AVENIJA VEĆESLAVA HOLJEVCA 10, 10000 ZAGREB, OIB: 27759560625</v>
      </c>
      <c r="H789" s="4"/>
      <c r="I789" s="1" t="s">
        <v>269</v>
      </c>
      <c r="J789" s="1" t="s">
        <v>284</v>
      </c>
      <c r="K789" s="6" t="str">
        <f>"5.181.000,00"</f>
        <v>5.181.000,00</v>
      </c>
      <c r="L789" s="6" t="str">
        <f>"1.295.250,00"</f>
        <v>1.295.250,00</v>
      </c>
      <c r="M789" s="6" t="str">
        <f>"6.476.250,00"</f>
        <v>6.476.250,00</v>
      </c>
      <c r="N789" s="5">
        <v>43684</v>
      </c>
      <c r="O789" s="7"/>
      <c r="P789" s="6" t="str">
        <f>"1.444.246,92"</f>
        <v>1.444.246,92</v>
      </c>
      <c r="Q789" s="7"/>
      <c r="R789" s="1"/>
      <c r="S789" s="1" t="str">
        <f>"5-19/NOS-79-B/17"</f>
        <v>5-19/NOS-79-B/17</v>
      </c>
      <c r="T789" s="2" t="s">
        <v>33</v>
      </c>
    </row>
    <row r="790" spans="1:20" ht="51" x14ac:dyDescent="0.25">
      <c r="A790" s="1">
        <v>786</v>
      </c>
      <c r="B790" s="1" t="str">
        <f t="shared" si="75"/>
        <v>2017-408</v>
      </c>
      <c r="C790" s="2" t="s">
        <v>717</v>
      </c>
      <c r="D790" s="1" t="s">
        <v>208</v>
      </c>
      <c r="E790" s="3" t="str">
        <f>"2017/S 0F2-0011682"</f>
        <v>2017/S 0F2-0011682</v>
      </c>
      <c r="F790" s="2" t="s">
        <v>23</v>
      </c>
      <c r="G790" s="2" t="str">
        <f>CONCATENATE("INA D.D.,"," AVENIJA VEĆESLAVA HOLJEVCA 10,"," 10000 ZAGREB,"," OIB: 27759560625",CHAR(10),"AGS HRVATSKA D.O.O.,"," ZAGREBAČKA AVENIJA 100A,"," 10090 ZAGREB,"," OIB: 47227514767")</f>
        <v>INA D.D., AVENIJA VEĆESLAVA HOLJEVCA 10, 10000 ZAGREB, OIB: 27759560625
AGS HRVATSKA D.O.O., ZAGREBAČKA AVENIJA 100A, 10090 ZAGREB, OIB: 47227514767</v>
      </c>
      <c r="H790" s="4"/>
      <c r="I790" s="1" t="s">
        <v>718</v>
      </c>
      <c r="J790" s="1" t="s">
        <v>719</v>
      </c>
      <c r="K790" s="6" t="str">
        <f>"9.000.000,00"</f>
        <v>9.000.000,00</v>
      </c>
      <c r="L790" s="6" t="str">
        <f>"2.250.000,00"</f>
        <v>2.250.000,00</v>
      </c>
      <c r="M790" s="6" t="str">
        <f>"11.250.000,00"</f>
        <v>11.250.000,00</v>
      </c>
      <c r="N790" s="7"/>
      <c r="O790" s="7"/>
      <c r="P790" s="6" t="str">
        <f>""</f>
        <v/>
      </c>
      <c r="Q790" s="7"/>
      <c r="R790" s="1"/>
      <c r="S790" s="1" t="str">
        <f>"NOS-79-C/17"</f>
        <v>NOS-79-C/17</v>
      </c>
      <c r="T790" s="2" t="s">
        <v>33</v>
      </c>
    </row>
    <row r="791" spans="1:20" ht="25.5" x14ac:dyDescent="0.25">
      <c r="A791" s="1">
        <v>787</v>
      </c>
      <c r="B791" s="1" t="str">
        <f t="shared" si="75"/>
        <v>2017-408</v>
      </c>
      <c r="C791" s="2" t="s">
        <v>717</v>
      </c>
      <c r="D791" s="1" t="s">
        <v>208</v>
      </c>
      <c r="E791" s="3" t="str">
        <f>""</f>
        <v/>
      </c>
      <c r="F791" s="2" t="s">
        <v>27</v>
      </c>
      <c r="G791" s="2" t="str">
        <f>CONCATENATE("INA D.D.,"," AVENIJA VEĆESLAVA HOLJEVCA 10,"," 10000 ZAGREB,"," OIB: 27759560625")</f>
        <v>INA D.D., AVENIJA VEĆESLAVA HOLJEVCA 10, 10000 ZAGREB, OIB: 27759560625</v>
      </c>
      <c r="H791" s="4"/>
      <c r="I791" s="1" t="s">
        <v>264</v>
      </c>
      <c r="J791" s="1" t="s">
        <v>551</v>
      </c>
      <c r="K791" s="6" t="str">
        <f>"330.500,00"</f>
        <v>330.500,00</v>
      </c>
      <c r="L791" s="6" t="str">
        <f>"82.625,00"</f>
        <v>82.625,00</v>
      </c>
      <c r="M791" s="6" t="str">
        <f>"413.125,00"</f>
        <v>413.125,00</v>
      </c>
      <c r="N791" s="5">
        <v>43581</v>
      </c>
      <c r="O791" s="7"/>
      <c r="P791" s="6" t="str">
        <f>"428.989,00"</f>
        <v>428.989,00</v>
      </c>
      <c r="Q791" s="7"/>
      <c r="R791" s="1"/>
      <c r="S791" s="1" t="str">
        <f>"1-19/NOS-79-C/17"</f>
        <v>1-19/NOS-79-C/17</v>
      </c>
      <c r="T791" s="2" t="s">
        <v>33</v>
      </c>
    </row>
    <row r="792" spans="1:20" ht="25.5" x14ac:dyDescent="0.25">
      <c r="A792" s="1">
        <v>788</v>
      </c>
      <c r="B792" s="1" t="str">
        <f t="shared" si="75"/>
        <v>2017-408</v>
      </c>
      <c r="C792" s="2" t="s">
        <v>717</v>
      </c>
      <c r="D792" s="1" t="s">
        <v>208</v>
      </c>
      <c r="E792" s="3" t="str">
        <f>""</f>
        <v/>
      </c>
      <c r="F792" s="2" t="s">
        <v>27</v>
      </c>
      <c r="G792" s="2" t="str">
        <f>CONCATENATE("INA D.D.,"," AVENIJA VEĆESLAVA HOLJEVCA 10,"," 10000 ZAGREB,"," OIB: 27759560625")</f>
        <v>INA D.D., AVENIJA VEĆESLAVA HOLJEVCA 10, 10000 ZAGREB, OIB: 27759560625</v>
      </c>
      <c r="H792" s="4"/>
      <c r="I792" s="1" t="s">
        <v>481</v>
      </c>
      <c r="J792" s="1" t="s">
        <v>723</v>
      </c>
      <c r="K792" s="6" t="str">
        <f>"338.700,00"</f>
        <v>338.700,00</v>
      </c>
      <c r="L792" s="6" t="str">
        <f>"84.675,00"</f>
        <v>84.675,00</v>
      </c>
      <c r="M792" s="6" t="str">
        <f>"423.375,00"</f>
        <v>423.375,00</v>
      </c>
      <c r="N792" s="5">
        <v>43614</v>
      </c>
      <c r="O792" s="7"/>
      <c r="P792" s="6" t="str">
        <f>"110.331,52"</f>
        <v>110.331,52</v>
      </c>
      <c r="Q792" s="7"/>
      <c r="R792" s="1"/>
      <c r="S792" s="1" t="str">
        <f>"3-19/NOS-79-C/17"</f>
        <v>3-19/NOS-79-C/17</v>
      </c>
      <c r="T792" s="2" t="s">
        <v>33</v>
      </c>
    </row>
    <row r="793" spans="1:20" ht="38.25" x14ac:dyDescent="0.25">
      <c r="A793" s="1">
        <v>789</v>
      </c>
      <c r="B793" s="1" t="str">
        <f>"2017-2743"</f>
        <v>2017-2743</v>
      </c>
      <c r="C793" s="2" t="s">
        <v>724</v>
      </c>
      <c r="D793" s="1" t="s">
        <v>725</v>
      </c>
      <c r="E793" s="3" t="str">
        <f>"2017/S 0F2-0016790"</f>
        <v>2017/S 0F2-0016790</v>
      </c>
      <c r="F793" s="2" t="s">
        <v>23</v>
      </c>
      <c r="G793" s="2" t="str">
        <f>CONCATENATE("POLJO-PROM,"," VL. ZLATKO KRIŽANIĆ,"," HRAŠĆE TUROPOLJSKO,"," KRIŽANIĆI 27,"," 10020 ZAGREB-NOVI ZAGREB,"," OIB: 22277452223")</f>
        <v>POLJO-PROM, VL. ZLATKO KRIŽANIĆ, HRAŠĆE TUROPOLJSKO, KRIŽANIĆI 27, 10020 ZAGREB-NOVI ZAGREB, OIB: 22277452223</v>
      </c>
      <c r="H793" s="4"/>
      <c r="I793" s="1" t="s">
        <v>718</v>
      </c>
      <c r="J793" s="1" t="s">
        <v>719</v>
      </c>
      <c r="K793" s="6" t="str">
        <f>"1.450.000,00"</f>
        <v>1.450.000,00</v>
      </c>
      <c r="L793" s="6" t="str">
        <f>"362.500,00"</f>
        <v>362.500,00</v>
      </c>
      <c r="M793" s="6" t="str">
        <f>"1.812.500,00"</f>
        <v>1.812.500,00</v>
      </c>
      <c r="N793" s="7"/>
      <c r="O793" s="7"/>
      <c r="P793" s="6" t="str">
        <f>""</f>
        <v/>
      </c>
      <c r="Q793" s="7"/>
      <c r="R793" s="1"/>
      <c r="S793" s="1" t="str">
        <f>"NOS-80/17"</f>
        <v>NOS-80/17</v>
      </c>
      <c r="T793" s="2" t="s">
        <v>33</v>
      </c>
    </row>
    <row r="794" spans="1:20" ht="38.25" x14ac:dyDescent="0.25">
      <c r="A794" s="1">
        <v>790</v>
      </c>
      <c r="B794" s="1" t="str">
        <f t="shared" ref="B794:B799" si="76">"2017-2585"</f>
        <v>2017-2585</v>
      </c>
      <c r="C794" s="2" t="s">
        <v>726</v>
      </c>
      <c r="D794" s="1" t="s">
        <v>727</v>
      </c>
      <c r="E794" s="3" t="str">
        <f>"2017/S 0F2-0011445"</f>
        <v>2017/S 0F2-0011445</v>
      </c>
      <c r="F794" s="2" t="s">
        <v>23</v>
      </c>
      <c r="G794" s="2" t="str">
        <f t="shared" ref="G794:G799" si="77">CONCATENATE("PISMORAD D.D.,"," III MALEŠNICA 12,"," 10000 ZAGREB,"," OIB: 33260306505")</f>
        <v>PISMORAD D.D., III MALEŠNICA 12, 10000 ZAGREB, OIB: 33260306505</v>
      </c>
      <c r="H794" s="4"/>
      <c r="I794" s="1" t="s">
        <v>728</v>
      </c>
      <c r="J794" s="1" t="s">
        <v>729</v>
      </c>
      <c r="K794" s="6" t="str">
        <f>"1.500.000,00"</f>
        <v>1.500.000,00</v>
      </c>
      <c r="L794" s="6" t="str">
        <f>"375.000,00"</f>
        <v>375.000,00</v>
      </c>
      <c r="M794" s="6" t="str">
        <f>"1.875.000,00"</f>
        <v>1.875.000,00</v>
      </c>
      <c r="N794" s="7"/>
      <c r="O794" s="7"/>
      <c r="P794" s="6" t="str">
        <f>""</f>
        <v/>
      </c>
      <c r="Q794" s="7"/>
      <c r="R794" s="1"/>
      <c r="S794" s="1" t="str">
        <f>"NOS-81/17"</f>
        <v>NOS-81/17</v>
      </c>
      <c r="T794" s="2" t="s">
        <v>33</v>
      </c>
    </row>
    <row r="795" spans="1:20" ht="38.25" x14ac:dyDescent="0.25">
      <c r="A795" s="1">
        <v>791</v>
      </c>
      <c r="B795" s="1" t="str">
        <f t="shared" si="76"/>
        <v>2017-2585</v>
      </c>
      <c r="C795" s="2" t="s">
        <v>726</v>
      </c>
      <c r="D795" s="1" t="s">
        <v>727</v>
      </c>
      <c r="E795" s="3" t="str">
        <f>""</f>
        <v/>
      </c>
      <c r="F795" s="2" t="s">
        <v>27</v>
      </c>
      <c r="G795" s="2" t="str">
        <f t="shared" si="77"/>
        <v>PISMORAD D.D., III MALEŠNICA 12, 10000 ZAGREB, OIB: 33260306505</v>
      </c>
      <c r="H795" s="4"/>
      <c r="I795" s="1" t="s">
        <v>479</v>
      </c>
      <c r="J795" s="1" t="s">
        <v>469</v>
      </c>
      <c r="K795" s="6" t="str">
        <f>"18.302,40"</f>
        <v>18.302,40</v>
      </c>
      <c r="L795" s="6" t="str">
        <f>"4.575,60"</f>
        <v>4.575,60</v>
      </c>
      <c r="M795" s="6" t="str">
        <f>"22.878,00"</f>
        <v>22.878,00</v>
      </c>
      <c r="N795" s="5">
        <v>43523</v>
      </c>
      <c r="O795" s="7"/>
      <c r="P795" s="6" t="str">
        <f>"22.878,00"</f>
        <v>22.878,00</v>
      </c>
      <c r="Q795" s="7"/>
      <c r="R795" s="1"/>
      <c r="S795" s="1" t="str">
        <f>"1-19/NOS-81/17"</f>
        <v>1-19/NOS-81/17</v>
      </c>
      <c r="T795" s="2" t="s">
        <v>33</v>
      </c>
    </row>
    <row r="796" spans="1:20" ht="38.25" x14ac:dyDescent="0.25">
      <c r="A796" s="1">
        <v>792</v>
      </c>
      <c r="B796" s="1" t="str">
        <f t="shared" si="76"/>
        <v>2017-2585</v>
      </c>
      <c r="C796" s="2" t="s">
        <v>726</v>
      </c>
      <c r="D796" s="1" t="s">
        <v>727</v>
      </c>
      <c r="E796" s="3" t="str">
        <f>""</f>
        <v/>
      </c>
      <c r="F796" s="2" t="s">
        <v>27</v>
      </c>
      <c r="G796" s="2" t="str">
        <f t="shared" si="77"/>
        <v>PISMORAD D.D., III MALEŠNICA 12, 10000 ZAGREB, OIB: 33260306505</v>
      </c>
      <c r="H796" s="4"/>
      <c r="I796" s="1" t="s">
        <v>332</v>
      </c>
      <c r="J796" s="1" t="s">
        <v>469</v>
      </c>
      <c r="K796" s="6" t="str">
        <f>"94.600,00"</f>
        <v>94.600,00</v>
      </c>
      <c r="L796" s="6" t="str">
        <f>"23.650,00"</f>
        <v>23.650,00</v>
      </c>
      <c r="M796" s="6" t="str">
        <f>"118.250,00"</f>
        <v>118.250,00</v>
      </c>
      <c r="N796" s="5">
        <v>43598</v>
      </c>
      <c r="O796" s="7"/>
      <c r="P796" s="6" t="str">
        <f>"118.250,00"</f>
        <v>118.250,00</v>
      </c>
      <c r="Q796" s="7"/>
      <c r="R796" s="1"/>
      <c r="S796" s="1" t="str">
        <f>"2-19/NOS-81/17"</f>
        <v>2-19/NOS-81/17</v>
      </c>
      <c r="T796" s="2" t="s">
        <v>33</v>
      </c>
    </row>
    <row r="797" spans="1:20" ht="38.25" x14ac:dyDescent="0.25">
      <c r="A797" s="1">
        <v>793</v>
      </c>
      <c r="B797" s="1" t="str">
        <f t="shared" si="76"/>
        <v>2017-2585</v>
      </c>
      <c r="C797" s="2" t="s">
        <v>726</v>
      </c>
      <c r="D797" s="1" t="s">
        <v>727</v>
      </c>
      <c r="E797" s="3" t="str">
        <f>""</f>
        <v/>
      </c>
      <c r="F797" s="2" t="s">
        <v>27</v>
      </c>
      <c r="G797" s="2" t="str">
        <f t="shared" si="77"/>
        <v>PISMORAD D.D., III MALEŠNICA 12, 10000 ZAGREB, OIB: 33260306505</v>
      </c>
      <c r="H797" s="4"/>
      <c r="I797" s="1" t="s">
        <v>579</v>
      </c>
      <c r="J797" s="1" t="s">
        <v>469</v>
      </c>
      <c r="K797" s="6" t="str">
        <f>"4.300,00"</f>
        <v>4.300,00</v>
      </c>
      <c r="L797" s="6" t="str">
        <f>"0,00"</f>
        <v>0,00</v>
      </c>
      <c r="M797" s="6" t="str">
        <f>"0,00"</f>
        <v>0,00</v>
      </c>
      <c r="N797" s="1" t="s">
        <v>117</v>
      </c>
      <c r="O797" s="7"/>
      <c r="P797" s="6" t="str">
        <f>"0,00"</f>
        <v>0,00</v>
      </c>
      <c r="Q797" s="7"/>
      <c r="R797" s="1"/>
      <c r="S797" s="1" t="str">
        <f>"3-19/NOS-81/17"</f>
        <v>3-19/NOS-81/17</v>
      </c>
      <c r="T797" s="2" t="s">
        <v>33</v>
      </c>
    </row>
    <row r="798" spans="1:20" ht="38.25" x14ac:dyDescent="0.25">
      <c r="A798" s="1">
        <v>794</v>
      </c>
      <c r="B798" s="1" t="str">
        <f t="shared" si="76"/>
        <v>2017-2585</v>
      </c>
      <c r="C798" s="2" t="s">
        <v>726</v>
      </c>
      <c r="D798" s="1" t="s">
        <v>727</v>
      </c>
      <c r="E798" s="3" t="str">
        <f>""</f>
        <v/>
      </c>
      <c r="F798" s="2" t="s">
        <v>27</v>
      </c>
      <c r="G798" s="2" t="str">
        <f t="shared" si="77"/>
        <v>PISMORAD D.D., III MALEŠNICA 12, 10000 ZAGREB, OIB: 33260306505</v>
      </c>
      <c r="H798" s="4"/>
      <c r="I798" s="1" t="s">
        <v>638</v>
      </c>
      <c r="J798" s="1" t="s">
        <v>469</v>
      </c>
      <c r="K798" s="6" t="str">
        <f>"22.146,40"</f>
        <v>22.146,40</v>
      </c>
      <c r="L798" s="6" t="str">
        <f>"6.048,72"</f>
        <v>6.048,72</v>
      </c>
      <c r="M798" s="6" t="str">
        <f>"30.243,60"</f>
        <v>30.243,60</v>
      </c>
      <c r="N798" s="5">
        <v>43650</v>
      </c>
      <c r="O798" s="7"/>
      <c r="P798" s="6" t="str">
        <f>"30.243,60"</f>
        <v>30.243,60</v>
      </c>
      <c r="Q798" s="7"/>
      <c r="R798" s="1"/>
      <c r="S798" s="1" t="str">
        <f>"4-19/NOS-81/17"</f>
        <v>4-19/NOS-81/17</v>
      </c>
      <c r="T798" s="2" t="s">
        <v>33</v>
      </c>
    </row>
    <row r="799" spans="1:20" ht="38.25" x14ac:dyDescent="0.25">
      <c r="A799" s="1">
        <v>795</v>
      </c>
      <c r="B799" s="1" t="str">
        <f t="shared" si="76"/>
        <v>2017-2585</v>
      </c>
      <c r="C799" s="2" t="s">
        <v>726</v>
      </c>
      <c r="D799" s="1" t="s">
        <v>727</v>
      </c>
      <c r="E799" s="3" t="str">
        <f>""</f>
        <v/>
      </c>
      <c r="F799" s="2" t="s">
        <v>27</v>
      </c>
      <c r="G799" s="2" t="str">
        <f t="shared" si="77"/>
        <v>PISMORAD D.D., III MALEŠNICA 12, 10000 ZAGREB, OIB: 33260306505</v>
      </c>
      <c r="H799" s="4"/>
      <c r="I799" s="1" t="s">
        <v>638</v>
      </c>
      <c r="J799" s="1" t="s">
        <v>469</v>
      </c>
      <c r="K799" s="6" t="str">
        <f>"12.102,40"</f>
        <v>12.102,40</v>
      </c>
      <c r="L799" s="6" t="str">
        <f>"0,00"</f>
        <v>0,00</v>
      </c>
      <c r="M799" s="6" t="str">
        <f>"0,00"</f>
        <v>0,00</v>
      </c>
      <c r="N799" s="1" t="s">
        <v>117</v>
      </c>
      <c r="O799" s="7"/>
      <c r="P799" s="6" t="str">
        <f>"0,00"</f>
        <v>0,00</v>
      </c>
      <c r="Q799" s="7"/>
      <c r="R799" s="1"/>
      <c r="S799" s="1" t="str">
        <f>"5-19/NOS-81/17"</f>
        <v>5-19/NOS-81/17</v>
      </c>
      <c r="T799" s="2" t="s">
        <v>33</v>
      </c>
    </row>
    <row r="800" spans="1:20" ht="89.25" x14ac:dyDescent="0.25">
      <c r="A800" s="1">
        <v>796</v>
      </c>
      <c r="B800" s="1" t="str">
        <f t="shared" ref="B800:B806" si="78">"2017-396"</f>
        <v>2017-396</v>
      </c>
      <c r="C800" s="2" t="s">
        <v>730</v>
      </c>
      <c r="D800" s="1" t="s">
        <v>731</v>
      </c>
      <c r="E800" s="3" t="str">
        <f>"2017/S F14-0014438"</f>
        <v>2017/S F14-0014438</v>
      </c>
      <c r="F800" s="2" t="s">
        <v>23</v>
      </c>
      <c r="G800" s="2" t="str">
        <f>CONCATENATE("AUTO HRVATSKA PRODAJNO SERVISNI CENTRI D.O.O.,"," ZASTAVNICE 25/C,"," 10251 HRVATSKI LESKOVAC,"," OIB: 87682591133",CHAR(10),"TAHOGRAF D.O.O.,"," DR. FRANJE TUĐMANA 24,"," 10431 SVETA NEDELJA,"," OIB: 73777060562",CHAR(10),"MB AUTO PRODAJNO SERVISNI CENTAR D.O.O.,"," OIB: 68993879966")</f>
        <v>AUTO HRVATSKA PRODAJNO SERVISNI CENTRI D.O.O., ZASTAVNICE 25/C, 10251 HRVATSKI LESKOVAC, OIB: 87682591133
TAHOGRAF D.O.O., DR. FRANJE TUĐMANA 24, 10431 SVETA NEDELJA, OIB: 73777060562
MB AUTO PRODAJNO SERVISNI CENTAR D.O.O., OIB: 68993879966</v>
      </c>
      <c r="H800" s="4"/>
      <c r="I800" s="1" t="s">
        <v>732</v>
      </c>
      <c r="J800" s="1" t="s">
        <v>733</v>
      </c>
      <c r="K800" s="6" t="str">
        <f>"1.060.000,00"</f>
        <v>1.060.000,00</v>
      </c>
      <c r="L800" s="6" t="str">
        <f>"265.000,00"</f>
        <v>265.000,00</v>
      </c>
      <c r="M800" s="6" t="str">
        <f>"1.325.000,00"</f>
        <v>1.325.000,00</v>
      </c>
      <c r="N800" s="7"/>
      <c r="O800" s="7"/>
      <c r="P800" s="6" t="str">
        <f>""</f>
        <v/>
      </c>
      <c r="Q800" s="7"/>
      <c r="R800" s="1"/>
      <c r="S800" s="1" t="str">
        <f>"NOS-82-A/17"</f>
        <v>NOS-82-A/17</v>
      </c>
      <c r="T800" s="2" t="s">
        <v>33</v>
      </c>
    </row>
    <row r="801" spans="1:20" ht="38.25" x14ac:dyDescent="0.25">
      <c r="A801" s="1">
        <v>797</v>
      </c>
      <c r="B801" s="1" t="str">
        <f t="shared" si="78"/>
        <v>2017-396</v>
      </c>
      <c r="C801" s="2" t="s">
        <v>730</v>
      </c>
      <c r="D801" s="1" t="s">
        <v>731</v>
      </c>
      <c r="E801" s="3" t="str">
        <f>""</f>
        <v/>
      </c>
      <c r="F801" s="2" t="s">
        <v>27</v>
      </c>
      <c r="G801" s="2" t="str">
        <f>CONCATENATE("TAHOGRAF D.O.O.,"," DR. FRANJE TUĐMANA 24,"," 10431 SVETA NEDELJA,"," OIB: 73777060562")</f>
        <v>TAHOGRAF D.O.O., DR. FRANJE TUĐMANA 24, 10431 SVETA NEDELJA, OIB: 73777060562</v>
      </c>
      <c r="H801" s="4"/>
      <c r="I801" s="1" t="s">
        <v>257</v>
      </c>
      <c r="J801" s="1" t="s">
        <v>303</v>
      </c>
      <c r="K801" s="6" t="str">
        <f>"25.198,00"</f>
        <v>25.198,00</v>
      </c>
      <c r="L801" s="6" t="str">
        <f>"6.299,50"</f>
        <v>6.299,50</v>
      </c>
      <c r="M801" s="6" t="str">
        <f>"31.497,50"</f>
        <v>31.497,50</v>
      </c>
      <c r="N801" s="5">
        <v>43530</v>
      </c>
      <c r="O801" s="7"/>
      <c r="P801" s="6" t="str">
        <f>"31.497,50"</f>
        <v>31.497,50</v>
      </c>
      <c r="Q801" s="7"/>
      <c r="R801" s="1"/>
      <c r="S801" s="1" t="str">
        <f>"1-19/NOS-82-A/17"</f>
        <v>1-19/NOS-82-A/17</v>
      </c>
      <c r="T801" s="2" t="s">
        <v>33</v>
      </c>
    </row>
    <row r="802" spans="1:20" ht="38.25" x14ac:dyDescent="0.25">
      <c r="A802" s="1">
        <v>798</v>
      </c>
      <c r="B802" s="1" t="str">
        <f t="shared" si="78"/>
        <v>2017-396</v>
      </c>
      <c r="C802" s="2" t="s">
        <v>730</v>
      </c>
      <c r="D802" s="1" t="s">
        <v>731</v>
      </c>
      <c r="E802" s="3" t="str">
        <f>""</f>
        <v/>
      </c>
      <c r="F802" s="2" t="s">
        <v>27</v>
      </c>
      <c r="G802" s="2" t="str">
        <f>CONCATENATE("TAHOGRAF D.O.O.,"," DR. FRANJE TUĐMANA 24,"," 10431 SVETA NEDELJA,"," OIB: 73777060562")</f>
        <v>TAHOGRAF D.O.O., DR. FRANJE TUĐMANA 24, 10431 SVETA NEDELJA, OIB: 73777060562</v>
      </c>
      <c r="H802" s="4"/>
      <c r="I802" s="1" t="s">
        <v>320</v>
      </c>
      <c r="J802" s="1" t="s">
        <v>303</v>
      </c>
      <c r="K802" s="6" t="str">
        <f>"2.802,00"</f>
        <v>2.802,00</v>
      </c>
      <c r="L802" s="6" t="str">
        <f>"700,50"</f>
        <v>700,50</v>
      </c>
      <c r="M802" s="6" t="str">
        <f>"3.502,50"</f>
        <v>3.502,50</v>
      </c>
      <c r="N802" s="5">
        <v>43626</v>
      </c>
      <c r="O802" s="7"/>
      <c r="P802" s="6" t="str">
        <f>"3.502,50"</f>
        <v>3.502,50</v>
      </c>
      <c r="Q802" s="7"/>
      <c r="R802" s="1"/>
      <c r="S802" s="1" t="str">
        <f>"2-19/NOS-82-A/17"</f>
        <v>2-19/NOS-82-A/17</v>
      </c>
      <c r="T802" s="2" t="s">
        <v>33</v>
      </c>
    </row>
    <row r="803" spans="1:20" ht="63.75" x14ac:dyDescent="0.25">
      <c r="A803" s="1">
        <v>799</v>
      </c>
      <c r="B803" s="1" t="str">
        <f t="shared" si="78"/>
        <v>2017-396</v>
      </c>
      <c r="C803" s="2" t="s">
        <v>730</v>
      </c>
      <c r="D803" s="1" t="s">
        <v>731</v>
      </c>
      <c r="E803" s="3" t="str">
        <f>"2017/S F14-0014438"</f>
        <v>2017/S F14-0014438</v>
      </c>
      <c r="F803" s="2" t="s">
        <v>23</v>
      </c>
      <c r="G803" s="2" t="str">
        <f>CONCATENATE("AUTO HRVATSKA PRODAJNO SERVISNI CENTRI D.O.O.,"," ZASTAVNICE 25/C,"," 10251 HRVATSKI LESKOVAC,"," OIB: 87682591133",CHAR(10),"CIAK TRUCK D.O.O.,"," STUPNIČKE ŠIPKOVINE 1,"," 10255 GORNJI STUPNIK,"," OIB: 789690718")</f>
        <v>AUTO HRVATSKA PRODAJNO SERVISNI CENTRI D.O.O., ZASTAVNICE 25/C, 10251 HRVATSKI LESKOVAC, OIB: 87682591133
CIAK TRUCK D.O.O., STUPNIČKE ŠIPKOVINE 1, 10255 GORNJI STUPNIK, OIB: 789690718</v>
      </c>
      <c r="H803" s="4"/>
      <c r="I803" s="1" t="s">
        <v>734</v>
      </c>
      <c r="J803" s="1" t="s">
        <v>735</v>
      </c>
      <c r="K803" s="6" t="str">
        <f>"200.000,00"</f>
        <v>200.000,00</v>
      </c>
      <c r="L803" s="6" t="str">
        <f>"50.000,00"</f>
        <v>50.000,00</v>
      </c>
      <c r="M803" s="6" t="str">
        <f>"250.000,00"</f>
        <v>250.000,00</v>
      </c>
      <c r="N803" s="7"/>
      <c r="O803" s="7"/>
      <c r="P803" s="6" t="str">
        <f>""</f>
        <v/>
      </c>
      <c r="Q803" s="7"/>
      <c r="R803" s="1"/>
      <c r="S803" s="1" t="str">
        <f>"NOS-82-B/17"</f>
        <v>NOS-82-B/17</v>
      </c>
      <c r="T803" s="2" t="s">
        <v>33</v>
      </c>
    </row>
    <row r="804" spans="1:20" ht="38.25" x14ac:dyDescent="0.25">
      <c r="A804" s="1">
        <v>800</v>
      </c>
      <c r="B804" s="1" t="str">
        <f t="shared" si="78"/>
        <v>2017-396</v>
      </c>
      <c r="C804" s="2" t="s">
        <v>730</v>
      </c>
      <c r="D804" s="1" t="s">
        <v>731</v>
      </c>
      <c r="E804" s="3" t="str">
        <f>""</f>
        <v/>
      </c>
      <c r="F804" s="2" t="s">
        <v>27</v>
      </c>
      <c r="G804" s="2" t="str">
        <f>CONCATENATE("AUTO HRVATSKA PRODAJNO SERVISNI CENTRI D.O.O.,"," ZASTAVNICE 25/C,"," 10251 HRVATSKI LESKOVAC,"," OIB: 87682591133")</f>
        <v>AUTO HRVATSKA PRODAJNO SERVISNI CENTRI D.O.O., ZASTAVNICE 25/C, 10251 HRVATSKI LESKOVAC, OIB: 87682591133</v>
      </c>
      <c r="H804" s="4"/>
      <c r="I804" s="1" t="s">
        <v>195</v>
      </c>
      <c r="J804" s="1" t="s">
        <v>303</v>
      </c>
      <c r="K804" s="6" t="str">
        <f>"345,00"</f>
        <v>345,00</v>
      </c>
      <c r="L804" s="6" t="str">
        <f>"86,25"</f>
        <v>86,25</v>
      </c>
      <c r="M804" s="6" t="str">
        <f>"431,25"</f>
        <v>431,25</v>
      </c>
      <c r="N804" s="5">
        <v>43525</v>
      </c>
      <c r="O804" s="7"/>
      <c r="P804" s="6" t="str">
        <f>"431,25"</f>
        <v>431,25</v>
      </c>
      <c r="Q804" s="7"/>
      <c r="R804" s="1"/>
      <c r="S804" s="1" t="str">
        <f>"1-19/NOS-82-B/17"</f>
        <v>1-19/NOS-82-B/17</v>
      </c>
      <c r="T804" s="2" t="s">
        <v>33</v>
      </c>
    </row>
    <row r="805" spans="1:20" ht="38.25" x14ac:dyDescent="0.25">
      <c r="A805" s="1">
        <v>801</v>
      </c>
      <c r="B805" s="1" t="str">
        <f t="shared" si="78"/>
        <v>2017-396</v>
      </c>
      <c r="C805" s="2" t="s">
        <v>730</v>
      </c>
      <c r="D805" s="1" t="s">
        <v>731</v>
      </c>
      <c r="E805" s="3" t="str">
        <f>""</f>
        <v/>
      </c>
      <c r="F805" s="2" t="s">
        <v>27</v>
      </c>
      <c r="G805" s="2" t="str">
        <f>CONCATENATE("AUTO HRVATSKA PRODAJNO SERVISNI CENTRI D.O.O.,"," ZASTAVNICE 25/C,"," 10251 HRVATSKI LESKOVAC,"," OIB: 87682591133")</f>
        <v>AUTO HRVATSKA PRODAJNO SERVISNI CENTRI D.O.O., ZASTAVNICE 25/C, 10251 HRVATSKI LESKOVAC, OIB: 87682591133</v>
      </c>
      <c r="H805" s="4"/>
      <c r="I805" s="1" t="s">
        <v>302</v>
      </c>
      <c r="J805" s="1" t="s">
        <v>303</v>
      </c>
      <c r="K805" s="6" t="str">
        <f>"345,00"</f>
        <v>345,00</v>
      </c>
      <c r="L805" s="6" t="str">
        <f>"86,25"</f>
        <v>86,25</v>
      </c>
      <c r="M805" s="6" t="str">
        <f>"431,25"</f>
        <v>431,25</v>
      </c>
      <c r="N805" s="5">
        <v>43557</v>
      </c>
      <c r="O805" s="7"/>
      <c r="P805" s="6" t="str">
        <f>"431,25"</f>
        <v>431,25</v>
      </c>
      <c r="Q805" s="7"/>
      <c r="R805" s="1"/>
      <c r="S805" s="1" t="str">
        <f>"2-19/NOS-82-B/17"</f>
        <v>2-19/NOS-82-B/17</v>
      </c>
      <c r="T805" s="2" t="s">
        <v>33</v>
      </c>
    </row>
    <row r="806" spans="1:20" ht="63.75" x14ac:dyDescent="0.25">
      <c r="A806" s="1">
        <v>802</v>
      </c>
      <c r="B806" s="1" t="str">
        <f t="shared" si="78"/>
        <v>2017-396</v>
      </c>
      <c r="C806" s="2" t="s">
        <v>730</v>
      </c>
      <c r="D806" s="1" t="s">
        <v>731</v>
      </c>
      <c r="E806" s="3" t="str">
        <f>"2017/S F14-0014438"</f>
        <v>2017/S F14-0014438</v>
      </c>
      <c r="F806" s="2" t="s">
        <v>23</v>
      </c>
      <c r="G806" s="2" t="str">
        <f>CONCATENATE("AUTO HRVATSKA PRODAJNO SERVISNI CENTRI D.O.O.,"," ZASTAVNICE 25/C,"," 10251 HRVATSKI LESKOVAC,"," OIB: 87682591133",CHAR(10),"MB AUTO PRODAJNO SERVISNI CENTAR D.O.O.,"," OIB: 68993879966")</f>
        <v>AUTO HRVATSKA PRODAJNO SERVISNI CENTRI D.O.O., ZASTAVNICE 25/C, 10251 HRVATSKI LESKOVAC, OIB: 87682591133
MB AUTO PRODAJNO SERVISNI CENTAR D.O.O., OIB: 68993879966</v>
      </c>
      <c r="H806" s="4"/>
      <c r="I806" s="1" t="s">
        <v>732</v>
      </c>
      <c r="J806" s="1" t="s">
        <v>733</v>
      </c>
      <c r="K806" s="6" t="str">
        <f>"140.000,00"</f>
        <v>140.000,00</v>
      </c>
      <c r="L806" s="6" t="str">
        <f>"35.000,00"</f>
        <v>35.000,00</v>
      </c>
      <c r="M806" s="6" t="str">
        <f>"175.000,00"</f>
        <v>175.000,00</v>
      </c>
      <c r="N806" s="7"/>
      <c r="O806" s="7"/>
      <c r="P806" s="6" t="str">
        <f>""</f>
        <v/>
      </c>
      <c r="Q806" s="7"/>
      <c r="R806" s="1"/>
      <c r="S806" s="1" t="str">
        <f>"NOS-82-C/17"</f>
        <v>NOS-82-C/17</v>
      </c>
      <c r="T806" s="2" t="s">
        <v>33</v>
      </c>
    </row>
    <row r="807" spans="1:20" ht="63.75" x14ac:dyDescent="0.25">
      <c r="A807" s="1">
        <v>803</v>
      </c>
      <c r="B807" s="1" t="str">
        <f t="shared" ref="B807:B820" si="79">"2017-365"</f>
        <v>2017-365</v>
      </c>
      <c r="C807" s="2" t="s">
        <v>736</v>
      </c>
      <c r="D807" s="1" t="s">
        <v>737</v>
      </c>
      <c r="E807" s="3" t="str">
        <f>"2017/S 0F2-0010779"</f>
        <v>2017/S 0F2-0010779</v>
      </c>
      <c r="F807" s="2" t="s">
        <v>23</v>
      </c>
      <c r="G807" s="2" t="str">
        <f t="shared" ref="G807:G813" si="80">CONCATENATE("INA MAZIVA D.O.O.,"," RADNIČKA CESTA 175,"," 10000 ZAGREB,"," OIB: 63988426425")</f>
        <v>INA MAZIVA D.O.O., RADNIČKA CESTA 175, 10000 ZAGREB, OIB: 63988426425</v>
      </c>
      <c r="H807" s="4"/>
      <c r="I807" s="1" t="s">
        <v>738</v>
      </c>
      <c r="J807" s="1" t="s">
        <v>739</v>
      </c>
      <c r="K807" s="6" t="str">
        <f>"5.206.000,00"</f>
        <v>5.206.000,00</v>
      </c>
      <c r="L807" s="6" t="str">
        <f>"1.301.500,00"</f>
        <v>1.301.500,00</v>
      </c>
      <c r="M807" s="6" t="str">
        <f>"6.507.500,00"</f>
        <v>6.507.500,00</v>
      </c>
      <c r="N807" s="7"/>
      <c r="O807" s="7"/>
      <c r="P807" s="6" t="str">
        <f>""</f>
        <v/>
      </c>
      <c r="Q807" s="7"/>
      <c r="R807" s="1"/>
      <c r="S807" s="1" t="str">
        <f>"NOS-83-A/17"</f>
        <v>NOS-83-A/17</v>
      </c>
      <c r="T807" s="2" t="s">
        <v>79</v>
      </c>
    </row>
    <row r="808" spans="1:20" ht="25.5" x14ac:dyDescent="0.25">
      <c r="A808" s="1">
        <v>804</v>
      </c>
      <c r="B808" s="1" t="str">
        <f t="shared" si="79"/>
        <v>2017-365</v>
      </c>
      <c r="C808" s="2" t="s">
        <v>736</v>
      </c>
      <c r="D808" s="1" t="s">
        <v>737</v>
      </c>
      <c r="E808" s="3" t="str">
        <f>""</f>
        <v/>
      </c>
      <c r="F808" s="2" t="s">
        <v>27</v>
      </c>
      <c r="G808" s="2" t="str">
        <f t="shared" si="80"/>
        <v>INA MAZIVA D.O.O., RADNIČKA CESTA 175, 10000 ZAGREB, OIB: 63988426425</v>
      </c>
      <c r="H808" s="4"/>
      <c r="I808" s="1" t="s">
        <v>740</v>
      </c>
      <c r="J808" s="1" t="s">
        <v>64</v>
      </c>
      <c r="K808" s="6" t="str">
        <f>"157.637,50"</f>
        <v>157.637,50</v>
      </c>
      <c r="L808" s="6" t="str">
        <f>"39.409,38"</f>
        <v>39.409,38</v>
      </c>
      <c r="M808" s="6" t="str">
        <f>"197.046,88"</f>
        <v>197.046,88</v>
      </c>
      <c r="N808" s="5">
        <v>43585</v>
      </c>
      <c r="O808" s="7"/>
      <c r="P808" s="6" t="str">
        <f>"197.003,12"</f>
        <v>197.003,12</v>
      </c>
      <c r="Q808" s="7"/>
      <c r="R808" s="1"/>
      <c r="S808" s="1" t="str">
        <f>"10-18/NOS-83-A/17"</f>
        <v>10-18/NOS-83-A/17</v>
      </c>
      <c r="T808" s="2" t="s">
        <v>33</v>
      </c>
    </row>
    <row r="809" spans="1:20" ht="25.5" x14ac:dyDescent="0.25">
      <c r="A809" s="1">
        <v>805</v>
      </c>
      <c r="B809" s="1" t="str">
        <f t="shared" si="79"/>
        <v>2017-365</v>
      </c>
      <c r="C809" s="2" t="s">
        <v>736</v>
      </c>
      <c r="D809" s="1" t="s">
        <v>737</v>
      </c>
      <c r="E809" s="3" t="str">
        <f>""</f>
        <v/>
      </c>
      <c r="F809" s="2" t="s">
        <v>27</v>
      </c>
      <c r="G809" s="2" t="str">
        <f t="shared" si="80"/>
        <v>INA MAZIVA D.O.O., RADNIČKA CESTA 175, 10000 ZAGREB, OIB: 63988426425</v>
      </c>
      <c r="H809" s="4"/>
      <c r="I809" s="1" t="s">
        <v>139</v>
      </c>
      <c r="J809" s="1" t="s">
        <v>140</v>
      </c>
      <c r="K809" s="6" t="str">
        <f>"67.823,00"</f>
        <v>67.823,00</v>
      </c>
      <c r="L809" s="6" t="str">
        <f>"16.955,75"</f>
        <v>16.955,75</v>
      </c>
      <c r="M809" s="6" t="str">
        <f>"84.778,75"</f>
        <v>84.778,75</v>
      </c>
      <c r="N809" s="5">
        <v>43510</v>
      </c>
      <c r="O809" s="7"/>
      <c r="P809" s="6" t="str">
        <f>"87.163,12"</f>
        <v>87.163,12</v>
      </c>
      <c r="Q809" s="7"/>
      <c r="R809" s="1"/>
      <c r="S809" s="1" t="str">
        <f>"12-18/NOS-83-A/17"</f>
        <v>12-18/NOS-83-A/17</v>
      </c>
      <c r="T809" s="2" t="s">
        <v>33</v>
      </c>
    </row>
    <row r="810" spans="1:20" ht="25.5" x14ac:dyDescent="0.25">
      <c r="A810" s="1">
        <v>806</v>
      </c>
      <c r="B810" s="1" t="str">
        <f t="shared" si="79"/>
        <v>2017-365</v>
      </c>
      <c r="C810" s="2" t="s">
        <v>736</v>
      </c>
      <c r="D810" s="1" t="s">
        <v>737</v>
      </c>
      <c r="E810" s="3" t="str">
        <f>""</f>
        <v/>
      </c>
      <c r="F810" s="2" t="s">
        <v>27</v>
      </c>
      <c r="G810" s="2" t="str">
        <f t="shared" si="80"/>
        <v>INA MAZIVA D.O.O., RADNIČKA CESTA 175, 10000 ZAGREB, OIB: 63988426425</v>
      </c>
      <c r="H810" s="4"/>
      <c r="I810" s="1" t="s">
        <v>240</v>
      </c>
      <c r="J810" s="1" t="s">
        <v>64</v>
      </c>
      <c r="K810" s="6" t="str">
        <f>"39.829,50"</f>
        <v>39.829,50</v>
      </c>
      <c r="L810" s="6" t="str">
        <f>"9.957,38"</f>
        <v>9.957,38</v>
      </c>
      <c r="M810" s="6" t="str">
        <f>"49.786,88"</f>
        <v>49.786,88</v>
      </c>
      <c r="N810" s="5">
        <v>43581</v>
      </c>
      <c r="O810" s="7"/>
      <c r="P810" s="6" t="str">
        <f>"49.769,00"</f>
        <v>49.769,00</v>
      </c>
      <c r="Q810" s="7"/>
      <c r="R810" s="1"/>
      <c r="S810" s="1" t="str">
        <f>"1-19/NOS-83-A/17"</f>
        <v>1-19/NOS-83-A/17</v>
      </c>
      <c r="T810" s="2" t="s">
        <v>33</v>
      </c>
    </row>
    <row r="811" spans="1:20" ht="38.25" x14ac:dyDescent="0.25">
      <c r="A811" s="1">
        <v>807</v>
      </c>
      <c r="B811" s="1" t="str">
        <f t="shared" si="79"/>
        <v>2017-365</v>
      </c>
      <c r="C811" s="2" t="s">
        <v>736</v>
      </c>
      <c r="D811" s="1" t="s">
        <v>737</v>
      </c>
      <c r="E811" s="3" t="str">
        <f>""</f>
        <v/>
      </c>
      <c r="F811" s="2" t="s">
        <v>27</v>
      </c>
      <c r="G811" s="2" t="str">
        <f t="shared" si="80"/>
        <v>INA MAZIVA D.O.O., RADNIČKA CESTA 175, 10000 ZAGREB, OIB: 63988426425</v>
      </c>
      <c r="H811" s="4"/>
      <c r="I811" s="1" t="s">
        <v>220</v>
      </c>
      <c r="J811" s="1" t="s">
        <v>355</v>
      </c>
      <c r="K811" s="6" t="str">
        <f>"58.742,00"</f>
        <v>58.742,00</v>
      </c>
      <c r="L811" s="6" t="str">
        <f>"14.685,50"</f>
        <v>14.685,50</v>
      </c>
      <c r="M811" s="6" t="str">
        <f>"73.427,50"</f>
        <v>73.427,50</v>
      </c>
      <c r="N811" s="5">
        <v>43588</v>
      </c>
      <c r="O811" s="7"/>
      <c r="P811" s="6" t="str">
        <f>"73.648,75"</f>
        <v>73.648,75</v>
      </c>
      <c r="Q811" s="7"/>
      <c r="R811" s="1"/>
      <c r="S811" s="1" t="str">
        <f>"2-19/NOS-83-A/17"</f>
        <v>2-19/NOS-83-A/17</v>
      </c>
      <c r="T811" s="2" t="s">
        <v>26</v>
      </c>
    </row>
    <row r="812" spans="1:20" ht="38.25" x14ac:dyDescent="0.25">
      <c r="A812" s="1">
        <v>808</v>
      </c>
      <c r="B812" s="1" t="str">
        <f t="shared" si="79"/>
        <v>2017-365</v>
      </c>
      <c r="C812" s="2" t="s">
        <v>736</v>
      </c>
      <c r="D812" s="1" t="s">
        <v>737</v>
      </c>
      <c r="E812" s="3" t="str">
        <f>""</f>
        <v/>
      </c>
      <c r="F812" s="2" t="s">
        <v>27</v>
      </c>
      <c r="G812" s="2" t="str">
        <f t="shared" si="80"/>
        <v>INA MAZIVA D.O.O., RADNIČKA CESTA 175, 10000 ZAGREB, OIB: 63988426425</v>
      </c>
      <c r="H812" s="4"/>
      <c r="I812" s="1" t="s">
        <v>494</v>
      </c>
      <c r="J812" s="1" t="s">
        <v>456</v>
      </c>
      <c r="K812" s="6" t="str">
        <f>"25.526,00"</f>
        <v>25.526,00</v>
      </c>
      <c r="L812" s="6" t="str">
        <f>"6.381,50"</f>
        <v>6.381,50</v>
      </c>
      <c r="M812" s="6" t="str">
        <f>"31.907,50"</f>
        <v>31.907,50</v>
      </c>
      <c r="N812" s="5">
        <v>43616</v>
      </c>
      <c r="O812" s="7"/>
      <c r="P812" s="6" t="str">
        <f>"28.063,75"</f>
        <v>28.063,75</v>
      </c>
      <c r="Q812" s="7"/>
      <c r="R812" s="1"/>
      <c r="S812" s="1" t="str">
        <f>"5-19/NOS-83-A/17"</f>
        <v>5-19/NOS-83-A/17</v>
      </c>
      <c r="T812" s="2" t="s">
        <v>26</v>
      </c>
    </row>
    <row r="813" spans="1:20" ht="38.25" x14ac:dyDescent="0.25">
      <c r="A813" s="1">
        <v>809</v>
      </c>
      <c r="B813" s="1" t="str">
        <f t="shared" si="79"/>
        <v>2017-365</v>
      </c>
      <c r="C813" s="2" t="s">
        <v>736</v>
      </c>
      <c r="D813" s="1" t="s">
        <v>737</v>
      </c>
      <c r="E813" s="3" t="str">
        <f>""</f>
        <v/>
      </c>
      <c r="F813" s="2" t="s">
        <v>27</v>
      </c>
      <c r="G813" s="2" t="str">
        <f t="shared" si="80"/>
        <v>INA MAZIVA D.O.O., RADNIČKA CESTA 175, 10000 ZAGREB, OIB: 63988426425</v>
      </c>
      <c r="H813" s="4"/>
      <c r="I813" s="1" t="s">
        <v>639</v>
      </c>
      <c r="J813" s="1" t="s">
        <v>457</v>
      </c>
      <c r="K813" s="6" t="str">
        <f>"77.009,00"</f>
        <v>77.009,00</v>
      </c>
      <c r="L813" s="6" t="str">
        <f>"19.252,25"</f>
        <v>19.252,25</v>
      </c>
      <c r="M813" s="6" t="str">
        <f>"96.261,25"</f>
        <v>96.261,25</v>
      </c>
      <c r="N813" s="5">
        <v>43646</v>
      </c>
      <c r="O813" s="7"/>
      <c r="P813" s="6" t="str">
        <f>"88.563,20"</f>
        <v>88.563,20</v>
      </c>
      <c r="Q813" s="7"/>
      <c r="R813" s="1"/>
      <c r="S813" s="1" t="str">
        <f>"6-19/NOS-83-A/17"</f>
        <v>6-19/NOS-83-A/17</v>
      </c>
      <c r="T813" s="2" t="s">
        <v>26</v>
      </c>
    </row>
    <row r="814" spans="1:20" ht="63.75" x14ac:dyDescent="0.25">
      <c r="A814" s="1">
        <v>810</v>
      </c>
      <c r="B814" s="1" t="str">
        <f t="shared" si="79"/>
        <v>2017-365</v>
      </c>
      <c r="C814" s="2" t="s">
        <v>736</v>
      </c>
      <c r="D814" s="1" t="s">
        <v>737</v>
      </c>
      <c r="E814" s="3" t="str">
        <f>"2017/S 0F2-0010779"</f>
        <v>2017/S 0F2-0010779</v>
      </c>
      <c r="F814" s="2" t="s">
        <v>23</v>
      </c>
      <c r="G814" s="2" t="str">
        <f>CONCATENATE("C.I.A.K. D.O.O.,"," OIB: 47428597158",CHAR(10),"TRGOMETAL D.O.O.,"," KOVINSKA 4,"," 10090 ZAGREB-SUSEDGRAD,"," OIB: 26004523816",CHAR(10),"INA MAZIVA D.O.O.,"," RADNIČKA CESTA 175,"," 10000 ZAGREB,"," OIB: 63988426425")</f>
        <v>C.I.A.K. D.O.O., OIB: 47428597158
TRGOMETAL D.O.O., KOVINSKA 4, 10090 ZAGREB-SUSEDGRAD, OIB: 26004523816
INA MAZIVA D.O.O., RADNIČKA CESTA 175, 10000 ZAGREB, OIB: 63988426425</v>
      </c>
      <c r="H814" s="4"/>
      <c r="I814" s="1" t="s">
        <v>738</v>
      </c>
      <c r="J814" s="1" t="s">
        <v>739</v>
      </c>
      <c r="K814" s="6" t="str">
        <f>"600.000,00"</f>
        <v>600.000,00</v>
      </c>
      <c r="L814" s="6" t="str">
        <f>"150.000,00"</f>
        <v>150.000,00</v>
      </c>
      <c r="M814" s="6" t="str">
        <f>"750.000,00"</f>
        <v>750.000,00</v>
      </c>
      <c r="N814" s="7"/>
      <c r="O814" s="7"/>
      <c r="P814" s="6" t="str">
        <f>""</f>
        <v/>
      </c>
      <c r="Q814" s="7"/>
      <c r="R814" s="1"/>
      <c r="S814" s="1" t="str">
        <f>"NOS-83-B/17"</f>
        <v>NOS-83-B/17</v>
      </c>
      <c r="T814" s="2" t="s">
        <v>79</v>
      </c>
    </row>
    <row r="815" spans="1:20" ht="25.5" x14ac:dyDescent="0.25">
      <c r="A815" s="1">
        <v>811</v>
      </c>
      <c r="B815" s="1" t="str">
        <f t="shared" si="79"/>
        <v>2017-365</v>
      </c>
      <c r="C815" s="2" t="s">
        <v>736</v>
      </c>
      <c r="D815" s="1" t="s">
        <v>737</v>
      </c>
      <c r="E815" s="3" t="str">
        <f>""</f>
        <v/>
      </c>
      <c r="F815" s="2" t="s">
        <v>27</v>
      </c>
      <c r="G815" s="2" t="str">
        <f t="shared" ref="G815:G820" si="81">CONCATENATE("INA MAZIVA D.O.O.,"," RADNIČKA CESTA 175,"," 10000 ZAGREB,"," OIB: 63988426425")</f>
        <v>INA MAZIVA D.O.O., RADNIČKA CESTA 175, 10000 ZAGREB, OIB: 63988426425</v>
      </c>
      <c r="H815" s="4"/>
      <c r="I815" s="1" t="s">
        <v>740</v>
      </c>
      <c r="J815" s="1" t="s">
        <v>64</v>
      </c>
      <c r="K815" s="6" t="str">
        <f>"15.978,00"</f>
        <v>15.978,00</v>
      </c>
      <c r="L815" s="6" t="str">
        <f>"3.994,50"</f>
        <v>3.994,50</v>
      </c>
      <c r="M815" s="6" t="str">
        <f>"19.972,50"</f>
        <v>19.972,50</v>
      </c>
      <c r="N815" s="5">
        <v>43587</v>
      </c>
      <c r="O815" s="7"/>
      <c r="P815" s="6" t="str">
        <f>"19.410,00"</f>
        <v>19.410,00</v>
      </c>
      <c r="Q815" s="7"/>
      <c r="R815" s="1"/>
      <c r="S815" s="1" t="str">
        <f>"9-18/NOS-83-B/17"</f>
        <v>9-18/NOS-83-B/17</v>
      </c>
      <c r="T815" s="2" t="s">
        <v>33</v>
      </c>
    </row>
    <row r="816" spans="1:20" ht="25.5" x14ac:dyDescent="0.25">
      <c r="A816" s="1">
        <v>812</v>
      </c>
      <c r="B816" s="1" t="str">
        <f t="shared" si="79"/>
        <v>2017-365</v>
      </c>
      <c r="C816" s="2" t="s">
        <v>736</v>
      </c>
      <c r="D816" s="1" t="s">
        <v>737</v>
      </c>
      <c r="E816" s="3" t="str">
        <f>""</f>
        <v/>
      </c>
      <c r="F816" s="2" t="s">
        <v>27</v>
      </c>
      <c r="G816" s="2" t="str">
        <f t="shared" si="81"/>
        <v>INA MAZIVA D.O.O., RADNIČKA CESTA 175, 10000 ZAGREB, OIB: 63988426425</v>
      </c>
      <c r="H816" s="4"/>
      <c r="I816" s="1" t="s">
        <v>159</v>
      </c>
      <c r="J816" s="1" t="s">
        <v>140</v>
      </c>
      <c r="K816" s="6" t="str">
        <f>"8.880,00"</f>
        <v>8.880,00</v>
      </c>
      <c r="L816" s="6" t="str">
        <f>"2.220,00"</f>
        <v>2.220,00</v>
      </c>
      <c r="M816" s="6" t="str">
        <f>"11.100,00"</f>
        <v>11.100,00</v>
      </c>
      <c r="N816" s="5">
        <v>43462</v>
      </c>
      <c r="O816" s="7"/>
      <c r="P816" s="6" t="str">
        <f>"10.635,00"</f>
        <v>10.635,00</v>
      </c>
      <c r="Q816" s="7"/>
      <c r="R816" s="1"/>
      <c r="S816" s="1" t="str">
        <f>"11-18/NOS-83-B/17"</f>
        <v>11-18/NOS-83-B/17</v>
      </c>
      <c r="T816" s="2" t="s">
        <v>33</v>
      </c>
    </row>
    <row r="817" spans="1:20" ht="25.5" x14ac:dyDescent="0.25">
      <c r="A817" s="1">
        <v>813</v>
      </c>
      <c r="B817" s="1" t="str">
        <f t="shared" si="79"/>
        <v>2017-365</v>
      </c>
      <c r="C817" s="2" t="s">
        <v>736</v>
      </c>
      <c r="D817" s="1" t="s">
        <v>737</v>
      </c>
      <c r="E817" s="3" t="str">
        <f>""</f>
        <v/>
      </c>
      <c r="F817" s="2" t="s">
        <v>27</v>
      </c>
      <c r="G817" s="2" t="str">
        <f t="shared" si="81"/>
        <v>INA MAZIVA D.O.O., RADNIČKA CESTA 175, 10000 ZAGREB, OIB: 63988426425</v>
      </c>
      <c r="H817" s="4"/>
      <c r="I817" s="1" t="s">
        <v>351</v>
      </c>
      <c r="J817" s="1" t="s">
        <v>64</v>
      </c>
      <c r="K817" s="6" t="str">
        <f>"2.694,00"</f>
        <v>2.694,00</v>
      </c>
      <c r="L817" s="6" t="str">
        <f>"673,50"</f>
        <v>673,50</v>
      </c>
      <c r="M817" s="6" t="str">
        <f>"3.367,50"</f>
        <v>3.367,50</v>
      </c>
      <c r="N817" s="5">
        <v>43549</v>
      </c>
      <c r="O817" s="7"/>
      <c r="P817" s="6" t="str">
        <f>"3.367,50"</f>
        <v>3.367,50</v>
      </c>
      <c r="Q817" s="7"/>
      <c r="R817" s="1"/>
      <c r="S817" s="1" t="str">
        <f>"1-19/NOS-83-B/17"</f>
        <v>1-19/NOS-83-B/17</v>
      </c>
      <c r="T817" s="2" t="s">
        <v>33</v>
      </c>
    </row>
    <row r="818" spans="1:20" ht="38.25" x14ac:dyDescent="0.25">
      <c r="A818" s="1">
        <v>814</v>
      </c>
      <c r="B818" s="1" t="str">
        <f t="shared" si="79"/>
        <v>2017-365</v>
      </c>
      <c r="C818" s="2" t="s">
        <v>736</v>
      </c>
      <c r="D818" s="1" t="s">
        <v>737</v>
      </c>
      <c r="E818" s="3" t="str">
        <f>""</f>
        <v/>
      </c>
      <c r="F818" s="2" t="s">
        <v>27</v>
      </c>
      <c r="G818" s="2" t="str">
        <f t="shared" si="81"/>
        <v>INA MAZIVA D.O.O., RADNIČKA CESTA 175, 10000 ZAGREB, OIB: 63988426425</v>
      </c>
      <c r="H818" s="4"/>
      <c r="I818" s="1" t="s">
        <v>30</v>
      </c>
      <c r="J818" s="1" t="s">
        <v>355</v>
      </c>
      <c r="K818" s="6" t="str">
        <f>"6.665,00"</f>
        <v>6.665,00</v>
      </c>
      <c r="L818" s="6" t="str">
        <f>"1.666,25"</f>
        <v>1.666,25</v>
      </c>
      <c r="M818" s="6" t="str">
        <f>"8.331,25"</f>
        <v>8.331,25</v>
      </c>
      <c r="N818" s="5">
        <v>43585</v>
      </c>
      <c r="O818" s="7"/>
      <c r="P818" s="6" t="str">
        <f>"8.331,25"</f>
        <v>8.331,25</v>
      </c>
      <c r="Q818" s="7"/>
      <c r="R818" s="1"/>
      <c r="S818" s="1" t="str">
        <f>"2-19/NOS-83-B/17"</f>
        <v>2-19/NOS-83-B/17</v>
      </c>
      <c r="T818" s="2" t="s">
        <v>26</v>
      </c>
    </row>
    <row r="819" spans="1:20" ht="25.5" x14ac:dyDescent="0.25">
      <c r="A819" s="1">
        <v>815</v>
      </c>
      <c r="B819" s="1" t="str">
        <f t="shared" si="79"/>
        <v>2017-365</v>
      </c>
      <c r="C819" s="2" t="s">
        <v>736</v>
      </c>
      <c r="D819" s="1" t="s">
        <v>737</v>
      </c>
      <c r="E819" s="3" t="str">
        <f>""</f>
        <v/>
      </c>
      <c r="F819" s="2" t="s">
        <v>27</v>
      </c>
      <c r="G819" s="2" t="str">
        <f t="shared" si="81"/>
        <v>INA MAZIVA D.O.O., RADNIČKA CESTA 175, 10000 ZAGREB, OIB: 63988426425</v>
      </c>
      <c r="H819" s="4"/>
      <c r="I819" s="1" t="s">
        <v>361</v>
      </c>
      <c r="J819" s="1" t="s">
        <v>37</v>
      </c>
      <c r="K819" s="6" t="str">
        <f>"4.000,00"</f>
        <v>4.000,00</v>
      </c>
      <c r="L819" s="6" t="str">
        <f>"1.000,00"</f>
        <v>1.000,00</v>
      </c>
      <c r="M819" s="6" t="str">
        <f>"5.000,00"</f>
        <v>5.000,00</v>
      </c>
      <c r="N819" s="5">
        <v>43614</v>
      </c>
      <c r="O819" s="7"/>
      <c r="P819" s="6" t="str">
        <f>"5.000,00"</f>
        <v>5.000,00</v>
      </c>
      <c r="Q819" s="7"/>
      <c r="R819" s="1"/>
      <c r="S819" s="1" t="str">
        <f>"3-19/NOS-83-B/17"</f>
        <v>3-19/NOS-83-B/17</v>
      </c>
      <c r="T819" s="2" t="s">
        <v>33</v>
      </c>
    </row>
    <row r="820" spans="1:20" ht="25.5" x14ac:dyDescent="0.25">
      <c r="A820" s="1">
        <v>816</v>
      </c>
      <c r="B820" s="1" t="str">
        <f t="shared" si="79"/>
        <v>2017-365</v>
      </c>
      <c r="C820" s="2" t="s">
        <v>736</v>
      </c>
      <c r="D820" s="1" t="s">
        <v>737</v>
      </c>
      <c r="E820" s="3" t="str">
        <f>""</f>
        <v/>
      </c>
      <c r="F820" s="2" t="s">
        <v>27</v>
      </c>
      <c r="G820" s="2" t="str">
        <f t="shared" si="81"/>
        <v>INA MAZIVA D.O.O., RADNIČKA CESTA 175, 10000 ZAGREB, OIB: 63988426425</v>
      </c>
      <c r="H820" s="4"/>
      <c r="I820" s="1" t="s">
        <v>440</v>
      </c>
      <c r="J820" s="1" t="s">
        <v>404</v>
      </c>
      <c r="K820" s="6" t="str">
        <f>"7.182,00"</f>
        <v>7.182,00</v>
      </c>
      <c r="L820" s="6" t="str">
        <f>"1.795,50"</f>
        <v>1.795,50</v>
      </c>
      <c r="M820" s="6" t="str">
        <f>"8.977,50"</f>
        <v>8.977,50</v>
      </c>
      <c r="N820" s="5">
        <v>43672</v>
      </c>
      <c r="O820" s="7"/>
      <c r="P820" s="6" t="str">
        <f>"8.977,50"</f>
        <v>8.977,50</v>
      </c>
      <c r="Q820" s="7"/>
      <c r="R820" s="1"/>
      <c r="S820" s="1" t="str">
        <f>"4-19/NOS-83-B/17"</f>
        <v>4-19/NOS-83-B/17</v>
      </c>
      <c r="T820" s="2" t="s">
        <v>33</v>
      </c>
    </row>
    <row r="821" spans="1:20" ht="140.25" x14ac:dyDescent="0.25">
      <c r="A821" s="1">
        <v>817</v>
      </c>
      <c r="B821" s="1" t="str">
        <f>"2017-381"</f>
        <v>2017-381</v>
      </c>
      <c r="C821" s="2" t="s">
        <v>741</v>
      </c>
      <c r="D821" s="1" t="s">
        <v>742</v>
      </c>
      <c r="E821" s="3" t="str">
        <f>"2017/S F14-0008206"</f>
        <v>2017/S F14-0008206</v>
      </c>
      <c r="F821" s="2" t="s">
        <v>23</v>
      </c>
      <c r="G821" s="2" t="str">
        <f>CONCATENATE("TAHOGRAF D.O.O.,"," DR. FRANJE TUĐMANA 24,"," 10431 SVETA NEDELJA,"," OIB: 73777060562",CHAR(10),"MOTOMARINER D.O.O.,"," JOŽE VLAHOVIĆA 16,"," 51000 RIJEKA,"," OIB: 97340283479",CHAR(10),"DDSERVIS D.O.O.,"," SISAČKA CESTA III ODVOJAK 7,"," 10020 ZAGREB,"," OIB: 95325472047",CHAR(10),"SANTINI D.O.O.,"," ANTE STARČEVIĆA 79,"," 32100 VINKOVCI,"," OIB: 55614719992",CHAR(10),"MB AUTO PRODAJNO SERVISNI CENTAR D.O.O.,"," OIB: 68993879966")</f>
        <v>TAHOGRAF D.O.O., DR. FRANJE TUĐMANA 24, 10431 SVETA NEDELJA, OIB: 73777060562
MOTOMARINER D.O.O., JOŽE VLAHOVIĆA 16, 51000 RIJEKA, OIB: 97340283479
DDSERVIS D.O.O., SISAČKA CESTA III ODVOJAK 7, 10020 ZAGREB, OIB: 95325472047
SANTINI D.O.O., ANTE STARČEVIĆA 79, 32100 VINKOVCI, OIB: 55614719992
MB AUTO PRODAJNO SERVISNI CENTAR D.O.O., OIB: 68993879966</v>
      </c>
      <c r="H821" s="4"/>
      <c r="I821" s="1" t="s">
        <v>743</v>
      </c>
      <c r="J821" s="1" t="s">
        <v>744</v>
      </c>
      <c r="K821" s="6" t="str">
        <f>"1.540.000,00"</f>
        <v>1.540.000,00</v>
      </c>
      <c r="L821" s="6" t="str">
        <f>"385.000,00"</f>
        <v>385.000,00</v>
      </c>
      <c r="M821" s="6" t="str">
        <f>"1.925.000,00"</f>
        <v>1.925.000,00</v>
      </c>
      <c r="N821" s="7"/>
      <c r="O821" s="7"/>
      <c r="P821" s="6" t="str">
        <f>""</f>
        <v/>
      </c>
      <c r="Q821" s="7"/>
      <c r="R821" s="1"/>
      <c r="S821" s="1" t="str">
        <f>"NOS-84/17"</f>
        <v>NOS-84/17</v>
      </c>
      <c r="T821" s="2" t="s">
        <v>26</v>
      </c>
    </row>
    <row r="822" spans="1:20" ht="25.5" x14ac:dyDescent="0.25">
      <c r="A822" s="1">
        <v>818</v>
      </c>
      <c r="B822" s="1" t="str">
        <f>"2017-381"</f>
        <v>2017-381</v>
      </c>
      <c r="C822" s="2" t="s">
        <v>741</v>
      </c>
      <c r="D822" s="1" t="s">
        <v>742</v>
      </c>
      <c r="E822" s="3" t="str">
        <f>""</f>
        <v/>
      </c>
      <c r="F822" s="2" t="s">
        <v>27</v>
      </c>
      <c r="G822" s="2" t="str">
        <f>CONCATENATE("MB AUTO PRODAJNO SERVISNI CENTAR D.O.O.,"," OIB: 68993879966")</f>
        <v>MB AUTO PRODAJNO SERVISNI CENTAR D.O.O., OIB: 68993879966</v>
      </c>
      <c r="H822" s="4"/>
      <c r="I822" s="1" t="s">
        <v>200</v>
      </c>
      <c r="J822" s="1" t="s">
        <v>140</v>
      </c>
      <c r="K822" s="6" t="str">
        <f>"7.150,62"</f>
        <v>7.150,62</v>
      </c>
      <c r="L822" s="6" t="str">
        <f>"1.787,66"</f>
        <v>1.787,66</v>
      </c>
      <c r="M822" s="6" t="str">
        <f>"8.938,28"</f>
        <v>8.938,28</v>
      </c>
      <c r="N822" s="5">
        <v>43494</v>
      </c>
      <c r="O822" s="7"/>
      <c r="P822" s="6" t="str">
        <f>"8.938,28"</f>
        <v>8.938,28</v>
      </c>
      <c r="Q822" s="7"/>
      <c r="R822" s="1"/>
      <c r="S822" s="1" t="str">
        <f>"9-18/NOS-84/17"</f>
        <v>9-18/NOS-84/17</v>
      </c>
      <c r="T822" s="2" t="s">
        <v>33</v>
      </c>
    </row>
    <row r="823" spans="1:20" ht="25.5" x14ac:dyDescent="0.25">
      <c r="A823" s="1">
        <v>819</v>
      </c>
      <c r="B823" s="1" t="str">
        <f>"2017-381"</f>
        <v>2017-381</v>
      </c>
      <c r="C823" s="2" t="s">
        <v>741</v>
      </c>
      <c r="D823" s="1" t="s">
        <v>742</v>
      </c>
      <c r="E823" s="3" t="str">
        <f>""</f>
        <v/>
      </c>
      <c r="F823" s="2" t="s">
        <v>27</v>
      </c>
      <c r="G823" s="2" t="str">
        <f>CONCATENATE("MB AUTO PRODAJNO SERVISNI CENTAR D.O.O.,"," OIB: 68993879966")</f>
        <v>MB AUTO PRODAJNO SERVISNI CENTAR D.O.O., OIB: 68993879966</v>
      </c>
      <c r="H823" s="4"/>
      <c r="I823" s="1" t="s">
        <v>670</v>
      </c>
      <c r="J823" s="1" t="s">
        <v>64</v>
      </c>
      <c r="K823" s="6" t="str">
        <f>"6.155,92"</f>
        <v>6.155,92</v>
      </c>
      <c r="L823" s="6" t="str">
        <f>"1.538,98"</f>
        <v>1.538,98</v>
      </c>
      <c r="M823" s="6" t="str">
        <f>"7.694,90"</f>
        <v>7.694,90</v>
      </c>
      <c r="N823" s="5">
        <v>43564</v>
      </c>
      <c r="O823" s="7"/>
      <c r="P823" s="6" t="str">
        <f>"7.694,90"</f>
        <v>7.694,90</v>
      </c>
      <c r="Q823" s="7"/>
      <c r="R823" s="1"/>
      <c r="S823" s="1" t="str">
        <f>"1-19/NOS-84/17"</f>
        <v>1-19/NOS-84/17</v>
      </c>
      <c r="T823" s="2" t="s">
        <v>33</v>
      </c>
    </row>
    <row r="824" spans="1:20" ht="25.5" x14ac:dyDescent="0.25">
      <c r="A824" s="1">
        <v>820</v>
      </c>
      <c r="B824" s="1" t="str">
        <f>"2017-381"</f>
        <v>2017-381</v>
      </c>
      <c r="C824" s="2" t="s">
        <v>741</v>
      </c>
      <c r="D824" s="1" t="s">
        <v>742</v>
      </c>
      <c r="E824" s="3" t="str">
        <f>""</f>
        <v/>
      </c>
      <c r="F824" s="2" t="s">
        <v>27</v>
      </c>
      <c r="G824" s="2" t="str">
        <f>CONCATENATE("MB AUTO PRODAJNO SERVISNI CENTAR D.O.O.,"," OIB: 68993879966")</f>
        <v>MB AUTO PRODAJNO SERVISNI CENTAR D.O.O., OIB: 68993879966</v>
      </c>
      <c r="H824" s="4"/>
      <c r="I824" s="1" t="s">
        <v>320</v>
      </c>
      <c r="J824" s="1" t="s">
        <v>723</v>
      </c>
      <c r="K824" s="6" t="str">
        <f>"2.998,00"</f>
        <v>2.998,00</v>
      </c>
      <c r="L824" s="6" t="str">
        <f>"749,50"</f>
        <v>749,50</v>
      </c>
      <c r="M824" s="6" t="str">
        <f>"3.747,50"</f>
        <v>3.747,50</v>
      </c>
      <c r="N824" s="5">
        <v>43656</v>
      </c>
      <c r="O824" s="7"/>
      <c r="P824" s="6" t="str">
        <f>"3.747,50"</f>
        <v>3.747,50</v>
      </c>
      <c r="Q824" s="7"/>
      <c r="R824" s="1"/>
      <c r="S824" s="1" t="str">
        <f>"2-19/NOS-84/17"</f>
        <v>2-19/NOS-84/17</v>
      </c>
      <c r="T824" s="2" t="s">
        <v>33</v>
      </c>
    </row>
    <row r="825" spans="1:20" ht="51" x14ac:dyDescent="0.25">
      <c r="A825" s="1">
        <v>821</v>
      </c>
      <c r="B825" s="1" t="str">
        <f>"2017-381"</f>
        <v>2017-381</v>
      </c>
      <c r="C825" s="2" t="s">
        <v>745</v>
      </c>
      <c r="D825" s="1" t="s">
        <v>742</v>
      </c>
      <c r="E825" s="3" t="str">
        <f>""</f>
        <v/>
      </c>
      <c r="F825" s="2" t="s">
        <v>52</v>
      </c>
      <c r="G825" s="2" t="str">
        <f>CONCATENATE("MB AUTO PRODAJNO SERVISNI CENTAR D.O.O.,"," OIB: 68993879966")</f>
        <v>MB AUTO PRODAJNO SERVISNI CENTAR D.O.O., OIB: 68993879966</v>
      </c>
      <c r="H825" s="4"/>
      <c r="I825" s="1" t="s">
        <v>402</v>
      </c>
      <c r="J825" s="1" t="s">
        <v>723</v>
      </c>
      <c r="K825" s="6" t="str">
        <f>"130,00"</f>
        <v>130,00</v>
      </c>
      <c r="L825" s="6" t="str">
        <f>"32,50"</f>
        <v>32,50</v>
      </c>
      <c r="M825" s="6" t="str">
        <f>"162,50"</f>
        <v>162,50</v>
      </c>
      <c r="N825" s="5">
        <v>43663</v>
      </c>
      <c r="O825" s="7"/>
      <c r="P825" s="6" t="str">
        <f>"162,50"</f>
        <v>162,50</v>
      </c>
      <c r="Q825" s="7"/>
      <c r="R825" s="1"/>
      <c r="S825" s="1" t="str">
        <f>"2-19/NOS-84/17#1"</f>
        <v>2-19/NOS-84/17#1</v>
      </c>
      <c r="T825" s="2" t="s">
        <v>33</v>
      </c>
    </row>
    <row r="826" spans="1:20" ht="89.25" x14ac:dyDescent="0.25">
      <c r="A826" s="1">
        <v>822</v>
      </c>
      <c r="B826" s="1" t="str">
        <f>"2017-382"</f>
        <v>2017-382</v>
      </c>
      <c r="C826" s="2" t="s">
        <v>746</v>
      </c>
      <c r="D826" s="1" t="s">
        <v>747</v>
      </c>
      <c r="E826" s="3" t="str">
        <f>"2017/S 0F2-0011558"</f>
        <v>2017/S 0F2-0011558</v>
      </c>
      <c r="F826" s="2" t="s">
        <v>23</v>
      </c>
      <c r="G826" s="2" t="str">
        <f>CONCATENATE("ELEKTRO-KOMUNIKACIJE D.O.O.,"," 14. PODBREŽJE 4,"," 10000 ZAGREB,"," OIB: 76412373309",CHAR(10),"TEMAT D.O.O.,"," SV. BARBARE 22,"," 10000 ZAGREB,"," OIB: 15701915410",CHAR(10),"VALOTO-PROM D.O.O.,"," BENCEKOVIĆEVA 40,"," 10000 ZAGREB,"," OIB: 47550895659")</f>
        <v>ELEKTRO-KOMUNIKACIJE D.O.O., 14. PODBREŽJE 4, 10000 ZAGREB, OIB: 76412373309
TEMAT D.O.O., SV. BARBARE 22, 10000 ZAGREB, OIB: 15701915410
VALOTO-PROM D.O.O., BENCEKOVIĆEVA 40, 10000 ZAGREB, OIB: 47550895659</v>
      </c>
      <c r="H826" s="4"/>
      <c r="I826" s="1" t="s">
        <v>743</v>
      </c>
      <c r="J826" s="1" t="s">
        <v>744</v>
      </c>
      <c r="K826" s="6" t="str">
        <f>"500.000,00"</f>
        <v>500.000,00</v>
      </c>
      <c r="L826" s="6" t="str">
        <f>"125.000,00"</f>
        <v>125.000,00</v>
      </c>
      <c r="M826" s="6" t="str">
        <f>"625.000,00"</f>
        <v>625.000,00</v>
      </c>
      <c r="N826" s="7"/>
      <c r="O826" s="7"/>
      <c r="P826" s="6" t="str">
        <f>""</f>
        <v/>
      </c>
      <c r="Q826" s="7"/>
      <c r="R826" s="1"/>
      <c r="S826" s="1" t="str">
        <f>"NOS-85/17"</f>
        <v>NOS-85/17</v>
      </c>
      <c r="T826" s="2" t="s">
        <v>33</v>
      </c>
    </row>
    <row r="827" spans="1:20" ht="25.5" x14ac:dyDescent="0.25">
      <c r="A827" s="1">
        <v>823</v>
      </c>
      <c r="B827" s="1" t="str">
        <f>"2017-382"</f>
        <v>2017-382</v>
      </c>
      <c r="C827" s="2" t="s">
        <v>746</v>
      </c>
      <c r="D827" s="1" t="s">
        <v>747</v>
      </c>
      <c r="E827" s="3" t="str">
        <f>""</f>
        <v/>
      </c>
      <c r="F827" s="2" t="s">
        <v>27</v>
      </c>
      <c r="G827" s="2" t="str">
        <f>CONCATENATE("TEMAT D.O.O.,"," SV. BARBARE 22,"," 10000 ZAGREB,"," OIB: 157019154")</f>
        <v>TEMAT D.O.O., SV. BARBARE 22, 10000 ZAGREB, OIB: 157019154</v>
      </c>
      <c r="H827" s="4"/>
      <c r="I827" s="1" t="s">
        <v>254</v>
      </c>
      <c r="J827" s="1" t="s">
        <v>469</v>
      </c>
      <c r="K827" s="6" t="str">
        <f>"61.500,00"</f>
        <v>61.500,00</v>
      </c>
      <c r="L827" s="6" t="str">
        <f>"15.375,00"</f>
        <v>15.375,00</v>
      </c>
      <c r="M827" s="6" t="str">
        <f>"76.875,00"</f>
        <v>76.875,00</v>
      </c>
      <c r="N827" s="5">
        <v>43563</v>
      </c>
      <c r="O827" s="7"/>
      <c r="P827" s="6" t="str">
        <f>"76.875,00"</f>
        <v>76.875,00</v>
      </c>
      <c r="Q827" s="7"/>
      <c r="R827" s="1"/>
      <c r="S827" s="1" t="str">
        <f>"1-19/NOS-85/17"</f>
        <v>1-19/NOS-85/17</v>
      </c>
      <c r="T827" s="2" t="s">
        <v>33</v>
      </c>
    </row>
    <row r="828" spans="1:20" ht="127.5" x14ac:dyDescent="0.25">
      <c r="A828" s="1">
        <v>824</v>
      </c>
      <c r="B828" s="1" t="str">
        <f t="shared" ref="B828:B839" si="82">"2017-398"</f>
        <v>2017-398</v>
      </c>
      <c r="C828" s="2" t="s">
        <v>748</v>
      </c>
      <c r="D828" s="1" t="s">
        <v>749</v>
      </c>
      <c r="E828" s="3" t="str">
        <f>"2017/S 0F2-0008659"</f>
        <v>2017/S 0F2-0008659</v>
      </c>
      <c r="F828" s="2" t="s">
        <v>23</v>
      </c>
      <c r="G828" s="2" t="str">
        <f>CONCATENATE("C.I.A.K. D.O.O.,"," OIB: 47428597158",CHAR(10),"M.A.T.U. D.O.O.,"," HEINZELOVA 74,"," 10000 ZAGREB,"," OIB: 90693351411",CHAR(10),"BATERIJA-TAB HRVATSKA D.O.O.,"," ČULINEČKA CESTA 269,"," 10040 ZAGREB,"," OIB: 24580002446",CHAR(10),"TOP START D.O.O.,"," RIBNJAK 5,"," 10000 ZAGREB,"," OIB: 92652872761",CHAR(10),"C.I.A.K. TRADE D.O.O.,"," RESNIČKA 21,"," 10000 ZAGREB,"," OIB: 76912302278")</f>
        <v>C.I.A.K. D.O.O., OIB: 47428597158
M.A.T.U. D.O.O., HEINZELOVA 74, 10000 ZAGREB, OIB: 90693351411
BATERIJA-TAB HRVATSKA D.O.O., ČULINEČKA CESTA 269, 10040 ZAGREB, OIB: 24580002446
TOP START D.O.O., RIBNJAK 5, 10000 ZAGREB, OIB: 92652872761
C.I.A.K. TRADE D.O.O., RESNIČKA 21, 10000 ZAGREB, OIB: 76912302278</v>
      </c>
      <c r="H828" s="4"/>
      <c r="I828" s="1" t="s">
        <v>750</v>
      </c>
      <c r="J828" s="1" t="s">
        <v>751</v>
      </c>
      <c r="K828" s="6" t="str">
        <f>"1.347.000,00"</f>
        <v>1.347.000,00</v>
      </c>
      <c r="L828" s="6" t="str">
        <f>"336.750,00"</f>
        <v>336.750,00</v>
      </c>
      <c r="M828" s="6" t="str">
        <f>"1.683.750,00"</f>
        <v>1.683.750,00</v>
      </c>
      <c r="N828" s="7"/>
      <c r="O828" s="7"/>
      <c r="P828" s="6" t="str">
        <f>""</f>
        <v/>
      </c>
      <c r="Q828" s="7"/>
      <c r="R828" s="1"/>
      <c r="S828" s="1" t="str">
        <f>"NOS-86-A/17"</f>
        <v>NOS-86-A/17</v>
      </c>
      <c r="T828" s="2" t="s">
        <v>79</v>
      </c>
    </row>
    <row r="829" spans="1:20" ht="25.5" x14ac:dyDescent="0.25">
      <c r="A829" s="1">
        <v>825</v>
      </c>
      <c r="B829" s="1" t="str">
        <f t="shared" si="82"/>
        <v>2017-398</v>
      </c>
      <c r="C829" s="2" t="s">
        <v>748</v>
      </c>
      <c r="D829" s="1" t="s">
        <v>749</v>
      </c>
      <c r="E829" s="3" t="str">
        <f>""</f>
        <v/>
      </c>
      <c r="F829" s="2" t="s">
        <v>27</v>
      </c>
      <c r="G829" s="2" t="str">
        <f>CONCATENATE("C.I.A.K. D.O.O.,"," OIB: 47428597158")</f>
        <v>C.I.A.K. D.O.O., OIB: 47428597158</v>
      </c>
      <c r="H829" s="4"/>
      <c r="I829" s="1" t="s">
        <v>200</v>
      </c>
      <c r="J829" s="1" t="s">
        <v>140</v>
      </c>
      <c r="K829" s="6" t="str">
        <f>"61.680,00"</f>
        <v>61.680,00</v>
      </c>
      <c r="L829" s="6" t="str">
        <f>"15.420,00"</f>
        <v>15.420,00</v>
      </c>
      <c r="M829" s="6" t="str">
        <f>"77.100,00"</f>
        <v>77.100,00</v>
      </c>
      <c r="N829" s="5">
        <v>43518</v>
      </c>
      <c r="O829" s="7"/>
      <c r="P829" s="6" t="str">
        <f>"77.100,00"</f>
        <v>77.100,00</v>
      </c>
      <c r="Q829" s="7"/>
      <c r="R829" s="1"/>
      <c r="S829" s="1" t="str">
        <f>"9-18/NOS-86-A/17"</f>
        <v>9-18/NOS-86-A/17</v>
      </c>
      <c r="T829" s="2" t="s">
        <v>33</v>
      </c>
    </row>
    <row r="830" spans="1:20" ht="25.5" x14ac:dyDescent="0.25">
      <c r="A830" s="1">
        <v>826</v>
      </c>
      <c r="B830" s="1" t="str">
        <f t="shared" si="82"/>
        <v>2017-398</v>
      </c>
      <c r="C830" s="2" t="s">
        <v>748</v>
      </c>
      <c r="D830" s="1" t="s">
        <v>749</v>
      </c>
      <c r="E830" s="3" t="str">
        <f>""</f>
        <v/>
      </c>
      <c r="F830" s="2" t="s">
        <v>27</v>
      </c>
      <c r="G830" s="2" t="str">
        <f>CONCATENATE("C.I.A.K. D.O.O.,"," OIB: 47428597158")</f>
        <v>C.I.A.K. D.O.O., OIB: 47428597158</v>
      </c>
      <c r="H830" s="4"/>
      <c r="I830" s="1" t="s">
        <v>398</v>
      </c>
      <c r="J830" s="1" t="s">
        <v>186</v>
      </c>
      <c r="K830" s="6" t="str">
        <f>"1.972,00"</f>
        <v>1.972,00</v>
      </c>
      <c r="L830" s="6" t="str">
        <f>"493,00"</f>
        <v>493,00</v>
      </c>
      <c r="M830" s="6" t="str">
        <f>"2.465,00"</f>
        <v>2.465,00</v>
      </c>
      <c r="N830" s="5">
        <v>43473</v>
      </c>
      <c r="O830" s="7"/>
      <c r="P830" s="6" t="str">
        <f>"2.465,00"</f>
        <v>2.465,00</v>
      </c>
      <c r="Q830" s="7"/>
      <c r="R830" s="1"/>
      <c r="S830" s="1" t="str">
        <f>"10-18/NOS-86-A/17"</f>
        <v>10-18/NOS-86-A/17</v>
      </c>
      <c r="T830" s="2" t="s">
        <v>29</v>
      </c>
    </row>
    <row r="831" spans="1:20" ht="38.25" x14ac:dyDescent="0.25">
      <c r="A831" s="1">
        <v>827</v>
      </c>
      <c r="B831" s="1" t="str">
        <f t="shared" si="82"/>
        <v>2017-398</v>
      </c>
      <c r="C831" s="2" t="s">
        <v>748</v>
      </c>
      <c r="D831" s="1" t="s">
        <v>749</v>
      </c>
      <c r="E831" s="3" t="str">
        <f>""</f>
        <v/>
      </c>
      <c r="F831" s="2" t="s">
        <v>27</v>
      </c>
      <c r="G831" s="2" t="str">
        <f>CONCATENATE("BATERIJA-TAB HRVATSKA D.O.O.,"," ČULINEČKA CESTA 269,"," 10040 ZAGREB,"," OIB: 24580002446")</f>
        <v>BATERIJA-TAB HRVATSKA D.O.O., ČULINEČKA CESTA 269, 10040 ZAGREB, OIB: 24580002446</v>
      </c>
      <c r="H831" s="4"/>
      <c r="I831" s="1" t="s">
        <v>373</v>
      </c>
      <c r="J831" s="1" t="s">
        <v>64</v>
      </c>
      <c r="K831" s="6" t="str">
        <f>"11.304,00"</f>
        <v>11.304,00</v>
      </c>
      <c r="L831" s="6" t="str">
        <f>"2.826,00"</f>
        <v>2.826,00</v>
      </c>
      <c r="M831" s="6" t="str">
        <f>"14.130,00"</f>
        <v>14.130,00</v>
      </c>
      <c r="N831" s="5">
        <v>43530</v>
      </c>
      <c r="O831" s="7"/>
      <c r="P831" s="6" t="str">
        <f>"10.340,00"</f>
        <v>10.340,00</v>
      </c>
      <c r="Q831" s="7"/>
      <c r="R831" s="1"/>
      <c r="S831" s="1" t="str">
        <f>"1-19/NOS-86-A/17"</f>
        <v>1-19/NOS-86-A/17</v>
      </c>
      <c r="T831" s="2" t="s">
        <v>33</v>
      </c>
    </row>
    <row r="832" spans="1:20" ht="38.25" x14ac:dyDescent="0.25">
      <c r="A832" s="1">
        <v>828</v>
      </c>
      <c r="B832" s="1" t="str">
        <f t="shared" si="82"/>
        <v>2017-398</v>
      </c>
      <c r="C832" s="2" t="s">
        <v>748</v>
      </c>
      <c r="D832" s="1" t="s">
        <v>749</v>
      </c>
      <c r="E832" s="3" t="str">
        <f>""</f>
        <v/>
      </c>
      <c r="F832" s="2" t="s">
        <v>27</v>
      </c>
      <c r="G832" s="2" t="str">
        <f>CONCATENATE("BATERIJA-TAB HRVATSKA D.O.O.,"," ČULINEČKA CESTA 269,"," 10040 ZAGREB,"," OIB: 24580002446")</f>
        <v>BATERIJA-TAB HRVATSKA D.O.O., ČULINEČKA CESTA 269, 10040 ZAGREB, OIB: 24580002446</v>
      </c>
      <c r="H832" s="4"/>
      <c r="I832" s="1" t="s">
        <v>329</v>
      </c>
      <c r="J832" s="1" t="s">
        <v>355</v>
      </c>
      <c r="K832" s="6" t="str">
        <f>"5.740,00"</f>
        <v>5.740,00</v>
      </c>
      <c r="L832" s="6" t="str">
        <f>"1.435,00"</f>
        <v>1.435,00</v>
      </c>
      <c r="M832" s="6" t="str">
        <f>"7.175,00"</f>
        <v>7.175,00</v>
      </c>
      <c r="N832" s="5">
        <v>43580</v>
      </c>
      <c r="O832" s="7"/>
      <c r="P832" s="6" t="str">
        <f>"7.175,00"</f>
        <v>7.175,00</v>
      </c>
      <c r="Q832" s="7"/>
      <c r="R832" s="1"/>
      <c r="S832" s="1" t="str">
        <f>"2-19/NOS-86-A/17"</f>
        <v>2-19/NOS-86-A/17</v>
      </c>
      <c r="T832" s="2" t="s">
        <v>33</v>
      </c>
    </row>
    <row r="833" spans="1:20" ht="38.25" x14ac:dyDescent="0.25">
      <c r="A833" s="1">
        <v>829</v>
      </c>
      <c r="B833" s="1" t="str">
        <f t="shared" si="82"/>
        <v>2017-398</v>
      </c>
      <c r="C833" s="2" t="s">
        <v>748</v>
      </c>
      <c r="D833" s="1" t="s">
        <v>749</v>
      </c>
      <c r="E833" s="3" t="str">
        <f>""</f>
        <v/>
      </c>
      <c r="F833" s="2" t="s">
        <v>27</v>
      </c>
      <c r="G833" s="2" t="str">
        <f>CONCATENATE("C.I.A.K. D.O.O.,"," OIB: 47428597158")</f>
        <v>C.I.A.K. D.O.O., OIB: 47428597158</v>
      </c>
      <c r="H833" s="4"/>
      <c r="I833" s="1" t="s">
        <v>361</v>
      </c>
      <c r="J833" s="1" t="s">
        <v>37</v>
      </c>
      <c r="K833" s="6" t="str">
        <f>"5.267,00"</f>
        <v>5.267,00</v>
      </c>
      <c r="L833" s="6" t="str">
        <f>"1.316,75"</f>
        <v>1.316,75</v>
      </c>
      <c r="M833" s="6" t="str">
        <f>"6.583,75"</f>
        <v>6.583,75</v>
      </c>
      <c r="N833" s="5">
        <v>43614</v>
      </c>
      <c r="O833" s="7"/>
      <c r="P833" s="6" t="str">
        <f>"6.583,75"</f>
        <v>6.583,75</v>
      </c>
      <c r="Q833" s="7"/>
      <c r="R833" s="1"/>
      <c r="S833" s="1" t="str">
        <f>"3-19/NOS-86-A/17"</f>
        <v>3-19/NOS-86-A/17</v>
      </c>
      <c r="T833" s="2" t="s">
        <v>26</v>
      </c>
    </row>
    <row r="834" spans="1:20" ht="38.25" x14ac:dyDescent="0.25">
      <c r="A834" s="1">
        <v>830</v>
      </c>
      <c r="B834" s="1" t="str">
        <f t="shared" si="82"/>
        <v>2017-398</v>
      </c>
      <c r="C834" s="2" t="s">
        <v>748</v>
      </c>
      <c r="D834" s="1" t="s">
        <v>749</v>
      </c>
      <c r="E834" s="3" t="str">
        <f>""</f>
        <v/>
      </c>
      <c r="F834" s="2" t="s">
        <v>27</v>
      </c>
      <c r="G834" s="2" t="str">
        <f>CONCATENATE("BATERIJA-TAB HRVATSKA D.O.O.,"," ČULINEČKA CESTA 269,"," 10040 ZAGREB,"," OIB: 24580002446")</f>
        <v>BATERIJA-TAB HRVATSKA D.O.O., ČULINEČKA CESTA 269, 10040 ZAGREB, OIB: 24580002446</v>
      </c>
      <c r="H834" s="4"/>
      <c r="I834" s="1" t="s">
        <v>440</v>
      </c>
      <c r="J834" s="1" t="s">
        <v>404</v>
      </c>
      <c r="K834" s="6" t="str">
        <f>"7.050,00"</f>
        <v>7.050,00</v>
      </c>
      <c r="L834" s="6" t="str">
        <f>"1.762,50"</f>
        <v>1.762,50</v>
      </c>
      <c r="M834" s="6" t="str">
        <f>"8.812,50"</f>
        <v>8.812,50</v>
      </c>
      <c r="N834" s="5">
        <v>43643</v>
      </c>
      <c r="O834" s="7"/>
      <c r="P834" s="6" t="str">
        <f>"8.812,50"</f>
        <v>8.812,50</v>
      </c>
      <c r="Q834" s="7"/>
      <c r="R834" s="1"/>
      <c r="S834" s="1" t="str">
        <f>"4-19/NOS-86-A/17"</f>
        <v>4-19/NOS-86-A/17</v>
      </c>
      <c r="T834" s="2" t="s">
        <v>33</v>
      </c>
    </row>
    <row r="835" spans="1:20" ht="63.75" x14ac:dyDescent="0.25">
      <c r="A835" s="1">
        <v>831</v>
      </c>
      <c r="B835" s="1" t="str">
        <f t="shared" si="82"/>
        <v>2017-398</v>
      </c>
      <c r="C835" s="2" t="s">
        <v>748</v>
      </c>
      <c r="D835" s="1" t="s">
        <v>749</v>
      </c>
      <c r="E835" s="3" t="str">
        <f>"2017/S 0F2-0008659"</f>
        <v>2017/S 0F2-0008659</v>
      </c>
      <c r="F835" s="2" t="s">
        <v>23</v>
      </c>
      <c r="G835" s="2" t="str">
        <f>CONCATENATE("TRGOMETAL D.O.O.,"," KOVINSKA 4,"," 10090 ZAGREB-SUSEDGRAD,"," OIB: 26004523816",CHAR(10),"ELEKTROCENTAR PETEK D.O.O.,"," ETANSKA CESTA 8,"," 10310 IVANIĆ-GRAD,"," OIB: 17491977848")</f>
        <v>TRGOMETAL D.O.O., KOVINSKA 4, 10090 ZAGREB-SUSEDGRAD, OIB: 26004523816
ELEKTROCENTAR PETEK D.O.O., ETANSKA CESTA 8, 10310 IVANIĆ-GRAD, OIB: 17491977848</v>
      </c>
      <c r="H835" s="4"/>
      <c r="I835" s="1" t="s">
        <v>750</v>
      </c>
      <c r="J835" s="1" t="s">
        <v>751</v>
      </c>
      <c r="K835" s="6" t="str">
        <f>"135.000,00"</f>
        <v>135.000,00</v>
      </c>
      <c r="L835" s="6" t="str">
        <f>"33.750,00"</f>
        <v>33.750,00</v>
      </c>
      <c r="M835" s="6" t="str">
        <f>"168.750,00"</f>
        <v>168.750,00</v>
      </c>
      <c r="N835" s="7"/>
      <c r="O835" s="7"/>
      <c r="P835" s="6" t="str">
        <f>""</f>
        <v/>
      </c>
      <c r="Q835" s="7"/>
      <c r="R835" s="1"/>
      <c r="S835" s="1" t="str">
        <f>"NOS-86-B/17"</f>
        <v>NOS-86-B/17</v>
      </c>
      <c r="T835" s="2" t="s">
        <v>79</v>
      </c>
    </row>
    <row r="836" spans="1:20" ht="25.5" x14ac:dyDescent="0.25">
      <c r="A836" s="1">
        <v>832</v>
      </c>
      <c r="B836" s="1" t="str">
        <f t="shared" si="82"/>
        <v>2017-398</v>
      </c>
      <c r="C836" s="2" t="s">
        <v>748</v>
      </c>
      <c r="D836" s="1" t="s">
        <v>749</v>
      </c>
      <c r="E836" s="3" t="str">
        <f>""</f>
        <v/>
      </c>
      <c r="F836" s="2" t="s">
        <v>27</v>
      </c>
      <c r="G836" s="2" t="str">
        <f>CONCATENATE("TRGOMETAL D.O.O.,"," KOVINSKA 4,"," 10090 ZAGREB-SUSEDGRAD,"," OIB: 26004523816")</f>
        <v>TRGOMETAL D.O.O., KOVINSKA 4, 10090 ZAGREB-SUSEDGRAD, OIB: 26004523816</v>
      </c>
      <c r="H836" s="4"/>
      <c r="I836" s="1" t="s">
        <v>308</v>
      </c>
      <c r="J836" s="1" t="s">
        <v>251</v>
      </c>
      <c r="K836" s="6" t="str">
        <f>"9.922,00"</f>
        <v>9.922,00</v>
      </c>
      <c r="L836" s="6" t="str">
        <f>"2.480,50"</f>
        <v>2.480,50</v>
      </c>
      <c r="M836" s="6" t="str">
        <f>"12.402,50"</f>
        <v>12.402,50</v>
      </c>
      <c r="N836" s="5">
        <v>43560</v>
      </c>
      <c r="O836" s="7"/>
      <c r="P836" s="6" t="str">
        <f>"12.402,50"</f>
        <v>12.402,50</v>
      </c>
      <c r="Q836" s="7"/>
      <c r="R836" s="1"/>
      <c r="S836" s="1" t="str">
        <f>"3-19/NOS-86-B/17"</f>
        <v>3-19/NOS-86-B/17</v>
      </c>
      <c r="T836" s="2" t="s">
        <v>33</v>
      </c>
    </row>
    <row r="837" spans="1:20" ht="63.75" x14ac:dyDescent="0.25">
      <c r="A837" s="1">
        <v>833</v>
      </c>
      <c r="B837" s="1" t="str">
        <f t="shared" si="82"/>
        <v>2017-398</v>
      </c>
      <c r="C837" s="2" t="s">
        <v>748</v>
      </c>
      <c r="D837" s="1" t="s">
        <v>749</v>
      </c>
      <c r="E837" s="3" t="str">
        <f>"2017/S 0F2-0008659"</f>
        <v>2017/S 0F2-0008659</v>
      </c>
      <c r="F837" s="2" t="s">
        <v>23</v>
      </c>
      <c r="G837" s="2" t="str">
        <f>CONCATENATE("TRGOMETAL D.O.O.,"," KOVINSKA 4,"," 10090 ZAGREB-SUSEDGRAD,"," OIB: 26004523816")</f>
        <v>TRGOMETAL D.O.O., KOVINSKA 4, 10090 ZAGREB-SUSEDGRAD, OIB: 26004523816</v>
      </c>
      <c r="H837" s="4"/>
      <c r="I837" s="1" t="s">
        <v>750</v>
      </c>
      <c r="J837" s="1" t="s">
        <v>751</v>
      </c>
      <c r="K837" s="6" t="str">
        <f>"150.000,00"</f>
        <v>150.000,00</v>
      </c>
      <c r="L837" s="6" t="str">
        <f>"37.500,00"</f>
        <v>37.500,00</v>
      </c>
      <c r="M837" s="6" t="str">
        <f>"187.500,00"</f>
        <v>187.500,00</v>
      </c>
      <c r="N837" s="7"/>
      <c r="O837" s="7"/>
      <c r="P837" s="6" t="str">
        <f>""</f>
        <v/>
      </c>
      <c r="Q837" s="7"/>
      <c r="R837" s="1"/>
      <c r="S837" s="1" t="str">
        <f>"NOS-86-C/17"</f>
        <v>NOS-86-C/17</v>
      </c>
      <c r="T837" s="2" t="s">
        <v>79</v>
      </c>
    </row>
    <row r="838" spans="1:20" ht="114.75" x14ac:dyDescent="0.25">
      <c r="A838" s="1">
        <v>834</v>
      </c>
      <c r="B838" s="1" t="str">
        <f t="shared" si="82"/>
        <v>2017-398</v>
      </c>
      <c r="C838" s="2" t="s">
        <v>748</v>
      </c>
      <c r="D838" s="1" t="s">
        <v>749</v>
      </c>
      <c r="E838" s="3" t="str">
        <f>"2017/S 0F2-0008659"</f>
        <v>2017/S 0F2-0008659</v>
      </c>
      <c r="F838" s="2" t="s">
        <v>23</v>
      </c>
      <c r="G838" s="2" t="str">
        <f>CONCATENATE("C.I.A.K. D.O.O.,"," OIB: 47428597158",CHAR(10),"TRGOMETAL D.O.O.,"," KOVINSKA 4,"," 10090 ZAGREB-SUSEDGRAD,"," OIB: 26004523816",CHAR(10),"TOP START D.O.O.,"," RIBNJAK 5,"," 10000 ZAGREB,"," OIB: 92652872761",CHAR(10),"C.I.A.K. TRADE D.O.O.,"," RESNIČKA 21,"," 10000 ZAGREB,"," OIB: 76912302278",CHAR(10),"CIAK TRUCK D.O.O.,"," STUPNIČKE ŠIPKOVINE 1,"," 10255 GORNJI STUPNIK,"," OIB: 789690718")</f>
        <v>C.I.A.K. D.O.O., OIB: 47428597158
TRGOMETAL D.O.O., KOVINSKA 4, 10090 ZAGREB-SUSEDGRAD, OIB: 26004523816
TOP START D.O.O., RIBNJAK 5, 10000 ZAGREB, OIB: 92652872761
C.I.A.K. TRADE D.O.O., RESNIČKA 21, 10000 ZAGREB, OIB: 76912302278
CIAK TRUCK D.O.O., STUPNIČKE ŠIPKOVINE 1, 10255 GORNJI STUPNIK, OIB: 789690718</v>
      </c>
      <c r="H838" s="4"/>
      <c r="I838" s="1" t="s">
        <v>750</v>
      </c>
      <c r="J838" s="1" t="s">
        <v>751</v>
      </c>
      <c r="K838" s="6" t="str">
        <f>"150.000,00"</f>
        <v>150.000,00</v>
      </c>
      <c r="L838" s="6" t="str">
        <f>"37.500,00"</f>
        <v>37.500,00</v>
      </c>
      <c r="M838" s="6" t="str">
        <f>"187.500,00"</f>
        <v>187.500,00</v>
      </c>
      <c r="N838" s="7"/>
      <c r="O838" s="7"/>
      <c r="P838" s="6" t="str">
        <f>""</f>
        <v/>
      </c>
      <c r="Q838" s="7"/>
      <c r="R838" s="1"/>
      <c r="S838" s="1" t="str">
        <f>"NOS-86-D/17"</f>
        <v>NOS-86-D/17</v>
      </c>
      <c r="T838" s="2" t="s">
        <v>79</v>
      </c>
    </row>
    <row r="839" spans="1:20" ht="25.5" x14ac:dyDescent="0.25">
      <c r="A839" s="1">
        <v>835</v>
      </c>
      <c r="B839" s="1" t="str">
        <f t="shared" si="82"/>
        <v>2017-398</v>
      </c>
      <c r="C839" s="2" t="s">
        <v>748</v>
      </c>
      <c r="D839" s="1" t="s">
        <v>749</v>
      </c>
      <c r="E839" s="3" t="str">
        <f>""</f>
        <v/>
      </c>
      <c r="F839" s="2" t="s">
        <v>27</v>
      </c>
      <c r="G839" s="2" t="str">
        <f>CONCATENATE("C.I.A.K. D.O.O.,"," OIB: 47428597158")</f>
        <v>C.I.A.K. D.O.O., OIB: 47428597158</v>
      </c>
      <c r="H839" s="4"/>
      <c r="I839" s="1" t="s">
        <v>373</v>
      </c>
      <c r="J839" s="1" t="s">
        <v>251</v>
      </c>
      <c r="K839" s="6" t="str">
        <f>"39.040,00"</f>
        <v>39.040,00</v>
      </c>
      <c r="L839" s="6" t="str">
        <f>"9.760,00"</f>
        <v>9.760,00</v>
      </c>
      <c r="M839" s="6" t="str">
        <f>"48.800,00"</f>
        <v>48.800,00</v>
      </c>
      <c r="N839" s="5">
        <v>43528</v>
      </c>
      <c r="O839" s="7"/>
      <c r="P839" s="6" t="str">
        <f>"48.800,00"</f>
        <v>48.800,00</v>
      </c>
      <c r="Q839" s="7"/>
      <c r="R839" s="1"/>
      <c r="S839" s="1" t="str">
        <f>"1-19/NOS-86-D/17"</f>
        <v>1-19/NOS-86-D/17</v>
      </c>
      <c r="T839" s="2" t="s">
        <v>33</v>
      </c>
    </row>
    <row r="840" spans="1:20" ht="38.25" x14ac:dyDescent="0.25">
      <c r="A840" s="1">
        <v>836</v>
      </c>
      <c r="B840" s="1" t="str">
        <f>"2017-352"</f>
        <v>2017-352</v>
      </c>
      <c r="C840" s="2" t="s">
        <v>752</v>
      </c>
      <c r="D840" s="1" t="s">
        <v>197</v>
      </c>
      <c r="E840" s="3" t="str">
        <f>"2017/S 0F2-0017279"</f>
        <v>2017/S 0F2-0017279</v>
      </c>
      <c r="F840" s="2" t="s">
        <v>23</v>
      </c>
      <c r="G840" s="2" t="str">
        <f>CONCATENATE("GRADATIN D.O.O.,"," LIVADARSKI PUT 19,"," 10360 SESVETE,"," OIB: 79147056526")</f>
        <v>GRADATIN D.O.O., LIVADARSKI PUT 19, 10360 SESVETE, OIB: 79147056526</v>
      </c>
      <c r="H840" s="4"/>
      <c r="I840" s="1" t="s">
        <v>732</v>
      </c>
      <c r="J840" s="1" t="s">
        <v>753</v>
      </c>
      <c r="K840" s="6" t="str">
        <f>"4.000.000,00"</f>
        <v>4.000.000,00</v>
      </c>
      <c r="L840" s="6" t="str">
        <f>"1.000.000,00"</f>
        <v>1.000.000,00</v>
      </c>
      <c r="M840" s="6" t="str">
        <f>"5.000.000,00"</f>
        <v>5.000.000,00</v>
      </c>
      <c r="N840" s="7"/>
      <c r="O840" s="7"/>
      <c r="P840" s="6" t="str">
        <f>""</f>
        <v/>
      </c>
      <c r="Q840" s="7"/>
      <c r="R840" s="1"/>
      <c r="S840" s="1" t="str">
        <f>"NOS-87/17"</f>
        <v>NOS-87/17</v>
      </c>
      <c r="T840" s="2" t="s">
        <v>33</v>
      </c>
    </row>
    <row r="841" spans="1:20" ht="25.5" x14ac:dyDescent="0.25">
      <c r="A841" s="1">
        <v>837</v>
      </c>
      <c r="B841" s="1" t="str">
        <f>"2017-352"</f>
        <v>2017-352</v>
      </c>
      <c r="C841" s="2" t="s">
        <v>752</v>
      </c>
      <c r="D841" s="1" t="s">
        <v>197</v>
      </c>
      <c r="E841" s="3" t="str">
        <f>""</f>
        <v/>
      </c>
      <c r="F841" s="2" t="s">
        <v>27</v>
      </c>
      <c r="G841" s="2" t="str">
        <f>CONCATENATE("GRADATIN D.O.O.,"," LIVADARSKI PUT 19,"," 10360 SESVETE,"," OIB: 79147056526")</f>
        <v>GRADATIN D.O.O., LIVADARSKI PUT 19, 10360 SESVETE, OIB: 79147056526</v>
      </c>
      <c r="H841" s="4"/>
      <c r="I841" s="1" t="s">
        <v>355</v>
      </c>
      <c r="J841" s="1" t="s">
        <v>436</v>
      </c>
      <c r="K841" s="6" t="str">
        <f>"38.940,00"</f>
        <v>38.940,00</v>
      </c>
      <c r="L841" s="6" t="str">
        <f>"9.735,00"</f>
        <v>9.735,00</v>
      </c>
      <c r="M841" s="6" t="str">
        <f>"48.675,00"</f>
        <v>48.675,00</v>
      </c>
      <c r="N841" s="5">
        <v>43605</v>
      </c>
      <c r="O841" s="7"/>
      <c r="P841" s="6" t="str">
        <f>"48.675,00"</f>
        <v>48.675,00</v>
      </c>
      <c r="Q841" s="7"/>
      <c r="R841" s="1"/>
      <c r="S841" s="1" t="str">
        <f>"1-19/NOS-87/17"</f>
        <v>1-19/NOS-87/17</v>
      </c>
      <c r="T841" s="2" t="s">
        <v>33</v>
      </c>
    </row>
    <row r="842" spans="1:20" ht="25.5" x14ac:dyDescent="0.25">
      <c r="A842" s="1">
        <v>838</v>
      </c>
      <c r="B842" s="1" t="str">
        <f>"2017-352"</f>
        <v>2017-352</v>
      </c>
      <c r="C842" s="2" t="s">
        <v>752</v>
      </c>
      <c r="D842" s="1" t="s">
        <v>197</v>
      </c>
      <c r="E842" s="3" t="str">
        <f>""</f>
        <v/>
      </c>
      <c r="F842" s="2" t="s">
        <v>27</v>
      </c>
      <c r="G842" s="2" t="str">
        <f>CONCATENATE("GRADATIN D.O.O.,"," LIVADARSKI PUT 19,"," 10360 SESVETE,"," OIB: 79147056526")</f>
        <v>GRADATIN D.O.O., LIVADARSKI PUT 19, 10360 SESVETE, OIB: 79147056526</v>
      </c>
      <c r="H842" s="4"/>
      <c r="I842" s="1" t="s">
        <v>424</v>
      </c>
      <c r="J842" s="1" t="s">
        <v>436</v>
      </c>
      <c r="K842" s="6" t="str">
        <f>"9.559,64"</f>
        <v>9.559,64</v>
      </c>
      <c r="L842" s="6" t="str">
        <f>"2.389,75"</f>
        <v>2.389,75</v>
      </c>
      <c r="M842" s="6" t="str">
        <f>"11.948,75"</f>
        <v>11.948,75</v>
      </c>
      <c r="N842" s="5">
        <v>43630</v>
      </c>
      <c r="O842" s="7"/>
      <c r="P842" s="6" t="str">
        <f>"11.948,75"</f>
        <v>11.948,75</v>
      </c>
      <c r="Q842" s="7"/>
      <c r="R842" s="1"/>
      <c r="S842" s="1" t="str">
        <f>"2-19/NOS-87/17"</f>
        <v>2-19/NOS-87/17</v>
      </c>
      <c r="T842" s="2" t="s">
        <v>33</v>
      </c>
    </row>
    <row r="843" spans="1:20" ht="38.25" x14ac:dyDescent="0.25">
      <c r="A843" s="1">
        <v>839</v>
      </c>
      <c r="B843" s="1" t="str">
        <f>"2017-2206"</f>
        <v>2017-2206</v>
      </c>
      <c r="C843" s="2" t="s">
        <v>754</v>
      </c>
      <c r="D843" s="1" t="s">
        <v>119</v>
      </c>
      <c r="E843" s="3" t="str">
        <f>"2017/S 0F2-0017146"</f>
        <v>2017/S 0F2-0017146</v>
      </c>
      <c r="F843" s="2" t="s">
        <v>23</v>
      </c>
      <c r="G843" s="2" t="str">
        <f>CONCATENATE("MULTIGRAD D.O.O.,"," LUKAVEČKA 7,"," 10412 DONJA LOMNICA,"," OIB: 33615517007")</f>
        <v>MULTIGRAD D.O.O., LUKAVEČKA 7, 10412 DONJA LOMNICA, OIB: 33615517007</v>
      </c>
      <c r="H843" s="4"/>
      <c r="I843" s="1" t="s">
        <v>732</v>
      </c>
      <c r="J843" s="1" t="s">
        <v>733</v>
      </c>
      <c r="K843" s="6" t="str">
        <f>"1.000.000,00"</f>
        <v>1.000.000,00</v>
      </c>
      <c r="L843" s="6" t="str">
        <f>"250.000,00"</f>
        <v>250.000,00</v>
      </c>
      <c r="M843" s="6" t="str">
        <f>"1.250.000,00"</f>
        <v>1.250.000,00</v>
      </c>
      <c r="N843" s="7"/>
      <c r="O843" s="7"/>
      <c r="P843" s="6" t="str">
        <f>""</f>
        <v/>
      </c>
      <c r="Q843" s="7"/>
      <c r="R843" s="1"/>
      <c r="S843" s="1" t="str">
        <f>"NOS-88/17"</f>
        <v>NOS-88/17</v>
      </c>
      <c r="T843" s="2" t="s">
        <v>538</v>
      </c>
    </row>
    <row r="844" spans="1:20" ht="38.25" x14ac:dyDescent="0.25">
      <c r="A844" s="1">
        <v>840</v>
      </c>
      <c r="B844" s="1" t="str">
        <f>"2017-2653"</f>
        <v>2017-2653</v>
      </c>
      <c r="C844" s="2" t="s">
        <v>755</v>
      </c>
      <c r="D844" s="1" t="s">
        <v>478</v>
      </c>
      <c r="E844" s="3" t="str">
        <f>"2017/S 0F2-0016647"</f>
        <v>2017/S 0F2-0016647</v>
      </c>
      <c r="F844" s="2" t="s">
        <v>23</v>
      </c>
      <c r="G844" s="2" t="str">
        <f>CONCATENATE("KUDUMIJA TRADE D.O.O.,"," ULICA KRSTE FRANKOPANA 7,"," 43000 BJELOVAR,"," OIB: 94694539623")</f>
        <v>KUDUMIJA TRADE D.O.O., ULICA KRSTE FRANKOPANA 7, 43000 BJELOVAR, OIB: 94694539623</v>
      </c>
      <c r="H844" s="4"/>
      <c r="I844" s="1" t="s">
        <v>732</v>
      </c>
      <c r="J844" s="1" t="s">
        <v>753</v>
      </c>
      <c r="K844" s="6" t="str">
        <f>"3.560.000,00"</f>
        <v>3.560.000,00</v>
      </c>
      <c r="L844" s="6" t="str">
        <f>"890.000,00"</f>
        <v>890.000,00</v>
      </c>
      <c r="M844" s="6" t="str">
        <f>"4.450.000,00"</f>
        <v>4.450.000,00</v>
      </c>
      <c r="N844" s="7"/>
      <c r="O844" s="7"/>
      <c r="P844" s="6" t="str">
        <f>""</f>
        <v/>
      </c>
      <c r="Q844" s="7"/>
      <c r="R844" s="1"/>
      <c r="S844" s="1" t="str">
        <f>"NOS-89-A/17"</f>
        <v>NOS-89-A/17</v>
      </c>
      <c r="T844" s="2" t="s">
        <v>33</v>
      </c>
    </row>
    <row r="845" spans="1:20" ht="38.25" x14ac:dyDescent="0.25">
      <c r="A845" s="1">
        <v>841</v>
      </c>
      <c r="B845" s="1" t="str">
        <f>"2017-2653"</f>
        <v>2017-2653</v>
      </c>
      <c r="C845" s="2" t="s">
        <v>755</v>
      </c>
      <c r="D845" s="1" t="s">
        <v>478</v>
      </c>
      <c r="E845" s="3" t="str">
        <f>""</f>
        <v/>
      </c>
      <c r="F845" s="2" t="s">
        <v>27</v>
      </c>
      <c r="G845" s="2" t="str">
        <f>CONCATENATE("KUDUMIJA TRADE D.O.O.,"," ULICA KRSTE FRANKOPANA 7,"," 43000 BJELOVAR,"," OIB: 94694539623")</f>
        <v>KUDUMIJA TRADE D.O.O., ULICA KRSTE FRANKOPANA 7, 43000 BJELOVAR, OIB: 94694539623</v>
      </c>
      <c r="H845" s="4"/>
      <c r="I845" s="1" t="s">
        <v>462</v>
      </c>
      <c r="J845" s="1" t="s">
        <v>121</v>
      </c>
      <c r="K845" s="6" t="str">
        <f>"240.600,00"</f>
        <v>240.600,00</v>
      </c>
      <c r="L845" s="6" t="str">
        <f>"60.150,00"</f>
        <v>60.150,00</v>
      </c>
      <c r="M845" s="6" t="str">
        <f>"300.750,00"</f>
        <v>300.750,00</v>
      </c>
      <c r="N845" s="5">
        <v>43608</v>
      </c>
      <c r="O845" s="7"/>
      <c r="P845" s="6" t="str">
        <f>"300.750,00"</f>
        <v>300.750,00</v>
      </c>
      <c r="Q845" s="7"/>
      <c r="R845" s="1"/>
      <c r="S845" s="1" t="str">
        <f>"1-19/NOS-89-A/17"</f>
        <v>1-19/NOS-89-A/17</v>
      </c>
      <c r="T845" s="2" t="s">
        <v>33</v>
      </c>
    </row>
    <row r="846" spans="1:20" ht="38.25" x14ac:dyDescent="0.25">
      <c r="A846" s="1">
        <v>842</v>
      </c>
      <c r="B846" s="1" t="str">
        <f>"2017-2653"</f>
        <v>2017-2653</v>
      </c>
      <c r="C846" s="2" t="s">
        <v>755</v>
      </c>
      <c r="D846" s="1" t="s">
        <v>478</v>
      </c>
      <c r="E846" s="3" t="str">
        <f>"2017/S 0F2-0016647"</f>
        <v>2017/S 0F2-0016647</v>
      </c>
      <c r="F846" s="2" t="s">
        <v>23</v>
      </c>
      <c r="G846" s="2" t="str">
        <f>CONCATENATE("ŠTAND EXPO D.O.O.,"," GORNJOSTUPNIČKI ODVOJAK 7,"," 10255 GORNJI STUPNIK,"," OIB: 29980236683")</f>
        <v>ŠTAND EXPO D.O.O., GORNJOSTUPNIČKI ODVOJAK 7, 10255 GORNJI STUPNIK, OIB: 29980236683</v>
      </c>
      <c r="H846" s="4"/>
      <c r="I846" s="1" t="s">
        <v>732</v>
      </c>
      <c r="J846" s="1" t="s">
        <v>753</v>
      </c>
      <c r="K846" s="6" t="str">
        <f>"1.000.000,00"</f>
        <v>1.000.000,00</v>
      </c>
      <c r="L846" s="6" t="str">
        <f>"250.000,00"</f>
        <v>250.000,00</v>
      </c>
      <c r="M846" s="6" t="str">
        <f>"1.250.000,00"</f>
        <v>1.250.000,00</v>
      </c>
      <c r="N846" s="7"/>
      <c r="O846" s="7"/>
      <c r="P846" s="6" t="str">
        <f>""</f>
        <v/>
      </c>
      <c r="Q846" s="7"/>
      <c r="R846" s="1"/>
      <c r="S846" s="1" t="str">
        <f>"NOS-89-B/17"</f>
        <v>NOS-89-B/17</v>
      </c>
      <c r="T846" s="2" t="s">
        <v>33</v>
      </c>
    </row>
    <row r="847" spans="1:20" ht="38.25" x14ac:dyDescent="0.25">
      <c r="A847" s="1">
        <v>843</v>
      </c>
      <c r="B847" s="1" t="str">
        <f>"2017-2653"</f>
        <v>2017-2653</v>
      </c>
      <c r="C847" s="2" t="s">
        <v>755</v>
      </c>
      <c r="D847" s="1" t="s">
        <v>478</v>
      </c>
      <c r="E847" s="3" t="str">
        <f>""</f>
        <v/>
      </c>
      <c r="F847" s="2" t="s">
        <v>27</v>
      </c>
      <c r="G847" s="2" t="str">
        <f>CONCATENATE("ŠTAND EXPO D.O.O.,"," GORNJOSTUPNIČKI ODVOJAK 7,"," 10255 GORNJI STUPNIK,"," OIB: 29980236683")</f>
        <v>ŠTAND EXPO D.O.O., GORNJOSTUPNIČKI ODVOJAK 7, 10255 GORNJI STUPNIK, OIB: 29980236683</v>
      </c>
      <c r="H847" s="4"/>
      <c r="I847" s="1" t="s">
        <v>462</v>
      </c>
      <c r="J847" s="1" t="s">
        <v>121</v>
      </c>
      <c r="K847" s="6" t="str">
        <f>"249.952,00"</f>
        <v>249.952,00</v>
      </c>
      <c r="L847" s="6" t="str">
        <f>"47.842,25"</f>
        <v>47.842,25</v>
      </c>
      <c r="M847" s="6" t="str">
        <f>"239.211,25"</f>
        <v>239.211,25</v>
      </c>
      <c r="N847" s="5">
        <v>43614</v>
      </c>
      <c r="O847" s="7"/>
      <c r="P847" s="6" t="str">
        <f>"239.211,25"</f>
        <v>239.211,25</v>
      </c>
      <c r="Q847" s="7"/>
      <c r="R847" s="1"/>
      <c r="S847" s="1" t="str">
        <f>"1-19/NOS-89-B/17"</f>
        <v>1-19/NOS-89-B/17</v>
      </c>
      <c r="T847" s="2" t="s">
        <v>33</v>
      </c>
    </row>
    <row r="848" spans="1:20" ht="76.5" x14ac:dyDescent="0.25">
      <c r="A848" s="1">
        <v>844</v>
      </c>
      <c r="B848" s="1" t="str">
        <f t="shared" ref="B848:B855" si="83">"2017-359"</f>
        <v>2017-359</v>
      </c>
      <c r="C848" s="2" t="s">
        <v>756</v>
      </c>
      <c r="D848" s="1" t="s">
        <v>757</v>
      </c>
      <c r="E848" s="3" t="str">
        <f>"2017/S 0F2-0016642"</f>
        <v>2017/S 0F2-0016642</v>
      </c>
      <c r="F848" s="2" t="s">
        <v>23</v>
      </c>
      <c r="G848" s="2" t="str">
        <f>CONCATENATE("FDS-TRGOVINA D.O.O.,"," MAJSTORSKA 1G,"," 10000 ZAGREB,"," OIB: 71814187727",CHAR(10),"AQUA-INVEST D.O.O.,"," ZAGREBAČKA 15G,"," 47000 KARLOVAC,"," OIB: 35253134835",CHAR(10),"MILENIUM TRADE D.O.O.,"," MAJSTORSKA 3,"," 10000 ZAGREB,"," OIB: 71478371695")</f>
        <v>FDS-TRGOVINA D.O.O., MAJSTORSKA 1G, 10000 ZAGREB, OIB: 71814187727
AQUA-INVEST D.O.O., ZAGREBAČKA 15G, 47000 KARLOVAC, OIB: 35253134835
MILENIUM TRADE D.O.O., MAJSTORSKA 3, 10000 ZAGREB, OIB: 71478371695</v>
      </c>
      <c r="H848" s="4"/>
      <c r="I848" s="1" t="s">
        <v>758</v>
      </c>
      <c r="J848" s="1" t="s">
        <v>759</v>
      </c>
      <c r="K848" s="6" t="str">
        <f>"1.590.000,00"</f>
        <v>1.590.000,00</v>
      </c>
      <c r="L848" s="6" t="str">
        <f>"397.500,00"</f>
        <v>397.500,00</v>
      </c>
      <c r="M848" s="6" t="str">
        <f>"1.987.500,00"</f>
        <v>1.987.500,00</v>
      </c>
      <c r="N848" s="7"/>
      <c r="O848" s="7"/>
      <c r="P848" s="6" t="str">
        <f>""</f>
        <v/>
      </c>
      <c r="Q848" s="7"/>
      <c r="R848" s="1"/>
      <c r="S848" s="1" t="str">
        <f>"NOS-90/17"</f>
        <v>NOS-90/17</v>
      </c>
      <c r="T848" s="2" t="s">
        <v>26</v>
      </c>
    </row>
    <row r="849" spans="1:20" ht="25.5" x14ac:dyDescent="0.25">
      <c r="A849" s="1">
        <v>845</v>
      </c>
      <c r="B849" s="1" t="str">
        <f t="shared" si="83"/>
        <v>2017-359</v>
      </c>
      <c r="C849" s="2" t="s">
        <v>756</v>
      </c>
      <c r="D849" s="4"/>
      <c r="E849" s="3" t="str">
        <f>""</f>
        <v/>
      </c>
      <c r="F849" s="2" t="s">
        <v>27</v>
      </c>
      <c r="G849" s="2" t="str">
        <f t="shared" ref="G849:G855" si="84">CONCATENATE("MILENIUM TRADE D.O.O.,"," MAJSTORSKA 3,"," 10000 ZAGREB,"," OIB: 71478371695")</f>
        <v>MILENIUM TRADE D.O.O., MAJSTORSKA 3, 10000 ZAGREB, OIB: 71478371695</v>
      </c>
      <c r="H849" s="4"/>
      <c r="I849" s="1" t="s">
        <v>263</v>
      </c>
      <c r="J849" s="1" t="s">
        <v>114</v>
      </c>
      <c r="K849" s="6" t="str">
        <f>"57.663,86"</f>
        <v>57.663,86</v>
      </c>
      <c r="L849" s="6" t="str">
        <f>"14.415,97"</f>
        <v>14.415,97</v>
      </c>
      <c r="M849" s="6" t="str">
        <f>"72.079,83"</f>
        <v>72.079,83</v>
      </c>
      <c r="N849" s="5">
        <v>43585</v>
      </c>
      <c r="O849" s="7"/>
      <c r="P849" s="6" t="str">
        <f>"71.445,00"</f>
        <v>71.445,00</v>
      </c>
      <c r="Q849" s="7"/>
      <c r="R849" s="1"/>
      <c r="S849" s="1" t="str">
        <f>"19-18/NOS-90/17"</f>
        <v>19-18/NOS-90/17</v>
      </c>
      <c r="T849" s="2" t="s">
        <v>33</v>
      </c>
    </row>
    <row r="850" spans="1:20" ht="25.5" x14ac:dyDescent="0.25">
      <c r="A850" s="1">
        <v>846</v>
      </c>
      <c r="B850" s="1" t="str">
        <f t="shared" si="83"/>
        <v>2017-359</v>
      </c>
      <c r="C850" s="2" t="s">
        <v>756</v>
      </c>
      <c r="D850" s="4"/>
      <c r="E850" s="3" t="str">
        <f>""</f>
        <v/>
      </c>
      <c r="F850" s="2" t="s">
        <v>27</v>
      </c>
      <c r="G850" s="2" t="str">
        <f t="shared" si="84"/>
        <v>MILENIUM TRADE D.O.O., MAJSTORSKA 3, 10000 ZAGREB, OIB: 71478371695</v>
      </c>
      <c r="H850" s="4"/>
      <c r="I850" s="1" t="s">
        <v>334</v>
      </c>
      <c r="J850" s="1" t="s">
        <v>28</v>
      </c>
      <c r="K850" s="6" t="str">
        <f>"243.382,80"</f>
        <v>243.382,80</v>
      </c>
      <c r="L850" s="6" t="str">
        <f>"60.845,70"</f>
        <v>60.845,70</v>
      </c>
      <c r="M850" s="6" t="str">
        <f>"304.228,50"</f>
        <v>304.228,50</v>
      </c>
      <c r="N850" s="5">
        <v>43686</v>
      </c>
      <c r="O850" s="7"/>
      <c r="P850" s="6" t="str">
        <f>"100.217,75"</f>
        <v>100.217,75</v>
      </c>
      <c r="Q850" s="7"/>
      <c r="R850" s="1"/>
      <c r="S850" s="1" t="str">
        <f>"5-19/NOS-90/17"</f>
        <v>5-19/NOS-90/17</v>
      </c>
      <c r="T850" s="2" t="s">
        <v>29</v>
      </c>
    </row>
    <row r="851" spans="1:20" ht="38.25" x14ac:dyDescent="0.25">
      <c r="A851" s="1">
        <v>847</v>
      </c>
      <c r="B851" s="1" t="str">
        <f t="shared" si="83"/>
        <v>2017-359</v>
      </c>
      <c r="C851" s="2" t="s">
        <v>756</v>
      </c>
      <c r="D851" s="1" t="s">
        <v>757</v>
      </c>
      <c r="E851" s="3" t="str">
        <f>""</f>
        <v/>
      </c>
      <c r="F851" s="2" t="s">
        <v>27</v>
      </c>
      <c r="G851" s="2" t="str">
        <f t="shared" si="84"/>
        <v>MILENIUM TRADE D.O.O., MAJSTORSKA 3, 10000 ZAGREB, OIB: 71478371695</v>
      </c>
      <c r="H851" s="4"/>
      <c r="I851" s="1" t="s">
        <v>474</v>
      </c>
      <c r="J851" s="1" t="s">
        <v>140</v>
      </c>
      <c r="K851" s="6" t="str">
        <f>"1.421,00"</f>
        <v>1.421,00</v>
      </c>
      <c r="L851" s="6" t="str">
        <f>"355,25"</f>
        <v>355,25</v>
      </c>
      <c r="M851" s="6" t="str">
        <f>"1.776,25"</f>
        <v>1.776,25</v>
      </c>
      <c r="N851" s="5">
        <v>43497</v>
      </c>
      <c r="O851" s="7"/>
      <c r="P851" s="6" t="str">
        <f>"1.776,25"</f>
        <v>1.776,25</v>
      </c>
      <c r="Q851" s="7"/>
      <c r="R851" s="1"/>
      <c r="S851" s="1" t="str">
        <f>"18-18/NOS-90/17"</f>
        <v>18-18/NOS-90/17</v>
      </c>
      <c r="T851" s="2" t="s">
        <v>26</v>
      </c>
    </row>
    <row r="852" spans="1:20" ht="25.5" x14ac:dyDescent="0.25">
      <c r="A852" s="1">
        <v>848</v>
      </c>
      <c r="B852" s="1" t="str">
        <f t="shared" si="83"/>
        <v>2017-359</v>
      </c>
      <c r="C852" s="2" t="s">
        <v>756</v>
      </c>
      <c r="D852" s="1" t="s">
        <v>757</v>
      </c>
      <c r="E852" s="3" t="str">
        <f>""</f>
        <v/>
      </c>
      <c r="F852" s="2" t="s">
        <v>27</v>
      </c>
      <c r="G852" s="2" t="str">
        <f t="shared" si="84"/>
        <v>MILENIUM TRADE D.O.O., MAJSTORSKA 3, 10000 ZAGREB, OIB: 71478371695</v>
      </c>
      <c r="H852" s="4"/>
      <c r="I852" s="1" t="s">
        <v>293</v>
      </c>
      <c r="J852" s="1" t="s">
        <v>64</v>
      </c>
      <c r="K852" s="6" t="str">
        <f>"23.336,40"</f>
        <v>23.336,40</v>
      </c>
      <c r="L852" s="6" t="str">
        <f>"5.834,10"</f>
        <v>5.834,10</v>
      </c>
      <c r="M852" s="6" t="str">
        <f>"29.170,50"</f>
        <v>29.170,50</v>
      </c>
      <c r="N852" s="5">
        <v>43563</v>
      </c>
      <c r="O852" s="7"/>
      <c r="P852" s="6" t="str">
        <f>"25.770,50"</f>
        <v>25.770,50</v>
      </c>
      <c r="Q852" s="7"/>
      <c r="R852" s="1"/>
      <c r="S852" s="1" t="str">
        <f>"1-19/NOS-90/17"</f>
        <v>1-19/NOS-90/17</v>
      </c>
      <c r="T852" s="2" t="s">
        <v>33</v>
      </c>
    </row>
    <row r="853" spans="1:20" ht="25.5" x14ac:dyDescent="0.25">
      <c r="A853" s="1">
        <v>849</v>
      </c>
      <c r="B853" s="1" t="str">
        <f t="shared" si="83"/>
        <v>2017-359</v>
      </c>
      <c r="C853" s="2" t="s">
        <v>756</v>
      </c>
      <c r="D853" s="1" t="s">
        <v>757</v>
      </c>
      <c r="E853" s="3" t="str">
        <f>""</f>
        <v/>
      </c>
      <c r="F853" s="2" t="s">
        <v>27</v>
      </c>
      <c r="G853" s="2" t="str">
        <f t="shared" si="84"/>
        <v>MILENIUM TRADE D.O.O., MAJSTORSKA 3, 10000 ZAGREB, OIB: 71478371695</v>
      </c>
      <c r="H853" s="4"/>
      <c r="I853" s="1" t="s">
        <v>220</v>
      </c>
      <c r="J853" s="1" t="s">
        <v>455</v>
      </c>
      <c r="K853" s="6" t="str">
        <f>"28.245,00"</f>
        <v>28.245,00</v>
      </c>
      <c r="L853" s="6" t="str">
        <f>"7.061,25"</f>
        <v>7.061,25</v>
      </c>
      <c r="M853" s="6" t="str">
        <f>"35.306,25"</f>
        <v>35.306,25</v>
      </c>
      <c r="N853" s="5">
        <v>43595</v>
      </c>
      <c r="O853" s="7"/>
      <c r="P853" s="6" t="str">
        <f>"35.306,25"</f>
        <v>35.306,25</v>
      </c>
      <c r="Q853" s="7"/>
      <c r="R853" s="1"/>
      <c r="S853" s="1" t="str">
        <f>"2-19/NOS-90/17"</f>
        <v>2-19/NOS-90/17</v>
      </c>
      <c r="T853" s="2" t="s">
        <v>29</v>
      </c>
    </row>
    <row r="854" spans="1:20" ht="38.25" x14ac:dyDescent="0.25">
      <c r="A854" s="1">
        <v>850</v>
      </c>
      <c r="B854" s="1" t="str">
        <f t="shared" si="83"/>
        <v>2017-359</v>
      </c>
      <c r="C854" s="2" t="s">
        <v>756</v>
      </c>
      <c r="D854" s="1" t="s">
        <v>757</v>
      </c>
      <c r="E854" s="3" t="str">
        <f>""</f>
        <v/>
      </c>
      <c r="F854" s="2" t="s">
        <v>27</v>
      </c>
      <c r="G854" s="2" t="str">
        <f t="shared" si="84"/>
        <v>MILENIUM TRADE D.O.O., MAJSTORSKA 3, 10000 ZAGREB, OIB: 71478371695</v>
      </c>
      <c r="H854" s="4"/>
      <c r="I854" s="1" t="s">
        <v>551</v>
      </c>
      <c r="J854" s="1" t="s">
        <v>73</v>
      </c>
      <c r="K854" s="6" t="str">
        <f>"25.484,40"</f>
        <v>25.484,40</v>
      </c>
      <c r="L854" s="6" t="str">
        <f>"6.371,10"</f>
        <v>6.371,10</v>
      </c>
      <c r="M854" s="6" t="str">
        <f>"31.855,50"</f>
        <v>31.855,50</v>
      </c>
      <c r="N854" s="5">
        <v>43679</v>
      </c>
      <c r="O854" s="7"/>
      <c r="P854" s="6" t="str">
        <f>"31.855,50"</f>
        <v>31.855,50</v>
      </c>
      <c r="Q854" s="7"/>
      <c r="R854" s="1"/>
      <c r="S854" s="1" t="str">
        <f>"4-19/NOS-90/17"</f>
        <v>4-19/NOS-90/17</v>
      </c>
      <c r="T854" s="2" t="s">
        <v>26</v>
      </c>
    </row>
    <row r="855" spans="1:20" ht="25.5" x14ac:dyDescent="0.25">
      <c r="A855" s="1">
        <v>851</v>
      </c>
      <c r="B855" s="1" t="str">
        <f t="shared" si="83"/>
        <v>2017-359</v>
      </c>
      <c r="C855" s="2" t="s">
        <v>756</v>
      </c>
      <c r="D855" s="1" t="s">
        <v>757</v>
      </c>
      <c r="E855" s="3" t="str">
        <f>""</f>
        <v/>
      </c>
      <c r="F855" s="2" t="s">
        <v>27</v>
      </c>
      <c r="G855" s="2" t="str">
        <f t="shared" si="84"/>
        <v>MILENIUM TRADE D.O.O., MAJSTORSKA 3, 10000 ZAGREB, OIB: 71478371695</v>
      </c>
      <c r="H855" s="4"/>
      <c r="I855" s="1" t="s">
        <v>320</v>
      </c>
      <c r="J855" s="1" t="s">
        <v>114</v>
      </c>
      <c r="K855" s="6" t="str">
        <f>"15.238,00"</f>
        <v>15.238,00</v>
      </c>
      <c r="L855" s="6" t="str">
        <f>"3.809,50"</f>
        <v>3.809,50</v>
      </c>
      <c r="M855" s="6" t="str">
        <f>"19.047,50"</f>
        <v>19.047,50</v>
      </c>
      <c r="N855" s="5">
        <v>43634</v>
      </c>
      <c r="O855" s="7"/>
      <c r="P855" s="6" t="str">
        <f>"19.047,50"</f>
        <v>19.047,50</v>
      </c>
      <c r="Q855" s="7"/>
      <c r="R855" s="1"/>
      <c r="S855" s="1" t="str">
        <f>"6-19/NOS-90/17"</f>
        <v>6-19/NOS-90/17</v>
      </c>
      <c r="T855" s="2" t="s">
        <v>33</v>
      </c>
    </row>
    <row r="856" spans="1:20" ht="51" x14ac:dyDescent="0.25">
      <c r="A856" s="1">
        <v>852</v>
      </c>
      <c r="B856" s="1" t="str">
        <f>"2017-349"</f>
        <v>2017-349</v>
      </c>
      <c r="C856" s="2" t="s">
        <v>760</v>
      </c>
      <c r="D856" s="1" t="s">
        <v>599</v>
      </c>
      <c r="E856" s="3" t="str">
        <f>"2017/S 0F2-0020140"</f>
        <v>2017/S 0F2-0020140</v>
      </c>
      <c r="F856" s="2" t="s">
        <v>23</v>
      </c>
      <c r="G856" s="2" t="str">
        <f>CONCATENATE("INDUSTROOPREMA D.O.O.,"," CMP OBRTNIČKA 1,"," 10000 ZAGREB,"," OIB: 01291306683",CHAR(10),"AUTO-MAG D.O.O.,"," GORNJOSTUPNIČKA 1/d,"," 10255 GORNJI STUPNIK,"," OIB: 99940897955")</f>
        <v>INDUSTROOPREMA D.O.O., CMP OBRTNIČKA 1, 10000 ZAGREB, OIB: 01291306683
AUTO-MAG D.O.O., GORNJOSTUPNIČKA 1/d, 10255 GORNJI STUPNIK, OIB: 99940897955</v>
      </c>
      <c r="H856" s="4"/>
      <c r="I856" s="1" t="s">
        <v>758</v>
      </c>
      <c r="J856" s="1" t="s">
        <v>759</v>
      </c>
      <c r="K856" s="6" t="str">
        <f>"800.000,00"</f>
        <v>800.000,00</v>
      </c>
      <c r="L856" s="6" t="str">
        <f>"200.000,00"</f>
        <v>200.000,00</v>
      </c>
      <c r="M856" s="6" t="str">
        <f>"1.000.000,00"</f>
        <v>1.000.000,00</v>
      </c>
      <c r="N856" s="7"/>
      <c r="O856" s="7"/>
      <c r="P856" s="6" t="str">
        <f>""</f>
        <v/>
      </c>
      <c r="Q856" s="7"/>
      <c r="R856" s="1"/>
      <c r="S856" s="1" t="str">
        <f>"NOS-91/17"</f>
        <v>NOS-91/17</v>
      </c>
      <c r="T856" s="2" t="s">
        <v>33</v>
      </c>
    </row>
    <row r="857" spans="1:20" ht="140.25" x14ac:dyDescent="0.25">
      <c r="A857" s="1">
        <v>853</v>
      </c>
      <c r="B857" s="1" t="str">
        <f>"2017-1446"</f>
        <v>2017-1446</v>
      </c>
      <c r="C857" s="2" t="s">
        <v>761</v>
      </c>
      <c r="D857" s="1" t="s">
        <v>762</v>
      </c>
      <c r="E857" s="3" t="str">
        <f>"2017/S 0F2-0011392"</f>
        <v>2017/S 0F2-0011392</v>
      </c>
      <c r="F857" s="2" t="s">
        <v>23</v>
      </c>
      <c r="G857" s="2" t="str">
        <f>CONCATENATE("VERIDON D.O.O.,"," LISIČINA 20,"," 10000 ZAGREB,"," OIB: 81434223394",CHAR(10),"GRAĐEVINSKI RADOVI D.O.O.,"," SV.ROKA 16,"," 10020 ZAGREB,"," OIB: 362335445")</f>
        <v>VERIDON D.O.O., LISIČINA 20, 10000 ZAGREB, OIB: 81434223394
GRAĐEVINSKI RADOVI D.O.O., SV.ROKA 16, 10020 ZAGREB, OIB: 362335445</v>
      </c>
      <c r="H857" s="1" t="str">
        <f>CONCATENATE("TIHOMAR NEKRETNINE,"," OIB: 15379717048",CHAR(10),"EXHIBEO ARHITEKTURA D.O.O.,"," OIB: 56027923024",CHAR(10),"KOPGRAD STUDIO D.O.O,"," OIB: 60437592")</f>
        <v>TIHOMAR NEKRETNINE, OIB: 15379717048
EXHIBEO ARHITEKTURA D.O.O., OIB: 56027923024
KOPGRAD STUDIO D.O.O, OIB: 60437592</v>
      </c>
      <c r="I857" s="1" t="s">
        <v>763</v>
      </c>
      <c r="J857" s="1" t="s">
        <v>764</v>
      </c>
      <c r="K857" s="6" t="str">
        <f>"4.000.000,00"</f>
        <v>4.000.000,00</v>
      </c>
      <c r="L857" s="6" t="str">
        <f>"1.000.000,00"</f>
        <v>1.000.000,00</v>
      </c>
      <c r="M857" s="6" t="str">
        <f>"5.000.000,00"</f>
        <v>5.000.000,00</v>
      </c>
      <c r="N857" s="7"/>
      <c r="O857" s="7"/>
      <c r="P857" s="6" t="str">
        <f>""</f>
        <v/>
      </c>
      <c r="Q857" s="7"/>
      <c r="R857" s="1"/>
      <c r="S857" s="1" t="str">
        <f>"NOS-92/17"</f>
        <v>NOS-92/17</v>
      </c>
      <c r="T857" s="2" t="s">
        <v>33</v>
      </c>
    </row>
    <row r="858" spans="1:20" ht="38.25" x14ac:dyDescent="0.25">
      <c r="A858" s="1">
        <v>854</v>
      </c>
      <c r="B858" s="1" t="str">
        <f>"2017-1446"</f>
        <v>2017-1446</v>
      </c>
      <c r="C858" s="2" t="s">
        <v>761</v>
      </c>
      <c r="D858" s="4"/>
      <c r="E858" s="3" t="str">
        <f>""</f>
        <v/>
      </c>
      <c r="F858" s="2" t="s">
        <v>27</v>
      </c>
      <c r="G858" s="2" t="str">
        <f>CONCATENATE("GRAĐEVINSKI RADOVI D.O.O.,"," SV.ROKA 16,"," 10020 ZAGREB,"," OIB: 362335445")</f>
        <v>GRAĐEVINSKI RADOVI D.O.O., SV.ROKA 16, 10020 ZAGREB, OIB: 362335445</v>
      </c>
      <c r="H858" s="4"/>
      <c r="I858" s="1" t="s">
        <v>175</v>
      </c>
      <c r="J858" s="1" t="s">
        <v>114</v>
      </c>
      <c r="K858" s="6" t="str">
        <f>"308.161,00"</f>
        <v>308.161,00</v>
      </c>
      <c r="L858" s="6" t="str">
        <f>"77.040,25"</f>
        <v>77.040,25</v>
      </c>
      <c r="M858" s="6" t="str">
        <f>"385.201,25"</f>
        <v>385.201,25</v>
      </c>
      <c r="N858" s="5">
        <v>43511</v>
      </c>
      <c r="O858" s="7"/>
      <c r="P858" s="6" t="str">
        <f>"377.204,45"</f>
        <v>377.204,45</v>
      </c>
      <c r="Q858" s="7"/>
      <c r="R858" s="1"/>
      <c r="S858" s="1" t="str">
        <f>"6-18/NOS-92/17"</f>
        <v>6-18/NOS-92/17</v>
      </c>
      <c r="T858" s="2" t="s">
        <v>33</v>
      </c>
    </row>
    <row r="859" spans="1:20" ht="51" x14ac:dyDescent="0.25">
      <c r="A859" s="1">
        <v>855</v>
      </c>
      <c r="B859" s="1" t="str">
        <f>"2017-1446"</f>
        <v>2017-1446</v>
      </c>
      <c r="C859" s="2" t="s">
        <v>765</v>
      </c>
      <c r="D859" s="4"/>
      <c r="E859" s="3" t="str">
        <f>""</f>
        <v/>
      </c>
      <c r="F859" s="2" t="s">
        <v>52</v>
      </c>
      <c r="G859" s="2" t="str">
        <f>CONCATENATE("GRAĐEVINSKI RADOVI D.O.O.,"," SV.ROKA 16,"," 10020 ZAGREB,"," OIB: 362335445")</f>
        <v>GRAĐEVINSKI RADOVI D.O.O., SV.ROKA 16, 10020 ZAGREB, OIB: 362335445</v>
      </c>
      <c r="H859" s="4"/>
      <c r="I859" s="1" t="s">
        <v>403</v>
      </c>
      <c r="J859" s="1" t="s">
        <v>766</v>
      </c>
      <c r="K859" s="6" t="str">
        <f>"5.176,36"</f>
        <v>5.176,36</v>
      </c>
      <c r="L859" s="6" t="str">
        <f>"1.294,09"</f>
        <v>1.294,09</v>
      </c>
      <c r="M859" s="6" t="str">
        <f>"6.470,45"</f>
        <v>6.470,45</v>
      </c>
      <c r="N859" s="5">
        <v>43648</v>
      </c>
      <c r="O859" s="7"/>
      <c r="P859" s="6" t="str">
        <f>"6.470,45"</f>
        <v>6.470,45</v>
      </c>
      <c r="Q859" s="7"/>
      <c r="R859" s="1"/>
      <c r="S859" s="1" t="str">
        <f>"6-18/NOS-92/17#1"</f>
        <v>6-18/NOS-92/17#1</v>
      </c>
      <c r="T859" s="2" t="s">
        <v>33</v>
      </c>
    </row>
    <row r="860" spans="1:20" ht="140.25" x14ac:dyDescent="0.25">
      <c r="A860" s="1">
        <v>856</v>
      </c>
      <c r="B860" s="1" t="str">
        <f>"2017-1446"</f>
        <v>2017-1446</v>
      </c>
      <c r="C860" s="2" t="s">
        <v>761</v>
      </c>
      <c r="D860" s="1" t="s">
        <v>762</v>
      </c>
      <c r="E860" s="3" t="str">
        <f>""</f>
        <v/>
      </c>
      <c r="F860" s="2" t="s">
        <v>27</v>
      </c>
      <c r="G860" s="2" t="str">
        <f>CONCATENATE("GRAĐEVINSKI RADOVI D.O.O.,"," SV.ROKA 16,"," 10020 ZAGREB,"," OIB: 362335445")</f>
        <v>GRAĐEVINSKI RADOVI D.O.O., SV.ROKA 16, 10020 ZAGREB, OIB: 362335445</v>
      </c>
      <c r="H860" s="1" t="str">
        <f>CONCATENATE("TIHOMAR NEKRETNINE,"," OIB: 15379717048",CHAR(10),"EXHIBEO ARHITEKTURA D.O.O.,"," OIB: 56027923024",CHAR(10),"KOPGRAD STUDIO D.O.O,"," OIB: 60437592")</f>
        <v>TIHOMAR NEKRETNINE, OIB: 15379717048
EXHIBEO ARHITEKTURA D.O.O., OIB: 56027923024
KOPGRAD STUDIO D.O.O, OIB: 60437592</v>
      </c>
      <c r="I860" s="1" t="s">
        <v>225</v>
      </c>
      <c r="J860" s="1" t="s">
        <v>121</v>
      </c>
      <c r="K860" s="6" t="str">
        <f>"982,00"</f>
        <v>982,00</v>
      </c>
      <c r="L860" s="6" t="str">
        <f>"245,50"</f>
        <v>245,50</v>
      </c>
      <c r="M860" s="6" t="str">
        <f>"1.227,50"</f>
        <v>1.227,50</v>
      </c>
      <c r="N860" s="5">
        <v>43528</v>
      </c>
      <c r="O860" s="7"/>
      <c r="P860" s="6" t="str">
        <f>"1.227,50"</f>
        <v>1.227,50</v>
      </c>
      <c r="Q860" s="7"/>
      <c r="R860" s="1"/>
      <c r="S860" s="1" t="str">
        <f>"1-19/NOS-92/17"</f>
        <v>1-19/NOS-92/17</v>
      </c>
      <c r="T860" s="2" t="s">
        <v>33</v>
      </c>
    </row>
    <row r="861" spans="1:20" ht="140.25" x14ac:dyDescent="0.25">
      <c r="A861" s="1">
        <v>857</v>
      </c>
      <c r="B861" s="1" t="str">
        <f>"2017-1446"</f>
        <v>2017-1446</v>
      </c>
      <c r="C861" s="2" t="s">
        <v>761</v>
      </c>
      <c r="D861" s="1" t="s">
        <v>762</v>
      </c>
      <c r="E861" s="3" t="str">
        <f>""</f>
        <v/>
      </c>
      <c r="F861" s="2" t="s">
        <v>27</v>
      </c>
      <c r="G861" s="2" t="str">
        <f>CONCATENATE("GRAĐEVINSKI RADOVI D.O.O.,"," SV.ROKA 16,"," 10020 ZAGREB,"," OIB: 362335445")</f>
        <v>GRAĐEVINSKI RADOVI D.O.O., SV.ROKA 16, 10020 ZAGREB, OIB: 362335445</v>
      </c>
      <c r="H861" s="1" t="str">
        <f>CONCATENATE("TIHOMAR NEKRETNINE,"," OIB: 15379717048",CHAR(10),"EXHIBEO ARHITEKTURA D.O.O.,"," OIB: 56027923024",CHAR(10),"KOPGRAD STUDIO D.O.O,"," OIB: 60437592")</f>
        <v>TIHOMAR NEKRETNINE, OIB: 15379717048
EXHIBEO ARHITEKTURA D.O.O., OIB: 56027923024
KOPGRAD STUDIO D.O.O, OIB: 60437592</v>
      </c>
      <c r="I861" s="1" t="s">
        <v>241</v>
      </c>
      <c r="J861" s="1" t="s">
        <v>121</v>
      </c>
      <c r="K861" s="6" t="str">
        <f>"6.756,00"</f>
        <v>6.756,00</v>
      </c>
      <c r="L861" s="6" t="str">
        <f>"1.689,00"</f>
        <v>1.689,00</v>
      </c>
      <c r="M861" s="6" t="str">
        <f>"8.445,00"</f>
        <v>8.445,00</v>
      </c>
      <c r="N861" s="5">
        <v>43523</v>
      </c>
      <c r="O861" s="7"/>
      <c r="P861" s="6" t="str">
        <f>"8.445,00"</f>
        <v>8.445,00</v>
      </c>
      <c r="Q861" s="7"/>
      <c r="R861" s="1"/>
      <c r="S861" s="1" t="str">
        <f>"2-19/NOS-92/17"</f>
        <v>2-19/NOS-92/17</v>
      </c>
      <c r="T861" s="2" t="s">
        <v>33</v>
      </c>
    </row>
    <row r="862" spans="1:20" ht="38.25" x14ac:dyDescent="0.25">
      <c r="A862" s="1">
        <v>858</v>
      </c>
      <c r="B862" s="1" t="str">
        <f>"2017-2751"</f>
        <v>2017-2751</v>
      </c>
      <c r="C862" s="2" t="s">
        <v>767</v>
      </c>
      <c r="D862" s="1" t="s">
        <v>768</v>
      </c>
      <c r="E862" s="3" t="str">
        <f>"2017/S 0F2-0017466"</f>
        <v>2017/S 0F2-0017466</v>
      </c>
      <c r="F862" s="2" t="s">
        <v>23</v>
      </c>
      <c r="G862" s="2" t="str">
        <f>CONCATENATE("CHROMOS D.D.,"," ZAGREBAČKA 30,"," 10430 SAMOBOR,"," OIB: 08231288332")</f>
        <v>CHROMOS D.D., ZAGREBAČKA 30, 10430 SAMOBOR, OIB: 08231288332</v>
      </c>
      <c r="H862" s="4"/>
      <c r="I862" s="1" t="s">
        <v>763</v>
      </c>
      <c r="J862" s="1" t="s">
        <v>769</v>
      </c>
      <c r="K862" s="6" t="str">
        <f>"420.000,00"</f>
        <v>420.000,00</v>
      </c>
      <c r="L862" s="6" t="str">
        <f>"105.000,00"</f>
        <v>105.000,00</v>
      </c>
      <c r="M862" s="6" t="str">
        <f>"525.000,00"</f>
        <v>525.000,00</v>
      </c>
      <c r="N862" s="7"/>
      <c r="O862" s="7"/>
      <c r="P862" s="6" t="str">
        <f>""</f>
        <v/>
      </c>
      <c r="Q862" s="7"/>
      <c r="R862" s="1"/>
      <c r="S862" s="1" t="str">
        <f>"NOS-93/17"</f>
        <v>NOS-93/17</v>
      </c>
      <c r="T862" s="2" t="s">
        <v>33</v>
      </c>
    </row>
    <row r="863" spans="1:20" ht="25.5" x14ac:dyDescent="0.25">
      <c r="A863" s="1">
        <v>859</v>
      </c>
      <c r="B863" s="1" t="str">
        <f>"2017-2751"</f>
        <v>2017-2751</v>
      </c>
      <c r="C863" s="2" t="s">
        <v>767</v>
      </c>
      <c r="D863" s="1" t="s">
        <v>768</v>
      </c>
      <c r="E863" s="3" t="str">
        <f>""</f>
        <v/>
      </c>
      <c r="F863" s="2" t="s">
        <v>27</v>
      </c>
      <c r="G863" s="2" t="str">
        <f>CONCATENATE("CHROMOS D.D.,"," ZAGREBAČKA 30,"," 10430 SAMOBOR,"," OIB: 08231288332")</f>
        <v>CHROMOS D.D., ZAGREBAČKA 30, 10430 SAMOBOR, OIB: 08231288332</v>
      </c>
      <c r="H863" s="4"/>
      <c r="I863" s="1" t="s">
        <v>431</v>
      </c>
      <c r="J863" s="1" t="s">
        <v>492</v>
      </c>
      <c r="K863" s="6" t="str">
        <f>"46.660,00"</f>
        <v>46.660,00</v>
      </c>
      <c r="L863" s="6" t="str">
        <f>"11.653,34"</f>
        <v>11.653,34</v>
      </c>
      <c r="M863" s="6" t="str">
        <f>"58.266,68"</f>
        <v>58.266,68</v>
      </c>
      <c r="N863" s="5">
        <v>43623</v>
      </c>
      <c r="O863" s="7"/>
      <c r="P863" s="6" t="str">
        <f>"58.266,68"</f>
        <v>58.266,68</v>
      </c>
      <c r="Q863" s="7"/>
      <c r="R863" s="1"/>
      <c r="S863" s="1" t="str">
        <f>"1-19/NOS-93/17"</f>
        <v>1-19/NOS-93/17</v>
      </c>
      <c r="T863" s="2" t="s">
        <v>33</v>
      </c>
    </row>
    <row r="864" spans="1:20" ht="25.5" x14ac:dyDescent="0.25">
      <c r="A864" s="1">
        <v>860</v>
      </c>
      <c r="B864" s="1" t="str">
        <f>"2017-2751"</f>
        <v>2017-2751</v>
      </c>
      <c r="C864" s="2" t="s">
        <v>767</v>
      </c>
      <c r="D864" s="1" t="s">
        <v>768</v>
      </c>
      <c r="E864" s="3" t="str">
        <f>""</f>
        <v/>
      </c>
      <c r="F864" s="2" t="s">
        <v>27</v>
      </c>
      <c r="G864" s="2" t="str">
        <f>CONCATENATE("CHROMOS D.D.,"," ZAGREBAČKA 30,"," 10430 SAMOBOR,"," OIB: 08231288332")</f>
        <v>CHROMOS D.D., ZAGREBAČKA 30, 10430 SAMOBOR, OIB: 08231288332</v>
      </c>
      <c r="H864" s="4"/>
      <c r="I864" s="1" t="s">
        <v>628</v>
      </c>
      <c r="J864" s="1" t="s">
        <v>492</v>
      </c>
      <c r="K864" s="6" t="str">
        <f>"116.650,00"</f>
        <v>116.650,00</v>
      </c>
      <c r="L864" s="6" t="str">
        <f>"16.272,68"</f>
        <v>16.272,68</v>
      </c>
      <c r="M864" s="6" t="str">
        <f>"81.363,38"</f>
        <v>81.363,38</v>
      </c>
      <c r="N864" s="5">
        <v>43699</v>
      </c>
      <c r="O864" s="7"/>
      <c r="P864" s="6" t="str">
        <f>"81.363,38"</f>
        <v>81.363,38</v>
      </c>
      <c r="Q864" s="7"/>
      <c r="R864" s="1"/>
      <c r="S864" s="1" t="str">
        <f>"2-19/NOS-93/17"</f>
        <v>2-19/NOS-93/17</v>
      </c>
      <c r="T864" s="2" t="s">
        <v>33</v>
      </c>
    </row>
    <row r="865" spans="1:20" ht="38.25" x14ac:dyDescent="0.25">
      <c r="A865" s="1">
        <v>861</v>
      </c>
      <c r="B865" s="1" t="str">
        <f>"2017-2126"</f>
        <v>2017-2126</v>
      </c>
      <c r="C865" s="2" t="s">
        <v>770</v>
      </c>
      <c r="D865" s="1" t="s">
        <v>327</v>
      </c>
      <c r="E865" s="3" t="str">
        <f>"2017/S 0F2-0018473"</f>
        <v>2017/S 0F2-0018473</v>
      </c>
      <c r="F865" s="2" t="s">
        <v>23</v>
      </c>
      <c r="G865" s="2" t="str">
        <f>CONCATENATE("GRADSKA PLINARA ZAGREB-OPSKRBA D.O.O.,"," RADNIČKA CESTA 1,"," 10000 ZAGREB,"," OIB: 74364571096")</f>
        <v>GRADSKA PLINARA ZAGREB-OPSKRBA D.O.O., RADNIČKA CESTA 1, 10000 ZAGREB, OIB: 74364571096</v>
      </c>
      <c r="H865" s="4"/>
      <c r="I865" s="1" t="s">
        <v>728</v>
      </c>
      <c r="J865" s="1" t="s">
        <v>729</v>
      </c>
      <c r="K865" s="6" t="str">
        <f>"600.000,00"</f>
        <v>600.000,00</v>
      </c>
      <c r="L865" s="6" t="str">
        <f>"150.000,00"</f>
        <v>150.000,00</v>
      </c>
      <c r="M865" s="6" t="str">
        <f>"750.000,00"</f>
        <v>750.000,00</v>
      </c>
      <c r="N865" s="7"/>
      <c r="O865" s="7"/>
      <c r="P865" s="6" t="str">
        <f>""</f>
        <v/>
      </c>
      <c r="Q865" s="7"/>
      <c r="R865" s="1"/>
      <c r="S865" s="1" t="str">
        <f>"NOS-94/17"</f>
        <v>NOS-94/17</v>
      </c>
      <c r="T865" s="2" t="s">
        <v>538</v>
      </c>
    </row>
    <row r="866" spans="1:20" ht="38.25" x14ac:dyDescent="0.25">
      <c r="A866" s="1">
        <v>862</v>
      </c>
      <c r="B866" s="1" t="str">
        <f>"2017-2858"</f>
        <v>2017-2858</v>
      </c>
      <c r="C866" s="2" t="s">
        <v>771</v>
      </c>
      <c r="D866" s="1" t="s">
        <v>192</v>
      </c>
      <c r="E866" s="3" t="str">
        <f>"2017/S 0F2-0021505"</f>
        <v>2017/S 0F2-0021505</v>
      </c>
      <c r="F866" s="2" t="s">
        <v>23</v>
      </c>
      <c r="G866" s="2" t="str">
        <f>CONCATENATE("AUTO-MAG D.O.O.,"," GORNJOSTUPNIČKA 1/d,"," 10255 GORNJI STUPNIK,"," OIB: 99940897955")</f>
        <v>AUTO-MAG D.O.O., GORNJOSTUPNIČKA 1/d, 10255 GORNJI STUPNIK, OIB: 99940897955</v>
      </c>
      <c r="H866" s="4"/>
      <c r="I866" s="1" t="s">
        <v>772</v>
      </c>
      <c r="J866" s="1" t="s">
        <v>773</v>
      </c>
      <c r="K866" s="6" t="str">
        <f>"600.000,00"</f>
        <v>600.000,00</v>
      </c>
      <c r="L866" s="6" t="str">
        <f>"150.000,00"</f>
        <v>150.000,00</v>
      </c>
      <c r="M866" s="6" t="str">
        <f>"750.000,00"</f>
        <v>750.000,00</v>
      </c>
      <c r="N866" s="7"/>
      <c r="O866" s="7"/>
      <c r="P866" s="6" t="str">
        <f>""</f>
        <v/>
      </c>
      <c r="Q866" s="7"/>
      <c r="R866" s="1"/>
      <c r="S866" s="1" t="str">
        <f>"NOS-95/17"</f>
        <v>NOS-95/17</v>
      </c>
      <c r="T866" s="2" t="s">
        <v>33</v>
      </c>
    </row>
    <row r="867" spans="1:20" ht="25.5" x14ac:dyDescent="0.25">
      <c r="A867" s="1">
        <v>863</v>
      </c>
      <c r="B867" s="1" t="str">
        <f>"2017-2858"</f>
        <v>2017-2858</v>
      </c>
      <c r="C867" s="2" t="s">
        <v>771</v>
      </c>
      <c r="D867" s="1" t="s">
        <v>192</v>
      </c>
      <c r="E867" s="3" t="str">
        <f>""</f>
        <v/>
      </c>
      <c r="F867" s="2" t="s">
        <v>27</v>
      </c>
      <c r="G867" s="2" t="str">
        <f>CONCATENATE("AUTO-MAG D.O.O.,"," GORNJOSTUPNIČKA 1/d,"," 10255 GORNJI STUPNIK,"," OIB: 99940897955")</f>
        <v>AUTO-MAG D.O.O., GORNJOSTUPNIČKA 1/d, 10255 GORNJI STUPNIK, OIB: 99940897955</v>
      </c>
      <c r="H867" s="4"/>
      <c r="I867" s="1" t="s">
        <v>596</v>
      </c>
      <c r="J867" s="1" t="s">
        <v>469</v>
      </c>
      <c r="K867" s="6" t="str">
        <f>"5.650,12"</f>
        <v>5.650,12</v>
      </c>
      <c r="L867" s="6" t="str">
        <f>"0,00"</f>
        <v>0,00</v>
      </c>
      <c r="M867" s="6" t="str">
        <f>"0,00"</f>
        <v>0,00</v>
      </c>
      <c r="N867" s="1" t="s">
        <v>117</v>
      </c>
      <c r="O867" s="7"/>
      <c r="P867" s="6" t="str">
        <f>"0,00"</f>
        <v>0,00</v>
      </c>
      <c r="Q867" s="7"/>
      <c r="R867" s="1"/>
      <c r="S867" s="1" t="str">
        <f>"1-19/NOS-95/17"</f>
        <v>1-19/NOS-95/17</v>
      </c>
      <c r="T867" s="2" t="s">
        <v>33</v>
      </c>
    </row>
    <row r="868" spans="1:20" ht="38.25" x14ac:dyDescent="0.25">
      <c r="A868" s="1">
        <v>864</v>
      </c>
      <c r="B868" s="1" t="str">
        <f t="shared" ref="B868:B875" si="85">"2017-387"</f>
        <v>2017-387</v>
      </c>
      <c r="C868" s="2" t="s">
        <v>774</v>
      </c>
      <c r="D868" s="1" t="s">
        <v>430</v>
      </c>
      <c r="E868" s="3" t="str">
        <f>"2017/S 0F2-0017014"</f>
        <v>2017/S 0F2-0017014</v>
      </c>
      <c r="F868" s="2" t="s">
        <v>23</v>
      </c>
      <c r="G868" s="2" t="str">
        <f t="shared" ref="G868:G875" si="86">CONCATENATE("MBM VRTNI CENTAR D.O.O.,"," DOLENICA 8,"," 10250 LUČKO,"," OIB: 19462674595")</f>
        <v>MBM VRTNI CENTAR D.O.O., DOLENICA 8, 10250 LUČKO, OIB: 19462674595</v>
      </c>
      <c r="H868" s="4"/>
      <c r="I868" s="1" t="s">
        <v>775</v>
      </c>
      <c r="J868" s="1" t="s">
        <v>776</v>
      </c>
      <c r="K868" s="6" t="str">
        <f>"1.200.000,00"</f>
        <v>1.200.000,00</v>
      </c>
      <c r="L868" s="6" t="str">
        <f>"300.000,00"</f>
        <v>300.000,00</v>
      </c>
      <c r="M868" s="6" t="str">
        <f>"1.500.000,00"</f>
        <v>1.500.000,00</v>
      </c>
      <c r="N868" s="7"/>
      <c r="O868" s="7"/>
      <c r="P868" s="6" t="str">
        <f>""</f>
        <v/>
      </c>
      <c r="Q868" s="7"/>
      <c r="R868" s="1"/>
      <c r="S868" s="1" t="str">
        <f>"NOS-96-A/17"</f>
        <v>NOS-96-A/17</v>
      </c>
      <c r="T868" s="2" t="s">
        <v>33</v>
      </c>
    </row>
    <row r="869" spans="1:20" ht="38.25" x14ac:dyDescent="0.25">
      <c r="A869" s="1">
        <v>865</v>
      </c>
      <c r="B869" s="1" t="str">
        <f t="shared" si="85"/>
        <v>2017-387</v>
      </c>
      <c r="C869" s="2" t="s">
        <v>774</v>
      </c>
      <c r="D869" s="1" t="s">
        <v>430</v>
      </c>
      <c r="E869" s="3" t="str">
        <f>"2017/S 0F2-0017014"</f>
        <v>2017/S 0F2-0017014</v>
      </c>
      <c r="F869" s="2" t="s">
        <v>23</v>
      </c>
      <c r="G869" s="2" t="str">
        <f t="shared" si="86"/>
        <v>MBM VRTNI CENTAR D.O.O., DOLENICA 8, 10250 LUČKO, OIB: 19462674595</v>
      </c>
      <c r="H869" s="4"/>
      <c r="I869" s="1" t="s">
        <v>775</v>
      </c>
      <c r="J869" s="1" t="s">
        <v>776</v>
      </c>
      <c r="K869" s="6" t="str">
        <f>"700.000,00"</f>
        <v>700.000,00</v>
      </c>
      <c r="L869" s="6" t="str">
        <f>"175.000,00"</f>
        <v>175.000,00</v>
      </c>
      <c r="M869" s="6" t="str">
        <f>"875.000,00"</f>
        <v>875.000,00</v>
      </c>
      <c r="N869" s="7"/>
      <c r="O869" s="7"/>
      <c r="P869" s="6" t="str">
        <f>""</f>
        <v/>
      </c>
      <c r="Q869" s="7"/>
      <c r="R869" s="1"/>
      <c r="S869" s="1" t="str">
        <f>"NOS-96-B/17"</f>
        <v>NOS-96-B/17</v>
      </c>
      <c r="T869" s="2" t="s">
        <v>33</v>
      </c>
    </row>
    <row r="870" spans="1:20" ht="25.5" x14ac:dyDescent="0.25">
      <c r="A870" s="1">
        <v>866</v>
      </c>
      <c r="B870" s="1" t="str">
        <f t="shared" si="85"/>
        <v>2017-387</v>
      </c>
      <c r="C870" s="2" t="s">
        <v>774</v>
      </c>
      <c r="D870" s="1" t="s">
        <v>430</v>
      </c>
      <c r="E870" s="3" t="str">
        <f>""</f>
        <v/>
      </c>
      <c r="F870" s="2" t="s">
        <v>27</v>
      </c>
      <c r="G870" s="2" t="str">
        <f t="shared" si="86"/>
        <v>MBM VRTNI CENTAR D.O.O., DOLENICA 8, 10250 LUČKO, OIB: 19462674595</v>
      </c>
      <c r="H870" s="4"/>
      <c r="I870" s="1" t="s">
        <v>481</v>
      </c>
      <c r="J870" s="1" t="s">
        <v>242</v>
      </c>
      <c r="K870" s="6" t="str">
        <f>"239.965,00"</f>
        <v>239.965,00</v>
      </c>
      <c r="L870" s="6" t="str">
        <f>"49.304,34"</f>
        <v>49.304,34</v>
      </c>
      <c r="M870" s="6" t="str">
        <f>"246.521,70"</f>
        <v>246.521,70</v>
      </c>
      <c r="N870" s="5">
        <v>43713</v>
      </c>
      <c r="O870" s="7"/>
      <c r="P870" s="6" t="str">
        <f>"246.521,70"</f>
        <v>246.521,70</v>
      </c>
      <c r="Q870" s="7"/>
      <c r="R870" s="1"/>
      <c r="S870" s="1" t="str">
        <f>"1-19/NOS-96-B/17"</f>
        <v>1-19/NOS-96-B/17</v>
      </c>
      <c r="T870" s="2" t="s">
        <v>33</v>
      </c>
    </row>
    <row r="871" spans="1:20" ht="38.25" x14ac:dyDescent="0.25">
      <c r="A871" s="1">
        <v>867</v>
      </c>
      <c r="B871" s="1" t="str">
        <f t="shared" si="85"/>
        <v>2017-387</v>
      </c>
      <c r="C871" s="2" t="s">
        <v>774</v>
      </c>
      <c r="D871" s="1" t="s">
        <v>430</v>
      </c>
      <c r="E871" s="3" t="str">
        <f>"2017/S 0F2-0017014"</f>
        <v>2017/S 0F2-0017014</v>
      </c>
      <c r="F871" s="2" t="s">
        <v>23</v>
      </c>
      <c r="G871" s="2" t="str">
        <f t="shared" si="86"/>
        <v>MBM VRTNI CENTAR D.O.O., DOLENICA 8, 10250 LUČKO, OIB: 19462674595</v>
      </c>
      <c r="H871" s="4"/>
      <c r="I871" s="1" t="s">
        <v>775</v>
      </c>
      <c r="J871" s="1" t="s">
        <v>776</v>
      </c>
      <c r="K871" s="6" t="str">
        <f>"100.000,00"</f>
        <v>100.000,00</v>
      </c>
      <c r="L871" s="6" t="str">
        <f>"25.000,00"</f>
        <v>25.000,00</v>
      </c>
      <c r="M871" s="6" t="str">
        <f>"125.000,00"</f>
        <v>125.000,00</v>
      </c>
      <c r="N871" s="7"/>
      <c r="O871" s="7"/>
      <c r="P871" s="6" t="str">
        <f>""</f>
        <v/>
      </c>
      <c r="Q871" s="7"/>
      <c r="R871" s="1"/>
      <c r="S871" s="1" t="str">
        <f>"NOS-96-C/17"</f>
        <v>NOS-96-C/17</v>
      </c>
      <c r="T871" s="2" t="s">
        <v>33</v>
      </c>
    </row>
    <row r="872" spans="1:20" ht="25.5" x14ac:dyDescent="0.25">
      <c r="A872" s="1">
        <v>868</v>
      </c>
      <c r="B872" s="1" t="str">
        <f t="shared" si="85"/>
        <v>2017-387</v>
      </c>
      <c r="C872" s="2" t="s">
        <v>774</v>
      </c>
      <c r="D872" s="1" t="s">
        <v>430</v>
      </c>
      <c r="E872" s="3" t="str">
        <f>""</f>
        <v/>
      </c>
      <c r="F872" s="2" t="s">
        <v>27</v>
      </c>
      <c r="G872" s="2" t="str">
        <f t="shared" si="86"/>
        <v>MBM VRTNI CENTAR D.O.O., DOLENICA 8, 10250 LUČKO, OIB: 19462674595</v>
      </c>
      <c r="H872" s="4"/>
      <c r="I872" s="1" t="s">
        <v>266</v>
      </c>
      <c r="J872" s="1" t="s">
        <v>242</v>
      </c>
      <c r="K872" s="6" t="str">
        <f>"9.276,60"</f>
        <v>9.276,60</v>
      </c>
      <c r="L872" s="6" t="str">
        <f>"2.549,86"</f>
        <v>2.549,86</v>
      </c>
      <c r="M872" s="6" t="str">
        <f>"12.749,28"</f>
        <v>12.749,28</v>
      </c>
      <c r="N872" s="5">
        <v>43686</v>
      </c>
      <c r="O872" s="7"/>
      <c r="P872" s="6" t="str">
        <f>"12.749,28"</f>
        <v>12.749,28</v>
      </c>
      <c r="Q872" s="7"/>
      <c r="R872" s="1"/>
      <c r="S872" s="1" t="str">
        <f>"1-19/NOS-96-C/17"</f>
        <v>1-19/NOS-96-C/17</v>
      </c>
      <c r="T872" s="2" t="s">
        <v>33</v>
      </c>
    </row>
    <row r="873" spans="1:20" ht="38.25" x14ac:dyDescent="0.25">
      <c r="A873" s="1">
        <v>869</v>
      </c>
      <c r="B873" s="1" t="str">
        <f t="shared" si="85"/>
        <v>2017-387</v>
      </c>
      <c r="C873" s="2" t="s">
        <v>774</v>
      </c>
      <c r="D873" s="1" t="s">
        <v>430</v>
      </c>
      <c r="E873" s="3" t="str">
        <f>"2017/S 0F2-0017014"</f>
        <v>2017/S 0F2-0017014</v>
      </c>
      <c r="F873" s="2" t="s">
        <v>23</v>
      </c>
      <c r="G873" s="2" t="str">
        <f t="shared" si="86"/>
        <v>MBM VRTNI CENTAR D.O.O., DOLENICA 8, 10250 LUČKO, OIB: 19462674595</v>
      </c>
      <c r="H873" s="4"/>
      <c r="I873" s="1" t="s">
        <v>775</v>
      </c>
      <c r="J873" s="1" t="s">
        <v>776</v>
      </c>
      <c r="K873" s="6" t="str">
        <f>"70.000,00"</f>
        <v>70.000,00</v>
      </c>
      <c r="L873" s="6" t="str">
        <f>"17.500,00"</f>
        <v>17.500,00</v>
      </c>
      <c r="M873" s="6" t="str">
        <f>"87.500,00"</f>
        <v>87.500,00</v>
      </c>
      <c r="N873" s="7"/>
      <c r="O873" s="7"/>
      <c r="P873" s="6" t="str">
        <f>""</f>
        <v/>
      </c>
      <c r="Q873" s="7"/>
      <c r="R873" s="1"/>
      <c r="S873" s="1" t="str">
        <f>"NOS-96-D/17"</f>
        <v>NOS-96-D/17</v>
      </c>
      <c r="T873" s="2" t="s">
        <v>33</v>
      </c>
    </row>
    <row r="874" spans="1:20" ht="38.25" x14ac:dyDescent="0.25">
      <c r="A874" s="1">
        <v>870</v>
      </c>
      <c r="B874" s="1" t="str">
        <f t="shared" si="85"/>
        <v>2017-387</v>
      </c>
      <c r="C874" s="2" t="s">
        <v>774</v>
      </c>
      <c r="D874" s="1" t="s">
        <v>430</v>
      </c>
      <c r="E874" s="3" t="str">
        <f>"2017/S 0F2-0017014"</f>
        <v>2017/S 0F2-0017014</v>
      </c>
      <c r="F874" s="2" t="s">
        <v>23</v>
      </c>
      <c r="G874" s="2" t="str">
        <f t="shared" si="86"/>
        <v>MBM VRTNI CENTAR D.O.O., DOLENICA 8, 10250 LUČKO, OIB: 19462674595</v>
      </c>
      <c r="H874" s="4"/>
      <c r="I874" s="1" t="s">
        <v>775</v>
      </c>
      <c r="J874" s="1" t="s">
        <v>776</v>
      </c>
      <c r="K874" s="6" t="str">
        <f>"70.000,00"</f>
        <v>70.000,00</v>
      </c>
      <c r="L874" s="6" t="str">
        <f>"17.500,00"</f>
        <v>17.500,00</v>
      </c>
      <c r="M874" s="6" t="str">
        <f>"87.500,00"</f>
        <v>87.500,00</v>
      </c>
      <c r="N874" s="7"/>
      <c r="O874" s="7"/>
      <c r="P874" s="6" t="str">
        <f>""</f>
        <v/>
      </c>
      <c r="Q874" s="7"/>
      <c r="R874" s="1"/>
      <c r="S874" s="1" t="str">
        <f>"NOS-96-E/17"</f>
        <v>NOS-96-E/17</v>
      </c>
      <c r="T874" s="2" t="s">
        <v>33</v>
      </c>
    </row>
    <row r="875" spans="1:20" ht="25.5" x14ac:dyDescent="0.25">
      <c r="A875" s="1">
        <v>871</v>
      </c>
      <c r="B875" s="1" t="str">
        <f t="shared" si="85"/>
        <v>2017-387</v>
      </c>
      <c r="C875" s="2" t="s">
        <v>774</v>
      </c>
      <c r="D875" s="1" t="s">
        <v>430</v>
      </c>
      <c r="E875" s="3" t="str">
        <f>""</f>
        <v/>
      </c>
      <c r="F875" s="2" t="s">
        <v>27</v>
      </c>
      <c r="G875" s="2" t="str">
        <f t="shared" si="86"/>
        <v>MBM VRTNI CENTAR D.O.O., DOLENICA 8, 10250 LUČKO, OIB: 19462674595</v>
      </c>
      <c r="H875" s="4"/>
      <c r="I875" s="1" t="s">
        <v>266</v>
      </c>
      <c r="J875" s="1" t="s">
        <v>242</v>
      </c>
      <c r="K875" s="6" t="str">
        <f>"17.320,00"</f>
        <v>17.320,00</v>
      </c>
      <c r="L875" s="6" t="str">
        <f>"3.883,40"</f>
        <v>3.883,40</v>
      </c>
      <c r="M875" s="6" t="str">
        <f>"19.417,00"</f>
        <v>19.417,00</v>
      </c>
      <c r="N875" s="5">
        <v>43671</v>
      </c>
      <c r="O875" s="7"/>
      <c r="P875" s="6" t="str">
        <f>"19.417,00"</f>
        <v>19.417,00</v>
      </c>
      <c r="Q875" s="7"/>
      <c r="R875" s="1"/>
      <c r="S875" s="1" t="str">
        <f>"1-19/NOS-96-E/17"</f>
        <v>1-19/NOS-96-E/17</v>
      </c>
      <c r="T875" s="2" t="s">
        <v>33</v>
      </c>
    </row>
    <row r="876" spans="1:20" ht="63.75" x14ac:dyDescent="0.25">
      <c r="A876" s="1">
        <v>872</v>
      </c>
      <c r="B876" s="1" t="str">
        <f t="shared" ref="B876:B881" si="87">"2017-394"</f>
        <v>2017-394</v>
      </c>
      <c r="C876" s="2" t="s">
        <v>777</v>
      </c>
      <c r="D876" s="1" t="s">
        <v>778</v>
      </c>
      <c r="E876" s="3" t="str">
        <f>"2017/S 0F2-0011217"</f>
        <v>2017/S 0F2-0011217</v>
      </c>
      <c r="F876" s="2" t="s">
        <v>23</v>
      </c>
      <c r="G876" s="2" t="str">
        <f>CONCATENATE("INA MAZIVA D.O.O.,"," RADNIČKA CESTA 175,"," 10000 ZAGREB,"," OIB: 63988426425",CHAR(10),"AUTO HRVATSKA PRODAJNO SERVISNI CENTRI D.O.O,"," RADNIČKA CESTA 182,"," 10000 ZAGREB,"," OIB: 9064881685")</f>
        <v>INA MAZIVA D.O.O., RADNIČKA CESTA 175, 10000 ZAGREB, OIB: 63988426425
AUTO HRVATSKA PRODAJNO SERVISNI CENTRI D.O.O, RADNIČKA CESTA 182, 10000 ZAGREB, OIB: 9064881685</v>
      </c>
      <c r="H876" s="4"/>
      <c r="I876" s="1" t="s">
        <v>775</v>
      </c>
      <c r="J876" s="1" t="s">
        <v>776</v>
      </c>
      <c r="K876" s="6" t="str">
        <f>"1.024.000,00"</f>
        <v>1.024.000,00</v>
      </c>
      <c r="L876" s="6" t="str">
        <f>"256.000,00"</f>
        <v>256.000,00</v>
      </c>
      <c r="M876" s="6" t="str">
        <f>"1.280.000,00"</f>
        <v>1.280.000,00</v>
      </c>
      <c r="N876" s="7"/>
      <c r="O876" s="7"/>
      <c r="P876" s="6" t="str">
        <f>""</f>
        <v/>
      </c>
      <c r="Q876" s="7"/>
      <c r="R876" s="1"/>
      <c r="S876" s="1" t="str">
        <f>"NOS-97-B/17"</f>
        <v>NOS-97-B/17</v>
      </c>
      <c r="T876" s="2" t="s">
        <v>79</v>
      </c>
    </row>
    <row r="877" spans="1:20" ht="38.25" x14ac:dyDescent="0.25">
      <c r="A877" s="1">
        <v>873</v>
      </c>
      <c r="B877" s="1" t="str">
        <f t="shared" si="87"/>
        <v>2017-394</v>
      </c>
      <c r="C877" s="2" t="s">
        <v>777</v>
      </c>
      <c r="D877" s="1" t="s">
        <v>778</v>
      </c>
      <c r="E877" s="3" t="str">
        <f>""</f>
        <v/>
      </c>
      <c r="F877" s="2" t="s">
        <v>27</v>
      </c>
      <c r="G877" s="2" t="str">
        <f>CONCATENATE("INA MAZIVA D.O.O.,"," RADNIČKA CESTA 175,"," 10000 ZAGREB,"," OIB: 63988426425")</f>
        <v>INA MAZIVA D.O.O., RADNIČKA CESTA 175, 10000 ZAGREB, OIB: 63988426425</v>
      </c>
      <c r="H877" s="4"/>
      <c r="I877" s="1" t="s">
        <v>277</v>
      </c>
      <c r="J877" s="1" t="s">
        <v>64</v>
      </c>
      <c r="K877" s="6" t="str">
        <f>"2.419,00"</f>
        <v>2.419,00</v>
      </c>
      <c r="L877" s="6" t="str">
        <f>"604,75"</f>
        <v>604,75</v>
      </c>
      <c r="M877" s="6" t="str">
        <f>"3.023,75"</f>
        <v>3.023,75</v>
      </c>
      <c r="N877" s="5">
        <v>43593</v>
      </c>
      <c r="O877" s="7"/>
      <c r="P877" s="6" t="str">
        <f>"3.023,75"</f>
        <v>3.023,75</v>
      </c>
      <c r="Q877" s="7"/>
      <c r="R877" s="1"/>
      <c r="S877" s="1" t="str">
        <f>"2-19/NOS-97-B/17"</f>
        <v>2-19/NOS-97-B/17</v>
      </c>
      <c r="T877" s="2" t="s">
        <v>33</v>
      </c>
    </row>
    <row r="878" spans="1:20" ht="63.75" x14ac:dyDescent="0.25">
      <c r="A878" s="1">
        <v>874</v>
      </c>
      <c r="B878" s="1" t="str">
        <f t="shared" si="87"/>
        <v>2017-394</v>
      </c>
      <c r="C878" s="2" t="s">
        <v>777</v>
      </c>
      <c r="D878" s="1" t="s">
        <v>778</v>
      </c>
      <c r="E878" s="3" t="str">
        <f>"2017/S 0F2-0011217"</f>
        <v>2017/S 0F2-0011217</v>
      </c>
      <c r="F878" s="2" t="s">
        <v>23</v>
      </c>
      <c r="G878" s="2" t="str">
        <f>CONCATENATE("TRGOMETAL D.O.O.,"," KOVINSKA 4,"," 10090 ZAGREB-SUSEDGRAD,"," OIB: 26004523816",CHAR(10),"VODOSKOK D.D.,"," ČULINEČKA CESTA 221/C,"," 10040 ZAGREB,"," OIB: 34134218058")</f>
        <v>TRGOMETAL D.O.O., KOVINSKA 4, 10090 ZAGREB-SUSEDGRAD, OIB: 26004523816
VODOSKOK D.D., ČULINEČKA CESTA 221/C, 10040 ZAGREB, OIB: 34134218058</v>
      </c>
      <c r="H878" s="4"/>
      <c r="I878" s="1" t="s">
        <v>775</v>
      </c>
      <c r="J878" s="1" t="s">
        <v>776</v>
      </c>
      <c r="K878" s="6" t="str">
        <f>"400.000,00"</f>
        <v>400.000,00</v>
      </c>
      <c r="L878" s="6" t="str">
        <f>"100.000,00"</f>
        <v>100.000,00</v>
      </c>
      <c r="M878" s="6" t="str">
        <f>"500.000,00"</f>
        <v>500.000,00</v>
      </c>
      <c r="N878" s="7"/>
      <c r="O878" s="7"/>
      <c r="P878" s="6" t="str">
        <f>""</f>
        <v/>
      </c>
      <c r="Q878" s="7"/>
      <c r="R878" s="1"/>
      <c r="S878" s="1" t="str">
        <f>"NOS-97-C/17"</f>
        <v>NOS-97-C/17</v>
      </c>
      <c r="T878" s="2" t="s">
        <v>79</v>
      </c>
    </row>
    <row r="879" spans="1:20" ht="38.25" x14ac:dyDescent="0.25">
      <c r="A879" s="1">
        <v>875</v>
      </c>
      <c r="B879" s="1" t="str">
        <f t="shared" si="87"/>
        <v>2017-394</v>
      </c>
      <c r="C879" s="2" t="s">
        <v>777</v>
      </c>
      <c r="D879" s="1" t="s">
        <v>778</v>
      </c>
      <c r="E879" s="3" t="str">
        <f>""</f>
        <v/>
      </c>
      <c r="F879" s="2" t="s">
        <v>27</v>
      </c>
      <c r="G879" s="2" t="str">
        <f>CONCATENATE("VODOSKOK D.D.,"," ČULINEČKA CESTA 221/C,"," 10040 ZAGREB,"," OIB: 34134218058")</f>
        <v>VODOSKOK D.D., ČULINEČKA CESTA 221/C, 10040 ZAGREB, OIB: 34134218058</v>
      </c>
      <c r="H879" s="4"/>
      <c r="I879" s="1" t="s">
        <v>394</v>
      </c>
      <c r="J879" s="1" t="s">
        <v>64</v>
      </c>
      <c r="K879" s="6" t="str">
        <f>"9.000,00"</f>
        <v>9.000,00</v>
      </c>
      <c r="L879" s="6" t="str">
        <f>"2.250,00"</f>
        <v>2.250,00</v>
      </c>
      <c r="M879" s="6" t="str">
        <f>"11.250,00"</f>
        <v>11.250,00</v>
      </c>
      <c r="N879" s="5">
        <v>43571</v>
      </c>
      <c r="O879" s="7"/>
      <c r="P879" s="6" t="str">
        <f>"11.250,00"</f>
        <v>11.250,00</v>
      </c>
      <c r="Q879" s="7"/>
      <c r="R879" s="1"/>
      <c r="S879" s="1" t="str">
        <f>"2-19/NOS-97-C/17"</f>
        <v>2-19/NOS-97-C/17</v>
      </c>
      <c r="T879" s="2" t="s">
        <v>33</v>
      </c>
    </row>
    <row r="880" spans="1:20" ht="38.25" x14ac:dyDescent="0.25">
      <c r="A880" s="1">
        <v>876</v>
      </c>
      <c r="B880" s="1" t="str">
        <f t="shared" si="87"/>
        <v>2017-394</v>
      </c>
      <c r="C880" s="2" t="s">
        <v>777</v>
      </c>
      <c r="D880" s="1" t="s">
        <v>778</v>
      </c>
      <c r="E880" s="3" t="str">
        <f>""</f>
        <v/>
      </c>
      <c r="F880" s="2" t="s">
        <v>27</v>
      </c>
      <c r="G880" s="2" t="str">
        <f>CONCATENATE("VODOSKOK D.D.,"," ČULINEČKA CESTA 221/C,"," 10040 ZAGREB,"," OIB: 34134218058")</f>
        <v>VODOSKOK D.D., ČULINEČKA CESTA 221/C, 10040 ZAGREB, OIB: 34134218058</v>
      </c>
      <c r="H880" s="4"/>
      <c r="I880" s="1" t="s">
        <v>401</v>
      </c>
      <c r="J880" s="1" t="s">
        <v>73</v>
      </c>
      <c r="K880" s="6" t="str">
        <f>"1.320,00"</f>
        <v>1.320,00</v>
      </c>
      <c r="L880" s="6" t="str">
        <f>"330,00"</f>
        <v>330,00</v>
      </c>
      <c r="M880" s="6" t="str">
        <f>"1.650,00"</f>
        <v>1.650,00</v>
      </c>
      <c r="N880" s="5">
        <v>43600</v>
      </c>
      <c r="O880" s="7"/>
      <c r="P880" s="6" t="str">
        <f>"1.650,00"</f>
        <v>1.650,00</v>
      </c>
      <c r="Q880" s="7"/>
      <c r="R880" s="1"/>
      <c r="S880" s="1" t="str">
        <f>"3-19/NOS-97-C/17"</f>
        <v>3-19/NOS-97-C/17</v>
      </c>
      <c r="T880" s="2" t="s">
        <v>33</v>
      </c>
    </row>
    <row r="881" spans="1:20" ht="38.25" x14ac:dyDescent="0.25">
      <c r="A881" s="1">
        <v>877</v>
      </c>
      <c r="B881" s="1" t="str">
        <f t="shared" si="87"/>
        <v>2017-394</v>
      </c>
      <c r="C881" s="2" t="s">
        <v>777</v>
      </c>
      <c r="D881" s="1" t="s">
        <v>778</v>
      </c>
      <c r="E881" s="3" t="str">
        <f>""</f>
        <v/>
      </c>
      <c r="F881" s="2" t="s">
        <v>27</v>
      </c>
      <c r="G881" s="2" t="str">
        <f>CONCATENATE("VODOSKOK D.D.,"," ČULINEČKA CESTA 221/C,"," 10040 ZAGREB,"," OIB: 34134218058")</f>
        <v>VODOSKOK D.D., ČULINEČKA CESTA 221/C, 10040 ZAGREB, OIB: 34134218058</v>
      </c>
      <c r="H881" s="4"/>
      <c r="I881" s="1" t="s">
        <v>74</v>
      </c>
      <c r="J881" s="1" t="s">
        <v>114</v>
      </c>
      <c r="K881" s="6" t="str">
        <f>"1.320,00"</f>
        <v>1.320,00</v>
      </c>
      <c r="L881" s="6" t="str">
        <f>"330,00"</f>
        <v>330,00</v>
      </c>
      <c r="M881" s="6" t="str">
        <f>"1.650,00"</f>
        <v>1.650,00</v>
      </c>
      <c r="N881" s="5">
        <v>43629</v>
      </c>
      <c r="O881" s="7"/>
      <c r="P881" s="6" t="str">
        <f>"1.650,00"</f>
        <v>1.650,00</v>
      </c>
      <c r="Q881" s="7"/>
      <c r="R881" s="1"/>
      <c r="S881" s="1" t="str">
        <f>"4-19/NOS-97-C/17"</f>
        <v>4-19/NOS-97-C/17</v>
      </c>
      <c r="T881" s="2" t="s">
        <v>33</v>
      </c>
    </row>
    <row r="882" spans="1:20" ht="89.25" x14ac:dyDescent="0.25">
      <c r="A882" s="1">
        <v>878</v>
      </c>
      <c r="B882" s="1" t="str">
        <f>"2017-379"</f>
        <v>2017-379</v>
      </c>
      <c r="C882" s="2" t="s">
        <v>779</v>
      </c>
      <c r="D882" s="1" t="s">
        <v>599</v>
      </c>
      <c r="E882" s="3" t="str">
        <f>"2017/S 0F2-0019837"</f>
        <v>2017/S 0F2-0019837</v>
      </c>
      <c r="F882" s="2" t="s">
        <v>23</v>
      </c>
      <c r="G882" s="2" t="str">
        <f>CONCATENATE("AUTO HRVATSKA PRODAJNO SERVISNI CENTRI D.O.O.,"," ZASTAVNICE 25/C,"," 10251 HRVATSKI LESKOVAC,"," OIB: 87682591133",CHAR(10),"TRGOMETAL D.O.O.,"," KOVINSKA 4,"," 10090 ZAGREB-SUSEDGRAD,"," OIB: 26004523816",CHAR(10),"INDUSTROOPREMA D.O.O.,"," CMP OBRTNIČKA 1,"," 10000 ZAGREB,"," OIB: 01291306683")</f>
        <v>AUTO HRVATSKA PRODAJNO SERVISNI CENTRI D.O.O., ZASTAVNICE 25/C, 10251 HRVATSKI LESKOVAC, OIB: 87682591133
TRGOMETAL D.O.O., KOVINSKA 4, 10090 ZAGREB-SUSEDGRAD, OIB: 26004523816
INDUSTROOPREMA D.O.O., CMP OBRTNIČKA 1, 10000 ZAGREB, OIB: 01291306683</v>
      </c>
      <c r="H882" s="4"/>
      <c r="I882" s="1" t="s">
        <v>780</v>
      </c>
      <c r="J882" s="1" t="s">
        <v>781</v>
      </c>
      <c r="K882" s="6" t="str">
        <f>"700.000,00"</f>
        <v>700.000,00</v>
      </c>
      <c r="L882" s="6" t="str">
        <f>"175.000,00"</f>
        <v>175.000,00</v>
      </c>
      <c r="M882" s="6" t="str">
        <f>"875.000,00"</f>
        <v>875.000,00</v>
      </c>
      <c r="N882" s="7"/>
      <c r="O882" s="7"/>
      <c r="P882" s="6" t="str">
        <f>""</f>
        <v/>
      </c>
      <c r="Q882" s="7"/>
      <c r="R882" s="1"/>
      <c r="S882" s="1" t="str">
        <f>"NOS-98/17"</f>
        <v>NOS-98/17</v>
      </c>
      <c r="T882" s="2" t="s">
        <v>33</v>
      </c>
    </row>
    <row r="883" spans="1:20" ht="38.25" x14ac:dyDescent="0.25">
      <c r="A883" s="1">
        <v>879</v>
      </c>
      <c r="B883" s="1" t="str">
        <f>"2017-2209"</f>
        <v>2017-2209</v>
      </c>
      <c r="C883" s="2" t="s">
        <v>782</v>
      </c>
      <c r="D883" s="1" t="s">
        <v>523</v>
      </c>
      <c r="E883" s="3" t="str">
        <f>"2017/S 0F2-0010438"</f>
        <v>2017/S 0F2-0010438</v>
      </c>
      <c r="F883" s="2" t="s">
        <v>23</v>
      </c>
      <c r="G883" s="2" t="str">
        <f>CONCATENATE("BENUSSI D. O. O.,"," FAŽANSKA CESTA 86,"," 52212 FAŽANA,"," OIB: 87971197112")</f>
        <v>BENUSSI D. O. O., FAŽANSKA CESTA 86, 52212 FAŽANA, OIB: 87971197112</v>
      </c>
      <c r="H883" s="4"/>
      <c r="I883" s="1" t="s">
        <v>783</v>
      </c>
      <c r="J883" s="1" t="s">
        <v>784</v>
      </c>
      <c r="K883" s="6" t="str">
        <f>"3.000.000,00"</f>
        <v>3.000.000,00</v>
      </c>
      <c r="L883" s="6" t="str">
        <f>"750.000,00"</f>
        <v>750.000,00</v>
      </c>
      <c r="M883" s="6" t="str">
        <f>"3.750.000,00"</f>
        <v>3.750.000,00</v>
      </c>
      <c r="N883" s="7"/>
      <c r="O883" s="7"/>
      <c r="P883" s="6" t="str">
        <f>""</f>
        <v/>
      </c>
      <c r="Q883" s="7"/>
      <c r="R883" s="1"/>
      <c r="S883" s="1" t="str">
        <f>"NOS-99/17"</f>
        <v>NOS-99/17</v>
      </c>
      <c r="T883" s="2" t="s">
        <v>33</v>
      </c>
    </row>
    <row r="884" spans="1:20" ht="280.5" x14ac:dyDescent="0.25">
      <c r="A884" s="1">
        <v>880</v>
      </c>
      <c r="B884" s="1" t="str">
        <f>"2017-2475"</f>
        <v>2017-2475</v>
      </c>
      <c r="C884" s="2" t="s">
        <v>785</v>
      </c>
      <c r="D884" s="1" t="s">
        <v>786</v>
      </c>
      <c r="E884" s="3" t="str">
        <f>"2017/S 0F2-0016569"</f>
        <v>2017/S 0F2-0016569</v>
      </c>
      <c r="F884" s="2" t="s">
        <v>23</v>
      </c>
      <c r="G884" s="2" t="str">
        <f>CONCATENATE("M.SOLDO D.O.O.,"," DEBANIĆEVA 39,"," 10000 ZAGREB,"," OIB: 58353605637",CHAR(10),"ŠUŠKOVIĆ-GRAĐENJE d.o.o.,"," MARKUŠEVAČKA TRNAVA 38,"," 10000 ZAGREB,"," OIB: 52480497296",CHAR(10),"P.G.P. D.O.O.,"," KUTJEVAČKA 8,"," 10000 ZAGREB,"," OIB: 12988772690",CHAR(10),"KOLEKTOR-ZAGREB D.O.O.,"," IVANIĆGRADSKA 22,"," 10000 ZAGREB,"," OIB: 73209542242",CHAR(10),"GRADITELJ SVRATIŠTA D.O.O.,"," IVANA ČESMIČKOG 16,"," 10000 ZAGREB,"," OIB: 52044657571",CHAR(10),"GIP PIONIR D.O.O.,"," ZAGREBAČKA 145B,"," 10000 ZAGREB,"," OIB: 38262788673",CHAR(10),"HVAR D.O.O.,"," NIKOLE ŠUBIĆA ZRINSKOG 16/A,"," 10430 SAMOBOR,"," OIB: 56710177871",CHAR(10),"NERING D.O.O.,"," LIVADARSKI PUT 24,"," 10360 SESVETE,"," OIB: 85965934616",CHAR(10),"GRADNJA ČUKELJ D.O.O.,"," VJEKOSLAVA MAJERA 3,"," 10410 VELIKA GORICA,"," OIB: 51572533237",CHAR(10),"FIMAK NEKRETNINE D.O.O.,"," STRMEČKA CESTA 35,"," 10020 ZAGREB,"," OIB: 7145828752")</f>
        <v>M.SOLDO D.O.O., DEBANIĆEVA 39, 10000 ZAGREB, OIB: 58353605637
ŠUŠKOVIĆ-GRAĐENJE d.o.o., MARKUŠEVAČKA TRNAVA 38, 10000 ZAGREB, OIB: 52480497296
P.G.P. D.O.O., KUTJEVAČKA 8, 10000 ZAGREB, OIB: 12988772690
KOLEKTOR-ZAGREB D.O.O., IVANIĆGRADSKA 22, 10000 ZAGREB, OIB: 73209542242
GRADITELJ SVRATIŠTA D.O.O., IVANA ČESMIČKOG 16, 10000 ZAGREB, OIB: 52044657571
GIP PIONIR D.O.O., ZAGREBAČKA 145B, 10000 ZAGREB, OIB: 38262788673
HVAR D.O.O., NIKOLE ŠUBIĆA ZRINSKOG 16/A, 10430 SAMOBOR, OIB: 56710177871
NERING D.O.O., LIVADARSKI PUT 24, 10360 SESVETE, OIB: 85965934616
GRADNJA ČUKELJ D.O.O., VJEKOSLAVA MAJERA 3, 10410 VELIKA GORICA, OIB: 51572533237
FIMAK NEKRETNINE D.O.O., STRMEČKA CESTA 35, 10020 ZAGREB, OIB: 7145828752</v>
      </c>
      <c r="H884" s="1" t="str">
        <f>CONCATENATE("GRADKO D.O.O.,"," OIB: 35610274315",CHAR(10),"MAGBA GRADNJA D.O.O.,"," OIB: 49280496152",CHAR(10),"NISKOGRADNJA HREN D.O.O.,"," OIB: 27587651734")</f>
        <v>GRADKO D.O.O., OIB: 35610274315
MAGBA GRADNJA D.O.O., OIB: 49280496152
NISKOGRADNJA HREN D.O.O., OIB: 27587651734</v>
      </c>
      <c r="I884" s="1" t="s">
        <v>787</v>
      </c>
      <c r="J884" s="1" t="s">
        <v>788</v>
      </c>
      <c r="K884" s="6" t="str">
        <f>"40.000.000,00"</f>
        <v>40.000.000,00</v>
      </c>
      <c r="L884" s="6" t="str">
        <f>"10.000.000,00"</f>
        <v>10.000.000,00</v>
      </c>
      <c r="M884" s="6" t="str">
        <f>"50.000.000,00"</f>
        <v>50.000.000,00</v>
      </c>
      <c r="N884" s="7"/>
      <c r="O884" s="7"/>
      <c r="P884" s="6" t="str">
        <f>""</f>
        <v/>
      </c>
      <c r="Q884" s="7"/>
      <c r="R884" s="1"/>
      <c r="S884" s="1" t="str">
        <f>"NOS-100-A/17"</f>
        <v>NOS-100-A/17</v>
      </c>
      <c r="T884" s="2" t="s">
        <v>33</v>
      </c>
    </row>
    <row r="885" spans="1:20" ht="25.5" x14ac:dyDescent="0.25">
      <c r="A885" s="1">
        <v>881</v>
      </c>
      <c r="B885" s="1" t="str">
        <f>"2017-2475"</f>
        <v>2017-2475</v>
      </c>
      <c r="C885" s="2" t="s">
        <v>785</v>
      </c>
      <c r="D885" s="4"/>
      <c r="E885" s="3" t="str">
        <f>""</f>
        <v/>
      </c>
      <c r="F885" s="2" t="s">
        <v>27</v>
      </c>
      <c r="G885" s="2" t="str">
        <f>CONCATENATE("FIMAK NEKRETNINE D.O.O.,"," STRMEČKA CESTA 35,"," 10020 ZAGREB,"," OIB: 7145828752")</f>
        <v>FIMAK NEKRETNINE D.O.O., STRMEČKA CESTA 35, 10020 ZAGREB, OIB: 7145828752</v>
      </c>
      <c r="H885" s="4"/>
      <c r="I885" s="1" t="s">
        <v>320</v>
      </c>
      <c r="J885" s="1" t="s">
        <v>789</v>
      </c>
      <c r="K885" s="6" t="str">
        <f>"1.039.000,00"</f>
        <v>1.039.000,00</v>
      </c>
      <c r="L885" s="6" t="str">
        <f>"259.750,00"</f>
        <v>259.750,00</v>
      </c>
      <c r="M885" s="6" t="str">
        <f>"1.298.750,00"</f>
        <v>1.298.750,00</v>
      </c>
      <c r="N885" s="1" t="s">
        <v>117</v>
      </c>
      <c r="O885" s="7"/>
      <c r="P885" s="6" t="str">
        <f>""</f>
        <v/>
      </c>
      <c r="Q885" s="7"/>
      <c r="R885" s="1"/>
      <c r="S885" s="1" t="str">
        <f>"1-19/NOS-100-A/17"</f>
        <v>1-19/NOS-100-A/17</v>
      </c>
      <c r="T885" s="2" t="s">
        <v>33</v>
      </c>
    </row>
    <row r="886" spans="1:20" ht="344.25" x14ac:dyDescent="0.25">
      <c r="A886" s="1">
        <v>882</v>
      </c>
      <c r="B886" s="1" t="str">
        <f>"2017-2475"</f>
        <v>2017-2475</v>
      </c>
      <c r="C886" s="2" t="s">
        <v>785</v>
      </c>
      <c r="D886" s="1" t="s">
        <v>786</v>
      </c>
      <c r="E886" s="3" t="str">
        <f>"2017/S 0F2-0016569"</f>
        <v>2017/S 0F2-0016569</v>
      </c>
      <c r="F886" s="2" t="s">
        <v>23</v>
      </c>
      <c r="G886" s="2" t="str">
        <f>CONCATENATE("GEORAD D.O.O.,"," KORNATSKA 1,"," 10000 ZAGREB,"," OIB: 49756748234",CHAR(10),"ŠUŠKOVIĆ-GRAĐENJE d.o.o.,"," MARKUŠEVAČKA TRNAVA 38,"," 10000 ZAGREB,"," OIB: 52480497296",CHAR(10),"BOLČEVIĆ-GRADNJA D.O.O.,"," DUGOSELSKA CESTA 56,"," 10361 SESVETSKI KRALJEVEC,"," OIB: 52098670500",CHAR(10),"P.G.P. D.O.O.,"," KUTJEVAČKA 8,"," 10000 ZAGREB,"," OIB: 12988772690",CHAR(10),"GRADITELJ SVRATIŠTA D.O.O.,"," IVANA ČESMIČKOG 16,"," 10000 ZAGREB,"," OIB: 52044657571",CHAR(10),"PUGAR D.O.O.,"," DR. ANDRIJE MOHOROVIČIĆA 7,"," 10410 VELIKA GORICA,"," OIB: 83264047143",CHAR(10),"GAJANT D.O.O.,"," JELEKOVIĆI 24,"," 10000 ZAGREB,"," OIB: 12621259758",CHAR(10),"URBANGRAD d.o.o.,"," VUKOMEREČKA CESTA 25,"," 10000 ZAGREB,"," OIB: 90015955159",CHAR(10),"TIGRA D.O.O.,"," IVANIĆGRADSKA 22,"," 10000 ZAGREB,"," OIB: 29830060230",CHAR(10),"NERING D.O.O.,"," LIVADARSKI PUT 24,"," 10360 SESVETE,"," OIB: 85965934616",CHAR(10),"PALIĆ INŽENJERING D.O.O.,"," MEDOVIĆEVA 7,"," 10000 ZAGREB,"," OIB: 99750077832",CHAR(10),"GRADNJA ČUKELJ D.O.O.,"," VJEKOSLAVA MAJERA 3,"," 10410 VELIKA GORICA,"," OIB: 51572533237")</f>
        <v>GEORAD D.O.O., KORNATSKA 1, 10000 ZAGREB, OIB: 49756748234
ŠUŠKOVIĆ-GRAĐENJE d.o.o., MARKUŠEVAČKA TRNAVA 38, 10000 ZAGREB, OIB: 52480497296
BOLČEVIĆ-GRADNJA D.O.O., DUGOSELSKA CESTA 56, 10361 SESVETSKI KRALJEVEC, OIB: 52098670500
P.G.P. D.O.O., KUTJEVAČKA 8, 10000 ZAGREB, OIB: 12988772690
GRADITELJ SVRATIŠTA D.O.O., IVANA ČESMIČKOG 16, 10000 ZAGREB, OIB: 52044657571
PUGAR D.O.O., DR. ANDRIJE MOHOROVIČIĆA 7, 10410 VELIKA GORICA, OIB: 83264047143
GAJANT D.O.O., JELEKOVIĆI 24, 10000 ZAGREB, OIB: 12621259758
URBANGRAD d.o.o., VUKOMEREČKA CESTA 25, 10000 ZAGREB, OIB: 90015955159
TIGRA D.O.O., IVANIĆGRADSKA 22, 10000 ZAGREB, OIB: 29830060230
NERING D.O.O., LIVADARSKI PUT 24, 10360 SESVETE, OIB: 85965934616
PALIĆ INŽENJERING D.O.O., MEDOVIĆEVA 7, 10000 ZAGREB, OIB: 99750077832
GRADNJA ČUKELJ D.O.O., VJEKOSLAVA MAJERA 3, 10410 VELIKA GORICA, OIB: 51572533237</v>
      </c>
      <c r="H886" s="1" t="str">
        <f>CONCATENATE("GRADKO D.O.O.,"," OIB: 35610274315",CHAR(10),"MAGBA GRADNJA D.O.O.,"," OIB: 49280496152",CHAR(10),"NISKOGRADNJA HREN D.O.O.,"," OIB: 27587651734")</f>
        <v>GRADKO D.O.O., OIB: 35610274315
MAGBA GRADNJA D.O.O., OIB: 49280496152
NISKOGRADNJA HREN D.O.O., OIB: 27587651734</v>
      </c>
      <c r="I886" s="1" t="s">
        <v>787</v>
      </c>
      <c r="J886" s="1" t="s">
        <v>788</v>
      </c>
      <c r="K886" s="6" t="str">
        <f>"40.000.000,00"</f>
        <v>40.000.000,00</v>
      </c>
      <c r="L886" s="6" t="str">
        <f>"10.000.000,00"</f>
        <v>10.000.000,00</v>
      </c>
      <c r="M886" s="6" t="str">
        <f>"50.000.000,00"</f>
        <v>50.000.000,00</v>
      </c>
      <c r="N886" s="7"/>
      <c r="O886" s="7"/>
      <c r="P886" s="6" t="str">
        <f>""</f>
        <v/>
      </c>
      <c r="Q886" s="7"/>
      <c r="R886" s="1"/>
      <c r="S886" s="1" t="str">
        <f>"NOS-100-B/17"</f>
        <v>NOS-100-B/17</v>
      </c>
      <c r="T886" s="2" t="s">
        <v>33</v>
      </c>
    </row>
    <row r="887" spans="1:20" ht="25.5" x14ac:dyDescent="0.25">
      <c r="A887" s="1">
        <v>883</v>
      </c>
      <c r="B887" s="1" t="str">
        <f>"2017-2475"</f>
        <v>2017-2475</v>
      </c>
      <c r="C887" s="2" t="s">
        <v>785</v>
      </c>
      <c r="D887" s="4"/>
      <c r="E887" s="3" t="str">
        <f>""</f>
        <v/>
      </c>
      <c r="F887" s="2" t="s">
        <v>27</v>
      </c>
      <c r="G887" s="2" t="str">
        <f>CONCATENATE("PUGAR D.O.O.,"," DR. ANDRIJE MOHOROVIČIĆA 7,"," 10410 VELIKA GORICA,"," OIB: 83264047143")</f>
        <v>PUGAR D.O.O., DR. ANDRIJE MOHOROVIČIĆA 7, 10410 VELIKA GORICA, OIB: 83264047143</v>
      </c>
      <c r="H887" s="4"/>
      <c r="I887" s="1" t="s">
        <v>320</v>
      </c>
      <c r="J887" s="1" t="s">
        <v>789</v>
      </c>
      <c r="K887" s="6" t="str">
        <f>"1.494.600,00"</f>
        <v>1.494.600,00</v>
      </c>
      <c r="L887" s="6" t="str">
        <f>"373.650,00"</f>
        <v>373.650,00</v>
      </c>
      <c r="M887" s="6" t="str">
        <f>"1.868.250,00"</f>
        <v>1.868.250,00</v>
      </c>
      <c r="N887" s="5">
        <v>43679</v>
      </c>
      <c r="O887" s="7"/>
      <c r="P887" s="6" t="str">
        <f>"438.530,05"</f>
        <v>438.530,05</v>
      </c>
      <c r="Q887" s="7"/>
      <c r="R887" s="1"/>
      <c r="S887" s="1" t="str">
        <f>"1-19/NOS-100-B/17"</f>
        <v>1-19/NOS-100-B/17</v>
      </c>
      <c r="T887" s="2" t="s">
        <v>33</v>
      </c>
    </row>
    <row r="888" spans="1:20" ht="38.25" x14ac:dyDescent="0.25">
      <c r="A888" s="1">
        <v>884</v>
      </c>
      <c r="B888" s="1" t="str">
        <f>"2017-2759"</f>
        <v>2017-2759</v>
      </c>
      <c r="C888" s="2" t="s">
        <v>790</v>
      </c>
      <c r="D888" s="1" t="s">
        <v>603</v>
      </c>
      <c r="E888" s="3" t="str">
        <f>"2017/S F14-0018568"</f>
        <v>2017/S F14-0018568</v>
      </c>
      <c r="F888" s="2" t="s">
        <v>23</v>
      </c>
      <c r="G888" s="2" t="str">
        <f>CONCATENATE("PISMORAD D.D.,"," III MALEŠNICA 12,"," 10000 ZAGREB,"," OIB: 33260306505")</f>
        <v>PISMORAD D.D., III MALEŠNICA 12, 10000 ZAGREB, OIB: 33260306505</v>
      </c>
      <c r="H888" s="4"/>
      <c r="I888" s="1" t="s">
        <v>791</v>
      </c>
      <c r="J888" s="1" t="s">
        <v>792</v>
      </c>
      <c r="K888" s="6" t="str">
        <f>"500.000,00"</f>
        <v>500.000,00</v>
      </c>
      <c r="L888" s="6" t="str">
        <f>"125.000,00"</f>
        <v>125.000,00</v>
      </c>
      <c r="M888" s="6" t="str">
        <f>"625.000,00"</f>
        <v>625.000,00</v>
      </c>
      <c r="N888" s="7"/>
      <c r="O888" s="7"/>
      <c r="P888" s="6" t="str">
        <f>""</f>
        <v/>
      </c>
      <c r="Q888" s="7"/>
      <c r="R888" s="1"/>
      <c r="S888" s="1" t="str">
        <f>"NOS-101/17"</f>
        <v>NOS-101/17</v>
      </c>
      <c r="T888" s="2" t="s">
        <v>33</v>
      </c>
    </row>
    <row r="889" spans="1:20" ht="25.5" x14ac:dyDescent="0.25">
      <c r="A889" s="1">
        <v>885</v>
      </c>
      <c r="B889" s="1" t="str">
        <f>"2017-2759"</f>
        <v>2017-2759</v>
      </c>
      <c r="C889" s="2" t="s">
        <v>790</v>
      </c>
      <c r="D889" s="4"/>
      <c r="E889" s="3" t="str">
        <f>""</f>
        <v/>
      </c>
      <c r="F889" s="2" t="s">
        <v>27</v>
      </c>
      <c r="G889" s="2" t="str">
        <f>CONCATENATE("PISMORAD D.D.,"," III MALEŠNICA 12,"," 10000 ZAGREB,"," OIB: 33260306505")</f>
        <v>PISMORAD D.D., III MALEŠNICA 12, 10000 ZAGREB, OIB: 33260306505</v>
      </c>
      <c r="H889" s="4"/>
      <c r="I889" s="1" t="s">
        <v>267</v>
      </c>
      <c r="J889" s="1" t="s">
        <v>114</v>
      </c>
      <c r="K889" s="6" t="str">
        <f>"87.060,00"</f>
        <v>87.060,00</v>
      </c>
      <c r="L889" s="6" t="str">
        <f>"21.765,00"</f>
        <v>21.765,00</v>
      </c>
      <c r="M889" s="6" t="str">
        <f>"108.825,00"</f>
        <v>108.825,00</v>
      </c>
      <c r="N889" s="5">
        <v>43545</v>
      </c>
      <c r="O889" s="7"/>
      <c r="P889" s="6" t="str">
        <f>"108.825,00"</f>
        <v>108.825,00</v>
      </c>
      <c r="Q889" s="7"/>
      <c r="R889" s="1"/>
      <c r="S889" s="1" t="str">
        <f>"4-18/NOS-101/17"</f>
        <v>4-18/NOS-101/17</v>
      </c>
      <c r="T889" s="2" t="s">
        <v>33</v>
      </c>
    </row>
    <row r="890" spans="1:20" ht="25.5" x14ac:dyDescent="0.25">
      <c r="A890" s="1">
        <v>886</v>
      </c>
      <c r="B890" s="1" t="str">
        <f>"2017-2759"</f>
        <v>2017-2759</v>
      </c>
      <c r="C890" s="2" t="s">
        <v>790</v>
      </c>
      <c r="D890" s="1" t="s">
        <v>603</v>
      </c>
      <c r="E890" s="3" t="str">
        <f>""</f>
        <v/>
      </c>
      <c r="F890" s="2" t="s">
        <v>27</v>
      </c>
      <c r="G890" s="2" t="str">
        <f>CONCATENATE("PISMORAD D.D.,"," III MALEŠNICA 12,"," 10000 ZAGREB,"," OIB: 33260306505")</f>
        <v>PISMORAD D.D., III MALEŠNICA 12, 10000 ZAGREB, OIB: 33260306505</v>
      </c>
      <c r="H890" s="4"/>
      <c r="I890" s="1" t="s">
        <v>597</v>
      </c>
      <c r="J890" s="1" t="s">
        <v>251</v>
      </c>
      <c r="K890" s="6" t="str">
        <f>"48.100,00"</f>
        <v>48.100,00</v>
      </c>
      <c r="L890" s="6" t="str">
        <f>"12.025,00"</f>
        <v>12.025,00</v>
      </c>
      <c r="M890" s="6" t="str">
        <f>"60.125,00"</f>
        <v>60.125,00</v>
      </c>
      <c r="N890" s="5">
        <v>43644</v>
      </c>
      <c r="O890" s="7"/>
      <c r="P890" s="6" t="str">
        <f>"60.125,00"</f>
        <v>60.125,00</v>
      </c>
      <c r="Q890" s="7"/>
      <c r="R890" s="1"/>
      <c r="S890" s="1" t="str">
        <f>"1-19/NOS-101/17"</f>
        <v>1-19/NOS-101/17</v>
      </c>
      <c r="T890" s="2" t="s">
        <v>33</v>
      </c>
    </row>
    <row r="891" spans="1:20" ht="89.25" x14ac:dyDescent="0.25">
      <c r="A891" s="1">
        <v>887</v>
      </c>
      <c r="B891" s="1" t="str">
        <f>"2017-2757"</f>
        <v>2017-2757</v>
      </c>
      <c r="C891" s="2" t="s">
        <v>793</v>
      </c>
      <c r="D891" s="1" t="s">
        <v>369</v>
      </c>
      <c r="E891" s="3" t="str">
        <f>"2017/S 0F2-0018173"</f>
        <v>2017/S 0F2-0018173</v>
      </c>
      <c r="F891" s="2" t="s">
        <v>23</v>
      </c>
      <c r="G891" s="2" t="str">
        <f>CONCATENATE("SIGNALGRAD D.O.O.,"," RAKITJE,"," VELEBITSKA 1,"," 10437 BESTOVJE,"," OIB: 00513519279",CHAR(10),"CHROMOS-SVJETLOST D.O.O.,"," MIJATA STOJANOVIĆA 13,"," 35257 LUŽANI,"," OIB: 72579903288",CHAR(10),"HELIOS HRVATSKA D.O.O.,"," RADNIČKA CESTA 173D,"," 10000 ZAGREB,"," OIB: 5192543657")</f>
        <v>SIGNALGRAD D.O.O., RAKITJE, VELEBITSKA 1, 10437 BESTOVJE, OIB: 00513519279
CHROMOS-SVJETLOST D.O.O., MIJATA STOJANOVIĆA 13, 35257 LUŽANI, OIB: 72579903288
HELIOS HRVATSKA D.O.O., RADNIČKA CESTA 173D, 10000 ZAGREB, OIB: 5192543657</v>
      </c>
      <c r="H891" s="4"/>
      <c r="I891" s="1" t="s">
        <v>791</v>
      </c>
      <c r="J891" s="1" t="s">
        <v>792</v>
      </c>
      <c r="K891" s="6" t="str">
        <f>"3.000.000,00"</f>
        <v>3.000.000,00</v>
      </c>
      <c r="L891" s="6" t="str">
        <f>"750.000,00"</f>
        <v>750.000,00</v>
      </c>
      <c r="M891" s="6" t="str">
        <f>"3.750.000,00"</f>
        <v>3.750.000,00</v>
      </c>
      <c r="N891" s="7"/>
      <c r="O891" s="7"/>
      <c r="P891" s="6" t="str">
        <f>""</f>
        <v/>
      </c>
      <c r="Q891" s="7"/>
      <c r="R891" s="1"/>
      <c r="S891" s="1" t="str">
        <f>"NOS-102/17"</f>
        <v>NOS-102/17</v>
      </c>
      <c r="T891" s="2" t="s">
        <v>33</v>
      </c>
    </row>
    <row r="892" spans="1:20" ht="38.25" x14ac:dyDescent="0.25">
      <c r="A892" s="1">
        <v>888</v>
      </c>
      <c r="B892" s="1" t="str">
        <f>"2017-2757"</f>
        <v>2017-2757</v>
      </c>
      <c r="C892" s="2" t="s">
        <v>793</v>
      </c>
      <c r="D892" s="4"/>
      <c r="E892" s="3" t="str">
        <f>""</f>
        <v/>
      </c>
      <c r="F892" s="2" t="s">
        <v>27</v>
      </c>
      <c r="G892" s="2" t="str">
        <f>CONCATENATE("CHROMOS-SVJETLOST D.O.O.,"," MIJATA STOJANOVIĆA 13,"," 35257 LUŽANI,"," OIB: 72579903288")</f>
        <v>CHROMOS-SVJETLOST D.O.O., MIJATA STOJANOVIĆA 13, 35257 LUŽANI, OIB: 72579903288</v>
      </c>
      <c r="H892" s="4"/>
      <c r="I892" s="1" t="s">
        <v>172</v>
      </c>
      <c r="J892" s="1" t="s">
        <v>114</v>
      </c>
      <c r="K892" s="6" t="str">
        <f>"336.242,40"</f>
        <v>336.242,40</v>
      </c>
      <c r="L892" s="6" t="str">
        <f>"84.060,60"</f>
        <v>84.060,60</v>
      </c>
      <c r="M892" s="6" t="str">
        <f>"420.303,00"</f>
        <v>420.303,00</v>
      </c>
      <c r="N892" s="5">
        <v>43717</v>
      </c>
      <c r="O892" s="7"/>
      <c r="P892" s="6" t="str">
        <f>"420.180,38"</f>
        <v>420.180,38</v>
      </c>
      <c r="Q892" s="7"/>
      <c r="R892" s="1"/>
      <c r="S892" s="1" t="str">
        <f>"3-18/NOS-102/17"</f>
        <v>3-18/NOS-102/17</v>
      </c>
      <c r="T892" s="2" t="s">
        <v>33</v>
      </c>
    </row>
    <row r="893" spans="1:20" ht="25.5" x14ac:dyDescent="0.25">
      <c r="A893" s="1">
        <v>889</v>
      </c>
      <c r="B893" s="1" t="str">
        <f>"2017-2757"</f>
        <v>2017-2757</v>
      </c>
      <c r="C893" s="2" t="s">
        <v>793</v>
      </c>
      <c r="D893" s="1" t="s">
        <v>369</v>
      </c>
      <c r="E893" s="3" t="str">
        <f>""</f>
        <v/>
      </c>
      <c r="F893" s="2" t="s">
        <v>27</v>
      </c>
      <c r="G893" s="2" t="str">
        <f>CONCATENATE("HELIOS HRVATSKA D.O.O.,"," RADNIČKA CESTA 173D,"," 10000 ZAGREB,"," OIB: 5192543657")</f>
        <v>HELIOS HRVATSKA D.O.O., RADNIČKA CESTA 173D, 10000 ZAGREB, OIB: 5192543657</v>
      </c>
      <c r="H893" s="4"/>
      <c r="I893" s="1" t="s">
        <v>195</v>
      </c>
      <c r="J893" s="1" t="s">
        <v>47</v>
      </c>
      <c r="K893" s="6" t="str">
        <f>"134.400,00"</f>
        <v>134.400,00</v>
      </c>
      <c r="L893" s="6" t="str">
        <f>"33.596,64"</f>
        <v>33.596,64</v>
      </c>
      <c r="M893" s="6" t="str">
        <f>"167.983,20"</f>
        <v>167.983,20</v>
      </c>
      <c r="N893" s="5">
        <v>43595</v>
      </c>
      <c r="O893" s="7"/>
      <c r="P893" s="6" t="str">
        <f>"167.983,20"</f>
        <v>167.983,20</v>
      </c>
      <c r="Q893" s="7"/>
      <c r="R893" s="1"/>
      <c r="S893" s="1" t="str">
        <f>"1-19/NOS-102/17"</f>
        <v>1-19/NOS-102/17</v>
      </c>
      <c r="T893" s="2" t="s">
        <v>33</v>
      </c>
    </row>
    <row r="894" spans="1:20" ht="63.75" x14ac:dyDescent="0.25">
      <c r="A894" s="1">
        <v>890</v>
      </c>
      <c r="B894" s="1" t="str">
        <f t="shared" ref="B894:B907" si="88">"2017-400"</f>
        <v>2017-400</v>
      </c>
      <c r="C894" s="2" t="s">
        <v>794</v>
      </c>
      <c r="D894" s="1" t="s">
        <v>795</v>
      </c>
      <c r="E894" s="3" t="str">
        <f>"2017/S 0F2-0015032"</f>
        <v>2017/S 0F2-0015032</v>
      </c>
      <c r="F894" s="2" t="s">
        <v>23</v>
      </c>
      <c r="G894" s="2" t="str">
        <f>CONCATENATE("POLJOOPSKRBA-TEHNO D.D.,"," SAMOBORSKA 96,"," 10000 ZAGREB,"," OIB: 53721673241",CHAR(10),"SMIT-COMMERCE D.O.O.,"," GORNJOSTUPNIČKA 9B,"," 10255 GORNJI STUPNIK,"," OIB: 9524348214")</f>
        <v>POLJOOPSKRBA-TEHNO D.D., SAMOBORSKA 96, 10000 ZAGREB, OIB: 53721673241
SMIT-COMMERCE D.O.O., GORNJOSTUPNIČKA 9B, 10255 GORNJI STUPNIK, OIB: 9524348214</v>
      </c>
      <c r="H894" s="4"/>
      <c r="I894" s="1" t="s">
        <v>787</v>
      </c>
      <c r="J894" s="1" t="s">
        <v>796</v>
      </c>
      <c r="K894" s="6" t="str">
        <f>"1.060.000,00"</f>
        <v>1.060.000,00</v>
      </c>
      <c r="L894" s="6" t="str">
        <f>"265.000,00"</f>
        <v>265.000,00</v>
      </c>
      <c r="M894" s="6" t="str">
        <f>"1.325.000,00"</f>
        <v>1.325.000,00</v>
      </c>
      <c r="N894" s="7"/>
      <c r="O894" s="7"/>
      <c r="P894" s="6" t="str">
        <f>""</f>
        <v/>
      </c>
      <c r="Q894" s="7"/>
      <c r="R894" s="1"/>
      <c r="S894" s="1" t="str">
        <f>"NOS-103-A/17"</f>
        <v>NOS-103-A/17</v>
      </c>
      <c r="T894" s="2" t="s">
        <v>26</v>
      </c>
    </row>
    <row r="895" spans="1:20" ht="25.5" x14ac:dyDescent="0.25">
      <c r="A895" s="1">
        <v>891</v>
      </c>
      <c r="B895" s="1" t="str">
        <f t="shared" si="88"/>
        <v>2017-400</v>
      </c>
      <c r="C895" s="2" t="s">
        <v>794</v>
      </c>
      <c r="D895" s="1" t="s">
        <v>795</v>
      </c>
      <c r="E895" s="3" t="str">
        <f>""</f>
        <v/>
      </c>
      <c r="F895" s="2" t="s">
        <v>27</v>
      </c>
      <c r="G895" s="2" t="str">
        <f>CONCATENATE("POLJOOPSKRBA-TEHNO D.D.,"," SAMOBORSKA 96,"," 10000 ZAGREB,"," OIB: 5372167324")</f>
        <v>POLJOOPSKRBA-TEHNO D.D., SAMOBORSKA 96, 10000 ZAGREB, OIB: 5372167324</v>
      </c>
      <c r="H895" s="4"/>
      <c r="I895" s="1" t="s">
        <v>159</v>
      </c>
      <c r="J895" s="1" t="s">
        <v>140</v>
      </c>
      <c r="K895" s="6" t="str">
        <f>"17.750,40"</f>
        <v>17.750,40</v>
      </c>
      <c r="L895" s="6" t="str">
        <f>"4.437,60"</f>
        <v>4.437,60</v>
      </c>
      <c r="M895" s="6" t="str">
        <f>"22.188,00"</f>
        <v>22.188,00</v>
      </c>
      <c r="N895" s="5">
        <v>43486</v>
      </c>
      <c r="O895" s="7"/>
      <c r="P895" s="6" t="str">
        <f>"22.188,00"</f>
        <v>22.188,00</v>
      </c>
      <c r="Q895" s="7"/>
      <c r="R895" s="1"/>
      <c r="S895" s="1" t="str">
        <f>"16-18/NOS-103-A/17"</f>
        <v>16-18/NOS-103-A/17</v>
      </c>
      <c r="T895" s="2" t="s">
        <v>33</v>
      </c>
    </row>
    <row r="896" spans="1:20" ht="25.5" x14ac:dyDescent="0.25">
      <c r="A896" s="1">
        <v>892</v>
      </c>
      <c r="B896" s="1" t="str">
        <f t="shared" si="88"/>
        <v>2017-400</v>
      </c>
      <c r="C896" s="2" t="s">
        <v>794</v>
      </c>
      <c r="D896" s="1" t="s">
        <v>795</v>
      </c>
      <c r="E896" s="3" t="str">
        <f>""</f>
        <v/>
      </c>
      <c r="F896" s="2" t="s">
        <v>27</v>
      </c>
      <c r="G896" s="2" t="str">
        <f>CONCATENATE("POLJOOPSKRBA-TEHNO D.D.,"," SAMOBORSKA 96,"," 10000 ZAGREB,"," OIB: 5372167324")</f>
        <v>POLJOOPSKRBA-TEHNO D.D., SAMOBORSKA 96, 10000 ZAGREB, OIB: 5372167324</v>
      </c>
      <c r="H896" s="4"/>
      <c r="I896" s="1" t="s">
        <v>351</v>
      </c>
      <c r="J896" s="1" t="s">
        <v>64</v>
      </c>
      <c r="K896" s="6" t="str">
        <f>"13.932,00"</f>
        <v>13.932,00</v>
      </c>
      <c r="L896" s="6" t="str">
        <f>"3.483,00"</f>
        <v>3.483,00</v>
      </c>
      <c r="M896" s="6" t="str">
        <f>"17.415,00"</f>
        <v>17.415,00</v>
      </c>
      <c r="N896" s="5">
        <v>43544</v>
      </c>
      <c r="O896" s="7"/>
      <c r="P896" s="6" t="str">
        <f>"17.415,00"</f>
        <v>17.415,00</v>
      </c>
      <c r="Q896" s="7"/>
      <c r="R896" s="1"/>
      <c r="S896" s="1" t="str">
        <f>"1-19/NOS-103-A/17"</f>
        <v>1-19/NOS-103-A/17</v>
      </c>
      <c r="T896" s="2" t="s">
        <v>33</v>
      </c>
    </row>
    <row r="897" spans="1:20" ht="38.25" x14ac:dyDescent="0.25">
      <c r="A897" s="1">
        <v>893</v>
      </c>
      <c r="B897" s="1" t="str">
        <f t="shared" si="88"/>
        <v>2017-400</v>
      </c>
      <c r="C897" s="2" t="s">
        <v>794</v>
      </c>
      <c r="D897" s="1" t="s">
        <v>795</v>
      </c>
      <c r="E897" s="3" t="str">
        <f>""</f>
        <v/>
      </c>
      <c r="F897" s="2" t="s">
        <v>27</v>
      </c>
      <c r="G897" s="2" t="str">
        <f>CONCATENATE("POLJOOPSKRBA-TEHNO D.D.,"," SAMOBORSKA 96,"," 10000 ZAGREB,"," OIB: 5372167324")</f>
        <v>POLJOOPSKRBA-TEHNO D.D., SAMOBORSKA 96, 10000 ZAGREB, OIB: 5372167324</v>
      </c>
      <c r="H897" s="4"/>
      <c r="I897" s="1" t="s">
        <v>361</v>
      </c>
      <c r="J897" s="1" t="s">
        <v>37</v>
      </c>
      <c r="K897" s="6" t="str">
        <f>"10.257,60"</f>
        <v>10.257,60</v>
      </c>
      <c r="L897" s="6" t="str">
        <f>"2.564,40"</f>
        <v>2.564,40</v>
      </c>
      <c r="M897" s="6" t="str">
        <f>"12.822,00"</f>
        <v>12.822,00</v>
      </c>
      <c r="N897" s="5">
        <v>43622</v>
      </c>
      <c r="O897" s="7"/>
      <c r="P897" s="6" t="str">
        <f>"12.627,00"</f>
        <v>12.627,00</v>
      </c>
      <c r="Q897" s="7"/>
      <c r="R897" s="1"/>
      <c r="S897" s="1" t="str">
        <f>"2-19/NOS-103-A/17"</f>
        <v>2-19/NOS-103-A/17</v>
      </c>
      <c r="T897" s="2" t="s">
        <v>26</v>
      </c>
    </row>
    <row r="898" spans="1:20" ht="25.5" x14ac:dyDescent="0.25">
      <c r="A898" s="1">
        <v>894</v>
      </c>
      <c r="B898" s="1" t="str">
        <f t="shared" si="88"/>
        <v>2017-400</v>
      </c>
      <c r="C898" s="2" t="s">
        <v>794</v>
      </c>
      <c r="D898" s="1" t="s">
        <v>795</v>
      </c>
      <c r="E898" s="3" t="str">
        <f>""</f>
        <v/>
      </c>
      <c r="F898" s="2" t="s">
        <v>27</v>
      </c>
      <c r="G898" s="2" t="str">
        <f>CONCATENATE("POLJOOPSKRBA-TEHNO D.D.,"," SAMOBORSKA 96,"," 10000 ZAGREB,"," OIB: 5372167324")</f>
        <v>POLJOOPSKRBA-TEHNO D.D., SAMOBORSKA 96, 10000 ZAGREB, OIB: 5372167324</v>
      </c>
      <c r="H898" s="4"/>
      <c r="I898" s="1" t="s">
        <v>424</v>
      </c>
      <c r="J898" s="1" t="s">
        <v>404</v>
      </c>
      <c r="K898" s="6" t="str">
        <f>"4.230,00"</f>
        <v>4.230,00</v>
      </c>
      <c r="L898" s="6" t="str">
        <f>"1.057,50"</f>
        <v>1.057,50</v>
      </c>
      <c r="M898" s="6" t="str">
        <f>"5.287,50"</f>
        <v>5.287,50</v>
      </c>
      <c r="N898" s="5">
        <v>43640</v>
      </c>
      <c r="O898" s="7"/>
      <c r="P898" s="6" t="str">
        <f>"5.287,50"</f>
        <v>5.287,50</v>
      </c>
      <c r="Q898" s="7"/>
      <c r="R898" s="1"/>
      <c r="S898" s="1" t="str">
        <f>"3-19/NOS-103-A/17"</f>
        <v>3-19/NOS-103-A/17</v>
      </c>
      <c r="T898" s="2" t="s">
        <v>33</v>
      </c>
    </row>
    <row r="899" spans="1:20" ht="89.25" x14ac:dyDescent="0.25">
      <c r="A899" s="1">
        <v>895</v>
      </c>
      <c r="B899" s="1" t="str">
        <f t="shared" si="88"/>
        <v>2017-400</v>
      </c>
      <c r="C899" s="2" t="s">
        <v>794</v>
      </c>
      <c r="D899" s="1" t="s">
        <v>795</v>
      </c>
      <c r="E899" s="3" t="str">
        <f>"2017/S 0F2-0015032"</f>
        <v>2017/S 0F2-0015032</v>
      </c>
      <c r="F899" s="2" t="s">
        <v>23</v>
      </c>
      <c r="G899" s="2" t="str">
        <f>CONCATENATE("POLJOOPSKRBA-TEHNO D.D.,"," SAMOBORSKA 96,"," 10000 ZAGREB,"," OIB: 53721673241",CHAR(10),"SMIT-COMMERCE D.O.O.,"," GORNJOSTUPNIČKA 9B,"," 10255 GORNJI STUPNIK,"," OIB: 95243482140",CHAR(10),"EURO-VRT D.O.O.,"," ULICA GRADA GOSPIĆA 3,"," 10000 ZAGREB,"," OIB: 57968446706")</f>
        <v>POLJOOPSKRBA-TEHNO D.D., SAMOBORSKA 96, 10000 ZAGREB, OIB: 53721673241
SMIT-COMMERCE D.O.O., GORNJOSTUPNIČKA 9B, 10255 GORNJI STUPNIK, OIB: 95243482140
EURO-VRT D.O.O., ULICA GRADA GOSPIĆA 3, 10000 ZAGREB, OIB: 57968446706</v>
      </c>
      <c r="H899" s="4"/>
      <c r="I899" s="1" t="s">
        <v>787</v>
      </c>
      <c r="J899" s="1" t="s">
        <v>796</v>
      </c>
      <c r="K899" s="6" t="str">
        <f>"590.000,00"</f>
        <v>590.000,00</v>
      </c>
      <c r="L899" s="6" t="str">
        <f>"147.500,00"</f>
        <v>147.500,00</v>
      </c>
      <c r="M899" s="6" t="str">
        <f>"737.500,00"</f>
        <v>737.500,00</v>
      </c>
      <c r="N899" s="7"/>
      <c r="O899" s="7"/>
      <c r="P899" s="6" t="str">
        <f>""</f>
        <v/>
      </c>
      <c r="Q899" s="7"/>
      <c r="R899" s="1"/>
      <c r="S899" s="1" t="str">
        <f>"NOS-103-B/17"</f>
        <v>NOS-103-B/17</v>
      </c>
      <c r="T899" s="2" t="s">
        <v>26</v>
      </c>
    </row>
    <row r="900" spans="1:20" ht="25.5" x14ac:dyDescent="0.25">
      <c r="A900" s="1">
        <v>896</v>
      </c>
      <c r="B900" s="1" t="str">
        <f t="shared" si="88"/>
        <v>2017-400</v>
      </c>
      <c r="C900" s="2" t="s">
        <v>794</v>
      </c>
      <c r="D900" s="1" t="s">
        <v>795</v>
      </c>
      <c r="E900" s="3" t="str">
        <f>""</f>
        <v/>
      </c>
      <c r="F900" s="2" t="s">
        <v>27</v>
      </c>
      <c r="G900" s="2" t="str">
        <f>CONCATENATE("POLJOOPSKRBA-TEHNO D.D.,"," SAMOBORSKA 96,"," 10000 ZAGREB,"," OIB: 5372167324")</f>
        <v>POLJOOPSKRBA-TEHNO D.D., SAMOBORSKA 96, 10000 ZAGREB, OIB: 5372167324</v>
      </c>
      <c r="H900" s="4"/>
      <c r="I900" s="1" t="s">
        <v>670</v>
      </c>
      <c r="J900" s="1" t="s">
        <v>251</v>
      </c>
      <c r="K900" s="6" t="str">
        <f>"5.060,00"</f>
        <v>5.060,00</v>
      </c>
      <c r="L900" s="6" t="str">
        <f>"1.265,00"</f>
        <v>1.265,00</v>
      </c>
      <c r="M900" s="6" t="str">
        <f>"6.325,00"</f>
        <v>6.325,00</v>
      </c>
      <c r="N900" s="5">
        <v>43552</v>
      </c>
      <c r="O900" s="7"/>
      <c r="P900" s="6" t="str">
        <f>"6.325,00"</f>
        <v>6.325,00</v>
      </c>
      <c r="Q900" s="7"/>
      <c r="R900" s="1"/>
      <c r="S900" s="1" t="str">
        <f>"1-19/NOS-103-B/17"</f>
        <v>1-19/NOS-103-B/17</v>
      </c>
      <c r="T900" s="2" t="s">
        <v>33</v>
      </c>
    </row>
    <row r="901" spans="1:20" ht="38.25" x14ac:dyDescent="0.25">
      <c r="A901" s="1">
        <v>897</v>
      </c>
      <c r="B901" s="1" t="str">
        <f t="shared" si="88"/>
        <v>2017-400</v>
      </c>
      <c r="C901" s="2" t="s">
        <v>794</v>
      </c>
      <c r="D901" s="1" t="s">
        <v>795</v>
      </c>
      <c r="E901" s="3" t="str">
        <f>""</f>
        <v/>
      </c>
      <c r="F901" s="2" t="s">
        <v>27</v>
      </c>
      <c r="G901" s="2" t="str">
        <f>CONCATENATE("SMIT-COMMERCE D.O.O.,"," GORNJOSTUPNIČKA 9B,"," 10255 GORNJI STUPNIK,"," OIB: 9524348214")</f>
        <v>SMIT-COMMERCE D.O.O., GORNJOSTUPNIČKA 9B, 10255 GORNJI STUPNIK, OIB: 9524348214</v>
      </c>
      <c r="H901" s="4"/>
      <c r="I901" s="1" t="s">
        <v>424</v>
      </c>
      <c r="J901" s="1" t="s">
        <v>114</v>
      </c>
      <c r="K901" s="6" t="str">
        <f>"30.516,00"</f>
        <v>30.516,00</v>
      </c>
      <c r="L901" s="6" t="str">
        <f>"7.629,00"</f>
        <v>7.629,00</v>
      </c>
      <c r="M901" s="6" t="str">
        <f>"38.145,00"</f>
        <v>38.145,00</v>
      </c>
      <c r="N901" s="5">
        <v>43699</v>
      </c>
      <c r="O901" s="7"/>
      <c r="P901" s="6" t="str">
        <f>"36.746,25"</f>
        <v>36.746,25</v>
      </c>
      <c r="Q901" s="7"/>
      <c r="R901" s="1"/>
      <c r="S901" s="1" t="str">
        <f>"3-19/NOS-103-B/17"</f>
        <v>3-19/NOS-103-B/17</v>
      </c>
      <c r="T901" s="2" t="s">
        <v>26</v>
      </c>
    </row>
    <row r="902" spans="1:20" ht="89.25" x14ac:dyDescent="0.25">
      <c r="A902" s="1">
        <v>898</v>
      </c>
      <c r="B902" s="1" t="str">
        <f t="shared" si="88"/>
        <v>2017-400</v>
      </c>
      <c r="C902" s="2" t="s">
        <v>794</v>
      </c>
      <c r="D902" s="1" t="s">
        <v>795</v>
      </c>
      <c r="E902" s="3" t="str">
        <f>"2017/S 0F2-0015032"</f>
        <v>2017/S 0F2-0015032</v>
      </c>
      <c r="F902" s="2" t="s">
        <v>23</v>
      </c>
      <c r="G902" s="2" t="str">
        <f>CONCATENATE("SMIT-COMMERCE D.O.O.,"," GORNJOSTUPNIČKA 9B,"," 10255 GORNJI STUPNIK,"," OIB: 95243482140",CHAR(10),"ARBORI CULTURA D.O.O.,"," POKUPSKO 86,"," 10414 POKUPSKO,"," OIB: 16690651659",CHAR(10),"VODOSKOK D.D.,"," ČULINEČKA CESTA 221/C,"," 10040 ZAGREB,"," OIB: 34134218058")</f>
        <v>SMIT-COMMERCE D.O.O., GORNJOSTUPNIČKA 9B, 10255 GORNJI STUPNIK, OIB: 95243482140
ARBORI CULTURA D.O.O., POKUPSKO 86, 10414 POKUPSKO, OIB: 16690651659
VODOSKOK D.D., ČULINEČKA CESTA 221/C, 10040 ZAGREB, OIB: 34134218058</v>
      </c>
      <c r="H902" s="4"/>
      <c r="I902" s="1" t="s">
        <v>787</v>
      </c>
      <c r="J902" s="1" t="s">
        <v>796</v>
      </c>
      <c r="K902" s="6" t="str">
        <f>"300.000,00"</f>
        <v>300.000,00</v>
      </c>
      <c r="L902" s="6" t="str">
        <f>"75.000,00"</f>
        <v>75.000,00</v>
      </c>
      <c r="M902" s="6" t="str">
        <f>"375.000,00"</f>
        <v>375.000,00</v>
      </c>
      <c r="N902" s="7"/>
      <c r="O902" s="7"/>
      <c r="P902" s="6" t="str">
        <f>""</f>
        <v/>
      </c>
      <c r="Q902" s="7"/>
      <c r="R902" s="1"/>
      <c r="S902" s="1" t="str">
        <f>"NOS-103-C/17"</f>
        <v>NOS-103-C/17</v>
      </c>
      <c r="T902" s="2" t="s">
        <v>26</v>
      </c>
    </row>
    <row r="903" spans="1:20" ht="25.5" x14ac:dyDescent="0.25">
      <c r="A903" s="1">
        <v>899</v>
      </c>
      <c r="B903" s="1" t="str">
        <f t="shared" si="88"/>
        <v>2017-400</v>
      </c>
      <c r="C903" s="2" t="s">
        <v>794</v>
      </c>
      <c r="D903" s="1" t="s">
        <v>795</v>
      </c>
      <c r="E903" s="3" t="str">
        <f>""</f>
        <v/>
      </c>
      <c r="F903" s="2" t="s">
        <v>27</v>
      </c>
      <c r="G903" s="2" t="str">
        <f>CONCATENATE("ARBORI CULTURA D.O.O.,"," POKUPSKO 86,"," 10414 POKUPSKO,"," OIB: 16690651659")</f>
        <v>ARBORI CULTURA D.O.O., POKUPSKO 86, 10414 POKUPSKO, OIB: 16690651659</v>
      </c>
      <c r="H903" s="4"/>
      <c r="I903" s="1" t="s">
        <v>203</v>
      </c>
      <c r="J903" s="1" t="s">
        <v>251</v>
      </c>
      <c r="K903" s="6" t="str">
        <f>"27.357,00"</f>
        <v>27.357,00</v>
      </c>
      <c r="L903" s="6" t="str">
        <f>"6.315,25"</f>
        <v>6.315,25</v>
      </c>
      <c r="M903" s="6" t="str">
        <f>"31.576,25"</f>
        <v>31.576,25</v>
      </c>
      <c r="N903" s="5">
        <v>43573</v>
      </c>
      <c r="O903" s="7"/>
      <c r="P903" s="6" t="str">
        <f>"31.576,25"</f>
        <v>31.576,25</v>
      </c>
      <c r="Q903" s="7"/>
      <c r="R903" s="1"/>
      <c r="S903" s="1" t="str">
        <f>"1-19/NOS-103-C/17"</f>
        <v>1-19/NOS-103-C/17</v>
      </c>
      <c r="T903" s="2" t="s">
        <v>33</v>
      </c>
    </row>
    <row r="904" spans="1:20" ht="63.75" x14ac:dyDescent="0.25">
      <c r="A904" s="1">
        <v>900</v>
      </c>
      <c r="B904" s="1" t="str">
        <f t="shared" si="88"/>
        <v>2017-400</v>
      </c>
      <c r="C904" s="2" t="s">
        <v>794</v>
      </c>
      <c r="D904" s="1" t="s">
        <v>795</v>
      </c>
      <c r="E904" s="3" t="str">
        <f>"2017/S 0F2-0015032"</f>
        <v>2017/S 0F2-0015032</v>
      </c>
      <c r="F904" s="2" t="s">
        <v>23</v>
      </c>
      <c r="G904" s="2" t="str">
        <f>CONCATENATE("POLJOOPSKRBA-TEHNO D.D.,"," SAMOBORSKA 96,"," 10000 ZAGREB,"," OIB: 53721673241",CHAR(10),"SMIT-COMMERCE D.O.O.,"," GORNJOSTUPNIČKA 9B,"," 10255 GORNJI STUPNIK,"," OIB: 9524348214")</f>
        <v>POLJOOPSKRBA-TEHNO D.D., SAMOBORSKA 96, 10000 ZAGREB, OIB: 53721673241
SMIT-COMMERCE D.O.O., GORNJOSTUPNIČKA 9B, 10255 GORNJI STUPNIK, OIB: 9524348214</v>
      </c>
      <c r="H904" s="4"/>
      <c r="I904" s="1" t="s">
        <v>787</v>
      </c>
      <c r="J904" s="1" t="s">
        <v>796</v>
      </c>
      <c r="K904" s="6" t="str">
        <f>"100.000,00"</f>
        <v>100.000,00</v>
      </c>
      <c r="L904" s="6" t="str">
        <f>"25.000,00"</f>
        <v>25.000,00</v>
      </c>
      <c r="M904" s="6" t="str">
        <f>"125.000,00"</f>
        <v>125.000,00</v>
      </c>
      <c r="N904" s="7"/>
      <c r="O904" s="7"/>
      <c r="P904" s="6" t="str">
        <f>""</f>
        <v/>
      </c>
      <c r="Q904" s="7"/>
      <c r="R904" s="1"/>
      <c r="S904" s="1" t="str">
        <f>"NOS-103-D/17"</f>
        <v>NOS-103-D/17</v>
      </c>
      <c r="T904" s="2" t="s">
        <v>26</v>
      </c>
    </row>
    <row r="905" spans="1:20" ht="38.25" x14ac:dyDescent="0.25">
      <c r="A905" s="1">
        <v>901</v>
      </c>
      <c r="B905" s="1" t="str">
        <f t="shared" si="88"/>
        <v>2017-400</v>
      </c>
      <c r="C905" s="2" t="s">
        <v>794</v>
      </c>
      <c r="D905" s="1" t="s">
        <v>795</v>
      </c>
      <c r="E905" s="3" t="str">
        <f>"2017/S 0F2-0015032"</f>
        <v>2017/S 0F2-0015032</v>
      </c>
      <c r="F905" s="2" t="s">
        <v>23</v>
      </c>
      <c r="G905" s="2" t="str">
        <f>CONCATENATE("ARBORI CULTURA D.O.O.,"," POKUPSKO 86,"," 10414 POKUPSKO,"," OIB: 16690651659")</f>
        <v>ARBORI CULTURA D.O.O., POKUPSKO 86, 10414 POKUPSKO, OIB: 16690651659</v>
      </c>
      <c r="H905" s="4"/>
      <c r="I905" s="1" t="s">
        <v>787</v>
      </c>
      <c r="J905" s="1" t="s">
        <v>796</v>
      </c>
      <c r="K905" s="6" t="str">
        <f>"500.000,00"</f>
        <v>500.000,00</v>
      </c>
      <c r="L905" s="6" t="str">
        <f>"125.000,00"</f>
        <v>125.000,00</v>
      </c>
      <c r="M905" s="6" t="str">
        <f>"625.000,00"</f>
        <v>625.000,00</v>
      </c>
      <c r="N905" s="7"/>
      <c r="O905" s="7"/>
      <c r="P905" s="6" t="str">
        <f>""</f>
        <v/>
      </c>
      <c r="Q905" s="7"/>
      <c r="R905" s="1"/>
      <c r="S905" s="1" t="str">
        <f>"NOS-103-E/17"</f>
        <v>NOS-103-E/17</v>
      </c>
      <c r="T905" s="2" t="s">
        <v>26</v>
      </c>
    </row>
    <row r="906" spans="1:20" ht="25.5" x14ac:dyDescent="0.25">
      <c r="A906" s="1">
        <v>902</v>
      </c>
      <c r="B906" s="1" t="str">
        <f t="shared" si="88"/>
        <v>2017-400</v>
      </c>
      <c r="C906" s="2" t="s">
        <v>794</v>
      </c>
      <c r="D906" s="1" t="s">
        <v>795</v>
      </c>
      <c r="E906" s="3" t="str">
        <f>""</f>
        <v/>
      </c>
      <c r="F906" s="2" t="s">
        <v>27</v>
      </c>
      <c r="G906" s="2" t="str">
        <f>CONCATENATE("ARBORI CULTURA D.O.O.,"," POKUPSKO 86,"," 10414 POKUPSKO,"," OIB: 16690651659")</f>
        <v>ARBORI CULTURA D.O.O., POKUPSKO 86, 10414 POKUPSKO, OIB: 16690651659</v>
      </c>
      <c r="H906" s="4"/>
      <c r="I906" s="1" t="s">
        <v>351</v>
      </c>
      <c r="J906" s="1" t="s">
        <v>64</v>
      </c>
      <c r="K906" s="6" t="str">
        <f>"9.999,50"</f>
        <v>9.999,50</v>
      </c>
      <c r="L906" s="6" t="str">
        <f>"2.499,88"</f>
        <v>2.499,88</v>
      </c>
      <c r="M906" s="6" t="str">
        <f>"12.499,38"</f>
        <v>12.499,38</v>
      </c>
      <c r="N906" s="5">
        <v>43566</v>
      </c>
      <c r="O906" s="7"/>
      <c r="P906" s="6" t="str">
        <f>"13.543,12"</f>
        <v>13.543,12</v>
      </c>
      <c r="Q906" s="7"/>
      <c r="R906" s="1"/>
      <c r="S906" s="1" t="str">
        <f>"1-19/NOS-103-E/17"</f>
        <v>1-19/NOS-103-E/17</v>
      </c>
      <c r="T906" s="2" t="s">
        <v>33</v>
      </c>
    </row>
    <row r="907" spans="1:20" ht="25.5" x14ac:dyDescent="0.25">
      <c r="A907" s="1">
        <v>903</v>
      </c>
      <c r="B907" s="1" t="str">
        <f t="shared" si="88"/>
        <v>2017-400</v>
      </c>
      <c r="C907" s="2" t="s">
        <v>794</v>
      </c>
      <c r="D907" s="1" t="s">
        <v>795</v>
      </c>
      <c r="E907" s="3" t="str">
        <f>""</f>
        <v/>
      </c>
      <c r="F907" s="2" t="s">
        <v>27</v>
      </c>
      <c r="G907" s="2" t="str">
        <f>CONCATENATE("ARBORI CULTURA D.O.O.,"," POKUPSKO 86,"," 10414 POKUPSKO,"," OIB: 16690651659")</f>
        <v>ARBORI CULTURA D.O.O., POKUPSKO 86, 10414 POKUPSKO, OIB: 16690651659</v>
      </c>
      <c r="H907" s="4"/>
      <c r="I907" s="1" t="s">
        <v>162</v>
      </c>
      <c r="J907" s="1" t="s">
        <v>114</v>
      </c>
      <c r="K907" s="6" t="str">
        <f>"13.979,00"</f>
        <v>13.979,00</v>
      </c>
      <c r="L907" s="6" t="str">
        <f>"3.494,75"</f>
        <v>3.494,75</v>
      </c>
      <c r="M907" s="6" t="str">
        <f>"17.473,75"</f>
        <v>17.473,75</v>
      </c>
      <c r="N907" s="5">
        <v>43627</v>
      </c>
      <c r="O907" s="7"/>
      <c r="P907" s="6" t="str">
        <f>"15.861,25"</f>
        <v>15.861,25</v>
      </c>
      <c r="Q907" s="7"/>
      <c r="R907" s="1"/>
      <c r="S907" s="1" t="str">
        <f>"2-19/NOS-103-E/17"</f>
        <v>2-19/NOS-103-E/17</v>
      </c>
      <c r="T907" s="2" t="s">
        <v>33</v>
      </c>
    </row>
    <row r="908" spans="1:20" ht="229.5" x14ac:dyDescent="0.25">
      <c r="A908" s="1">
        <v>904</v>
      </c>
      <c r="B908" s="1" t="str">
        <f>"2017-2679"</f>
        <v>2017-2679</v>
      </c>
      <c r="C908" s="2" t="s">
        <v>797</v>
      </c>
      <c r="D908" s="1" t="s">
        <v>798</v>
      </c>
      <c r="E908" s="3" t="str">
        <f>"2017/S 0F2-0017368"</f>
        <v>2017/S 0F2-0017368</v>
      </c>
      <c r="F908" s="2" t="s">
        <v>23</v>
      </c>
      <c r="G908" s="2" t="str">
        <f>CONCATENATE("HIS D.O.O.,"," DONJA VIŠNJICA bb,"," 42255 DONJA VIŠNJICA,"," OIB: 4051526937")</f>
        <v>HIS D.O.O., DONJA VIŠNJICA bb, 42255 DONJA VIŠNJICA, OIB: 4051526937</v>
      </c>
      <c r="H908" s="1" t="str">
        <f>CONCATENATE("HELB D.O.O.,"," OIB: 38935991904",CHAR(10),"MI MARIS D.O.O.,"," OIB: 38118858399",CHAR(10),"PERGER D.O.O.,"," OIB: 46240466333",CHAR(10),"KOM-EKO D.O.O.,"," OIB: 27859052647",CHAR(10),"DAGOR D.O.O.,"," OIB: 50966188893",CHAR(10),"EKOCIJAN D.O.O.,"," OIB: 37698275226")</f>
        <v>HELB D.O.O., OIB: 38935991904
MI MARIS D.O.O., OIB: 38118858399
PERGER D.O.O., OIB: 46240466333
KOM-EKO D.O.O., OIB: 27859052647
DAGOR D.O.O., OIB: 50966188893
EKOCIJAN D.O.O., OIB: 37698275226</v>
      </c>
      <c r="I908" s="1" t="s">
        <v>799</v>
      </c>
      <c r="J908" s="1" t="s">
        <v>800</v>
      </c>
      <c r="K908" s="6" t="str">
        <f>"250.000.000,00"</f>
        <v>250.000.000,00</v>
      </c>
      <c r="L908" s="6" t="str">
        <f>"62.500.000,00"</f>
        <v>62.500.000,00</v>
      </c>
      <c r="M908" s="6" t="str">
        <f>"312.500.000,00"</f>
        <v>312.500.000,00</v>
      </c>
      <c r="N908" s="7"/>
      <c r="O908" s="7"/>
      <c r="P908" s="6" t="str">
        <f>""</f>
        <v/>
      </c>
      <c r="Q908" s="7"/>
      <c r="R908" s="1"/>
      <c r="S908" s="1" t="str">
        <f>"NOS-104/17"</f>
        <v>NOS-104/17</v>
      </c>
      <c r="T908" s="2" t="s">
        <v>33</v>
      </c>
    </row>
    <row r="909" spans="1:20" ht="38.25" x14ac:dyDescent="0.25">
      <c r="A909" s="1">
        <v>905</v>
      </c>
      <c r="B909" s="1" t="str">
        <f>"2017-2679"</f>
        <v>2017-2679</v>
      </c>
      <c r="C909" s="2" t="s">
        <v>797</v>
      </c>
      <c r="D909" s="1" t="s">
        <v>798</v>
      </c>
      <c r="E909" s="3" t="str">
        <f>""</f>
        <v/>
      </c>
      <c r="F909" s="2" t="s">
        <v>27</v>
      </c>
      <c r="G909" s="2" t="str">
        <f>CONCATENATE("HIS D.O.O.,"," DONJA VIŠNJICA bb,"," 42255 DONJA VIŠNJICA,"," OIB: 4051526937")</f>
        <v>HIS D.O.O., DONJA VIŠNJICA bb, 42255 DONJA VIŠNJICA, OIB: 4051526937</v>
      </c>
      <c r="H909" s="4"/>
      <c r="I909" s="1" t="s">
        <v>801</v>
      </c>
      <c r="J909" s="1" t="s">
        <v>71</v>
      </c>
      <c r="K909" s="6" t="str">
        <f>"63.983.048,46"</f>
        <v>63.983.048,46</v>
      </c>
      <c r="L909" s="6" t="str">
        <f>"15.995.762,12"</f>
        <v>15.995.762,12</v>
      </c>
      <c r="M909" s="6" t="str">
        <f>"79.978.810,58"</f>
        <v>79.978.810,58</v>
      </c>
      <c r="N909" s="5">
        <v>43714</v>
      </c>
      <c r="O909" s="7"/>
      <c r="P909" s="6" t="str">
        <f>"59.028.474,90"</f>
        <v>59.028.474,90</v>
      </c>
      <c r="Q909" s="7"/>
      <c r="R909" s="1"/>
      <c r="S909" s="1" t="str">
        <f>"1-18/NOS-104/17"</f>
        <v>1-18/NOS-104/17</v>
      </c>
      <c r="T909" s="2" t="s">
        <v>33</v>
      </c>
    </row>
    <row r="910" spans="1:20" ht="38.25" x14ac:dyDescent="0.25">
      <c r="A910" s="1">
        <v>906</v>
      </c>
      <c r="B910" s="1" t="str">
        <f>"2017-2679"</f>
        <v>2017-2679</v>
      </c>
      <c r="C910" s="2" t="s">
        <v>797</v>
      </c>
      <c r="D910" s="1" t="s">
        <v>798</v>
      </c>
      <c r="E910" s="3" t="str">
        <f>""</f>
        <v/>
      </c>
      <c r="F910" s="2" t="s">
        <v>27</v>
      </c>
      <c r="G910" s="2" t="str">
        <f>CONCATENATE("HIS D.O.O.,"," DONJA VIŠNJICA bb,"," 42255 DONJA VIŠNJICA,"," OIB: 4051526937")</f>
        <v>HIS D.O.O., DONJA VIŠNJICA bb, 42255 DONJA VIŠNJICA, OIB: 4051526937</v>
      </c>
      <c r="H910" s="4"/>
      <c r="I910" s="1" t="s">
        <v>308</v>
      </c>
      <c r="J910" s="1" t="s">
        <v>802</v>
      </c>
      <c r="K910" s="6" t="str">
        <f>"41.451.374,76"</f>
        <v>41.451.374,76</v>
      </c>
      <c r="L910" s="6" t="str">
        <f>"10.362.843,69"</f>
        <v>10.362.843,69</v>
      </c>
      <c r="M910" s="6" t="str">
        <f>"51.814.218,45"</f>
        <v>51.814.218,45</v>
      </c>
      <c r="N910" s="5">
        <v>43714</v>
      </c>
      <c r="O910" s="7"/>
      <c r="P910" s="6" t="str">
        <f>"19.290.911,79"</f>
        <v>19.290.911,79</v>
      </c>
      <c r="Q910" s="7"/>
      <c r="R910" s="1"/>
      <c r="S910" s="1" t="str">
        <f>"2-19/NOS-104/17"</f>
        <v>2-19/NOS-104/17</v>
      </c>
      <c r="T910" s="2" t="s">
        <v>33</v>
      </c>
    </row>
    <row r="911" spans="1:20" ht="51" x14ac:dyDescent="0.25">
      <c r="A911" s="1">
        <v>907</v>
      </c>
      <c r="B911" s="1" t="str">
        <f>"2017-397"</f>
        <v>2017-397</v>
      </c>
      <c r="C911" s="2" t="s">
        <v>803</v>
      </c>
      <c r="D911" s="1" t="s">
        <v>603</v>
      </c>
      <c r="E911" s="3" t="str">
        <f>"2017/S 0F2-0009488"</f>
        <v>2017/S 0F2-0009488</v>
      </c>
      <c r="F911" s="2" t="s">
        <v>23</v>
      </c>
      <c r="G911" s="2" t="str">
        <f>CONCATENATE("PEEK PROMET D.O.O.,"," SPREČKA 8,"," 10000 ZAGREB,"," OIB: 79421023865",CHAR(10),"FANOS D.O.O.,"," KRANJČEVIĆEVA 48,"," 10000 ZAGREB,"," OIB: 68945711747")</f>
        <v>PEEK PROMET D.O.O., SPREČKA 8, 10000 ZAGREB, OIB: 79421023865
FANOS D.O.O., KRANJČEVIĆEVA 48, 10000 ZAGREB, OIB: 68945711747</v>
      </c>
      <c r="H911" s="4"/>
      <c r="I911" s="1" t="s">
        <v>804</v>
      </c>
      <c r="J911" s="1" t="s">
        <v>805</v>
      </c>
      <c r="K911" s="6" t="str">
        <f>"200.000,00"</f>
        <v>200.000,00</v>
      </c>
      <c r="L911" s="6" t="str">
        <f>"50.000,00"</f>
        <v>50.000,00</v>
      </c>
      <c r="M911" s="6" t="str">
        <f>"250.000,00"</f>
        <v>250.000,00</v>
      </c>
      <c r="N911" s="7"/>
      <c r="O911" s="7"/>
      <c r="P911" s="6" t="str">
        <f>""</f>
        <v/>
      </c>
      <c r="Q911" s="7"/>
      <c r="R911" s="1"/>
      <c r="S911" s="1" t="str">
        <f>"NOS-105-A/17"</f>
        <v>NOS-105-A/17</v>
      </c>
      <c r="T911" s="2" t="s">
        <v>33</v>
      </c>
    </row>
    <row r="912" spans="1:20" ht="76.5" x14ac:dyDescent="0.25">
      <c r="A912" s="1">
        <v>908</v>
      </c>
      <c r="B912" s="1" t="str">
        <f>"2017-397"</f>
        <v>2017-397</v>
      </c>
      <c r="C912" s="2" t="s">
        <v>803</v>
      </c>
      <c r="D912" s="1" t="s">
        <v>603</v>
      </c>
      <c r="E912" s="3" t="str">
        <f>"2017/S 0F2-0009488"</f>
        <v>2017/S 0F2-0009488</v>
      </c>
      <c r="F912" s="2" t="s">
        <v>23</v>
      </c>
      <c r="G912" s="2" t="str">
        <f>CONCATENATE("SELEKTA PRIMA D.O.O.,"," I. TRNAVA 49,"," 10000 ZAGREB,"," OIB: 68651120977",CHAR(10),"PEEK PROMET D.O.O.,"," SPREČKA 8,"," 10000 ZAGREB,"," OIB: 79421023865",CHAR(10),"SEMAFOR D.O.O.,"," ANTE TOPIĆ MIMARE 24,"," 10000 ZAGREB,"," OIB: 57464039766")</f>
        <v>SELEKTA PRIMA D.O.O., I. TRNAVA 49, 10000 ZAGREB, OIB: 68651120977
PEEK PROMET D.O.O., SPREČKA 8, 10000 ZAGREB, OIB: 79421023865
SEMAFOR D.O.O., ANTE TOPIĆ MIMARE 24, 10000 ZAGREB, OIB: 57464039766</v>
      </c>
      <c r="H912" s="4"/>
      <c r="I912" s="1" t="s">
        <v>682</v>
      </c>
      <c r="J912" s="1" t="s">
        <v>806</v>
      </c>
      <c r="K912" s="6" t="str">
        <f>"600.000,00"</f>
        <v>600.000,00</v>
      </c>
      <c r="L912" s="6" t="str">
        <f>"150.000,00"</f>
        <v>150.000,00</v>
      </c>
      <c r="M912" s="6" t="str">
        <f>"750.000,00"</f>
        <v>750.000,00</v>
      </c>
      <c r="N912" s="7"/>
      <c r="O912" s="7"/>
      <c r="P912" s="6" t="str">
        <f>""</f>
        <v/>
      </c>
      <c r="Q912" s="7"/>
      <c r="R912" s="1"/>
      <c r="S912" s="1" t="str">
        <f>"NOS-105-B/17"</f>
        <v>NOS-105-B/17</v>
      </c>
      <c r="T912" s="2" t="s">
        <v>33</v>
      </c>
    </row>
    <row r="913" spans="1:20" ht="51" x14ac:dyDescent="0.25">
      <c r="A913" s="1">
        <v>909</v>
      </c>
      <c r="B913" s="1" t="str">
        <f>"2017-397"</f>
        <v>2017-397</v>
      </c>
      <c r="C913" s="2" t="s">
        <v>803</v>
      </c>
      <c r="D913" s="1" t="s">
        <v>603</v>
      </c>
      <c r="E913" s="3" t="str">
        <f>"2017/S 0F2-0009488"</f>
        <v>2017/S 0F2-0009488</v>
      </c>
      <c r="F913" s="2" t="s">
        <v>23</v>
      </c>
      <c r="G913" s="2" t="str">
        <f>CONCATENATE("SELEKTA PRIMA D.O.O.,"," I. TRNAVA 49,"," 10000 ZAGREB,"," OIB: 68651120977",CHAR(10),"PEEK PROMET D.O.O.,"," SPREČKA 8,"," 10000 ZAGREB,"," OIB: 79421023865")</f>
        <v>SELEKTA PRIMA D.O.O., I. TRNAVA 49, 10000 ZAGREB, OIB: 68651120977
PEEK PROMET D.O.O., SPREČKA 8, 10000 ZAGREB, OIB: 79421023865</v>
      </c>
      <c r="H913" s="4"/>
      <c r="I913" s="1" t="s">
        <v>804</v>
      </c>
      <c r="J913" s="1" t="s">
        <v>805</v>
      </c>
      <c r="K913" s="6" t="str">
        <f>"100.000,00"</f>
        <v>100.000,00</v>
      </c>
      <c r="L913" s="6" t="str">
        <f>"25.000,00"</f>
        <v>25.000,00</v>
      </c>
      <c r="M913" s="6" t="str">
        <f>"125.000,00"</f>
        <v>125.000,00</v>
      </c>
      <c r="N913" s="7"/>
      <c r="O913" s="7"/>
      <c r="P913" s="6" t="str">
        <f>""</f>
        <v/>
      </c>
      <c r="Q913" s="7"/>
      <c r="R913" s="1"/>
      <c r="S913" s="1" t="str">
        <f>"NOS-105-C/17"</f>
        <v>NOS-105-C/17</v>
      </c>
      <c r="T913" s="2" t="s">
        <v>33</v>
      </c>
    </row>
    <row r="914" spans="1:20" ht="38.25" x14ac:dyDescent="0.25">
      <c r="A914" s="1">
        <v>910</v>
      </c>
      <c r="B914" s="1" t="str">
        <f>"2017-2866"</f>
        <v>2017-2866</v>
      </c>
      <c r="C914" s="2" t="s">
        <v>807</v>
      </c>
      <c r="D914" s="1" t="s">
        <v>22</v>
      </c>
      <c r="E914" s="3" t="str">
        <f>"2017/S 0F2-0022906"</f>
        <v>2017/S 0F2-0022906</v>
      </c>
      <c r="F914" s="2" t="s">
        <v>23</v>
      </c>
      <c r="G914" s="2" t="str">
        <f>CONCATENATE("PPZ D.O.O.,"," SV.KRIŽ,","BRDOVEČKA 23,"," 10299 MARIJA GORICA,"," OIB: 02727064568")</f>
        <v>PPZ D.O.O., SV.KRIŽ,BRDOVEČKA 23, 10299 MARIJA GORICA, OIB: 02727064568</v>
      </c>
      <c r="H914" s="4"/>
      <c r="I914" s="1" t="s">
        <v>787</v>
      </c>
      <c r="J914" s="1" t="s">
        <v>796</v>
      </c>
      <c r="K914" s="6" t="str">
        <f>"1.500.000,00"</f>
        <v>1.500.000,00</v>
      </c>
      <c r="L914" s="6" t="str">
        <f>"375.000,00"</f>
        <v>375.000,00</v>
      </c>
      <c r="M914" s="6" t="str">
        <f>"1.875.000,00"</f>
        <v>1.875.000,00</v>
      </c>
      <c r="N914" s="7"/>
      <c r="O914" s="7"/>
      <c r="P914" s="6" t="str">
        <f>""</f>
        <v/>
      </c>
      <c r="Q914" s="7"/>
      <c r="R914" s="1"/>
      <c r="S914" s="1" t="str">
        <f>"NOS-106/17"</f>
        <v>NOS-106/17</v>
      </c>
      <c r="T914" s="2" t="s">
        <v>33</v>
      </c>
    </row>
    <row r="915" spans="1:20" ht="25.5" x14ac:dyDescent="0.25">
      <c r="A915" s="1">
        <v>911</v>
      </c>
      <c r="B915" s="1" t="str">
        <f>"2017-2866"</f>
        <v>2017-2866</v>
      </c>
      <c r="C915" s="2" t="s">
        <v>807</v>
      </c>
      <c r="D915" s="1" t="s">
        <v>22</v>
      </c>
      <c r="E915" s="3" t="str">
        <f>""</f>
        <v/>
      </c>
      <c r="F915" s="2" t="s">
        <v>27</v>
      </c>
      <c r="G915" s="2" t="str">
        <f>CONCATENATE("PPZ D.O.O.,"," SV.KRIŽ,","BRDOVEČKA 23,"," 10299 MARIJA GORICA,"," OIB: 02727064568")</f>
        <v>PPZ D.O.O., SV.KRIŽ,BRDOVEČKA 23, 10299 MARIJA GORICA, OIB: 02727064568</v>
      </c>
      <c r="H915" s="4"/>
      <c r="I915" s="1" t="s">
        <v>461</v>
      </c>
      <c r="J915" s="1" t="s">
        <v>436</v>
      </c>
      <c r="K915" s="6" t="str">
        <f>"48.687,50"</f>
        <v>48.687,50</v>
      </c>
      <c r="L915" s="6" t="str">
        <f>"12.171,88"</f>
        <v>12.171,88</v>
      </c>
      <c r="M915" s="6" t="str">
        <f>"60.859,38"</f>
        <v>60.859,38</v>
      </c>
      <c r="N915" s="5">
        <v>43514</v>
      </c>
      <c r="O915" s="7"/>
      <c r="P915" s="6" t="str">
        <f>"60.859,38"</f>
        <v>60.859,38</v>
      </c>
      <c r="Q915" s="7"/>
      <c r="R915" s="1"/>
      <c r="S915" s="1" t="str">
        <f>"1-19/NOS-106/17"</f>
        <v>1-19/NOS-106/17</v>
      </c>
      <c r="T915" s="2" t="s">
        <v>33</v>
      </c>
    </row>
    <row r="916" spans="1:20" ht="25.5" x14ac:dyDescent="0.25">
      <c r="A916" s="1">
        <v>912</v>
      </c>
      <c r="B916" s="1" t="str">
        <f>"2017-2866"</f>
        <v>2017-2866</v>
      </c>
      <c r="C916" s="2" t="s">
        <v>807</v>
      </c>
      <c r="D916" s="1" t="s">
        <v>22</v>
      </c>
      <c r="E916" s="3" t="str">
        <f>""</f>
        <v/>
      </c>
      <c r="F916" s="2" t="s">
        <v>27</v>
      </c>
      <c r="G916" s="2" t="str">
        <f>CONCATENATE("PPZ D.O.O.,"," SV.KRIŽ,","BRDOVEČKA 23,"," 10299 MARIJA GORICA,"," OIB: 02727064568")</f>
        <v>PPZ D.O.O., SV.KRIŽ,BRDOVEČKA 23, 10299 MARIJA GORICA, OIB: 02727064568</v>
      </c>
      <c r="H916" s="4"/>
      <c r="I916" s="1" t="s">
        <v>493</v>
      </c>
      <c r="J916" s="1" t="s">
        <v>251</v>
      </c>
      <c r="K916" s="6" t="str">
        <f>"21.140,00"</f>
        <v>21.140,00</v>
      </c>
      <c r="L916" s="6" t="str">
        <f>"5.285,00"</f>
        <v>5.285,00</v>
      </c>
      <c r="M916" s="6" t="str">
        <f>"26.425,00"</f>
        <v>26.425,00</v>
      </c>
      <c r="N916" s="5">
        <v>43560</v>
      </c>
      <c r="O916" s="7"/>
      <c r="P916" s="6" t="str">
        <f>"26.425,00"</f>
        <v>26.425,00</v>
      </c>
      <c r="Q916" s="7"/>
      <c r="R916" s="1"/>
      <c r="S916" s="1" t="str">
        <f>"2-19/NOS-106/17"</f>
        <v>2-19/NOS-106/17</v>
      </c>
      <c r="T916" s="2" t="s">
        <v>33</v>
      </c>
    </row>
    <row r="917" spans="1:20" ht="38.25" x14ac:dyDescent="0.25">
      <c r="A917" s="1">
        <v>913</v>
      </c>
      <c r="B917" s="1" t="str">
        <f t="shared" ref="B917:B930" si="89">"2017-2785"</f>
        <v>2017-2785</v>
      </c>
      <c r="C917" s="2" t="s">
        <v>808</v>
      </c>
      <c r="D917" s="1" t="s">
        <v>192</v>
      </c>
      <c r="E917" s="3" t="str">
        <f>"2017/S 0F2-0019503"</f>
        <v>2017/S 0F2-0019503</v>
      </c>
      <c r="F917" s="2" t="s">
        <v>23</v>
      </c>
      <c r="G917" s="2" t="str">
        <f t="shared" ref="G917:G930" si="90">CONCATENATE("RO-TEHNOLOGIJA D.O.O.,"," NOVA CESTA 86,"," 51410 OPATIJA,"," OIB: 94757004774")</f>
        <v>RO-TEHNOLOGIJA D.O.O., NOVA CESTA 86, 51410 OPATIJA, OIB: 94757004774</v>
      </c>
      <c r="H917" s="4"/>
      <c r="I917" s="1" t="s">
        <v>787</v>
      </c>
      <c r="J917" s="1" t="s">
        <v>796</v>
      </c>
      <c r="K917" s="6" t="str">
        <f>"1.500.000,00"</f>
        <v>1.500.000,00</v>
      </c>
      <c r="L917" s="6" t="str">
        <f>"375.000,00"</f>
        <v>375.000,00</v>
      </c>
      <c r="M917" s="6" t="str">
        <f>"1.875.000,00"</f>
        <v>1.875.000,00</v>
      </c>
      <c r="N917" s="7"/>
      <c r="O917" s="7"/>
      <c r="P917" s="6" t="str">
        <f>""</f>
        <v/>
      </c>
      <c r="Q917" s="7"/>
      <c r="R917" s="1"/>
      <c r="S917" s="1" t="str">
        <f>"NOS-107-A/17"</f>
        <v>NOS-107-A/17</v>
      </c>
      <c r="T917" s="2" t="s">
        <v>33</v>
      </c>
    </row>
    <row r="918" spans="1:20" ht="25.5" x14ac:dyDescent="0.25">
      <c r="A918" s="1">
        <v>914</v>
      </c>
      <c r="B918" s="1" t="str">
        <f t="shared" si="89"/>
        <v>2017-2785</v>
      </c>
      <c r="C918" s="2" t="s">
        <v>808</v>
      </c>
      <c r="D918" s="1" t="s">
        <v>192</v>
      </c>
      <c r="E918" s="3" t="str">
        <f>""</f>
        <v/>
      </c>
      <c r="F918" s="2" t="s">
        <v>27</v>
      </c>
      <c r="G918" s="2" t="str">
        <f t="shared" si="90"/>
        <v>RO-TEHNOLOGIJA D.O.O., NOVA CESTA 86, 51410 OPATIJA, OIB: 94757004774</v>
      </c>
      <c r="H918" s="4"/>
      <c r="I918" s="1" t="s">
        <v>574</v>
      </c>
      <c r="J918" s="1" t="s">
        <v>469</v>
      </c>
      <c r="K918" s="6" t="str">
        <f>"142.893,60"</f>
        <v>142.893,60</v>
      </c>
      <c r="L918" s="6" t="str">
        <f>"35.723,40"</f>
        <v>35.723,40</v>
      </c>
      <c r="M918" s="6" t="str">
        <f>"178.617,00"</f>
        <v>178.617,00</v>
      </c>
      <c r="N918" s="5">
        <v>43550</v>
      </c>
      <c r="O918" s="7"/>
      <c r="P918" s="6" t="str">
        <f>"178.617,00"</f>
        <v>178.617,00</v>
      </c>
      <c r="Q918" s="7"/>
      <c r="R918" s="1"/>
      <c r="S918" s="1" t="str">
        <f>"1-19/NOS-107-A/17"</f>
        <v>1-19/NOS-107-A/17</v>
      </c>
      <c r="T918" s="2" t="s">
        <v>33</v>
      </c>
    </row>
    <row r="919" spans="1:20" ht="25.5" x14ac:dyDescent="0.25">
      <c r="A919" s="1">
        <v>915</v>
      </c>
      <c r="B919" s="1" t="str">
        <f t="shared" si="89"/>
        <v>2017-2785</v>
      </c>
      <c r="C919" s="2" t="s">
        <v>808</v>
      </c>
      <c r="D919" s="1" t="s">
        <v>192</v>
      </c>
      <c r="E919" s="3" t="str">
        <f>""</f>
        <v/>
      </c>
      <c r="F919" s="2" t="s">
        <v>27</v>
      </c>
      <c r="G919" s="2" t="str">
        <f t="shared" si="90"/>
        <v>RO-TEHNOLOGIJA D.O.O., NOVA CESTA 86, 51410 OPATIJA, OIB: 94757004774</v>
      </c>
      <c r="H919" s="4"/>
      <c r="I919" s="1" t="s">
        <v>373</v>
      </c>
      <c r="J919" s="1" t="s">
        <v>469</v>
      </c>
      <c r="K919" s="6" t="str">
        <f>"6.984,60"</f>
        <v>6.984,60</v>
      </c>
      <c r="L919" s="6" t="str">
        <f>"1.746,15"</f>
        <v>1.746,15</v>
      </c>
      <c r="M919" s="6" t="str">
        <f>"8.730,75"</f>
        <v>8.730,75</v>
      </c>
      <c r="N919" s="5">
        <v>43550</v>
      </c>
      <c r="O919" s="7"/>
      <c r="P919" s="6" t="str">
        <f>"8.730,75"</f>
        <v>8.730,75</v>
      </c>
      <c r="Q919" s="7"/>
      <c r="R919" s="1"/>
      <c r="S919" s="1" t="str">
        <f>"2-19/NOS-107-A/17"</f>
        <v>2-19/NOS-107-A/17</v>
      </c>
      <c r="T919" s="2" t="s">
        <v>33</v>
      </c>
    </row>
    <row r="920" spans="1:20" ht="25.5" x14ac:dyDescent="0.25">
      <c r="A920" s="1">
        <v>916</v>
      </c>
      <c r="B920" s="1" t="str">
        <f t="shared" si="89"/>
        <v>2017-2785</v>
      </c>
      <c r="C920" s="2" t="s">
        <v>808</v>
      </c>
      <c r="D920" s="1" t="s">
        <v>192</v>
      </c>
      <c r="E920" s="3" t="str">
        <f>""</f>
        <v/>
      </c>
      <c r="F920" s="2" t="s">
        <v>27</v>
      </c>
      <c r="G920" s="2" t="str">
        <f t="shared" si="90"/>
        <v>RO-TEHNOLOGIJA D.O.O., NOVA CESTA 86, 51410 OPATIJA, OIB: 94757004774</v>
      </c>
      <c r="H920" s="4"/>
      <c r="I920" s="1" t="s">
        <v>200</v>
      </c>
      <c r="J920" s="1" t="s">
        <v>140</v>
      </c>
      <c r="K920" s="6" t="str">
        <f>"71.215,30"</f>
        <v>71.215,30</v>
      </c>
      <c r="L920" s="6" t="str">
        <f>"17.803,83"</f>
        <v>17.803,83</v>
      </c>
      <c r="M920" s="6" t="str">
        <f>"89.019,13"</f>
        <v>89.019,13</v>
      </c>
      <c r="N920" s="5">
        <v>43555</v>
      </c>
      <c r="O920" s="7"/>
      <c r="P920" s="6" t="str">
        <f>"89.019,12"</f>
        <v>89.019,12</v>
      </c>
      <c r="Q920" s="7"/>
      <c r="R920" s="1"/>
      <c r="S920" s="1" t="str">
        <f>"16-18/NOS-107-A/17"</f>
        <v>16-18/NOS-107-A/17</v>
      </c>
      <c r="T920" s="2" t="s">
        <v>33</v>
      </c>
    </row>
    <row r="921" spans="1:20" ht="25.5" x14ac:dyDescent="0.25">
      <c r="A921" s="1">
        <v>917</v>
      </c>
      <c r="B921" s="1" t="str">
        <f t="shared" si="89"/>
        <v>2017-2785</v>
      </c>
      <c r="C921" s="2" t="s">
        <v>808</v>
      </c>
      <c r="D921" s="1" t="s">
        <v>192</v>
      </c>
      <c r="E921" s="3" t="str">
        <f>""</f>
        <v/>
      </c>
      <c r="F921" s="2" t="s">
        <v>27</v>
      </c>
      <c r="G921" s="2" t="str">
        <f t="shared" si="90"/>
        <v>RO-TEHNOLOGIJA D.O.O., NOVA CESTA 86, 51410 OPATIJA, OIB: 94757004774</v>
      </c>
      <c r="H921" s="4"/>
      <c r="I921" s="1" t="s">
        <v>493</v>
      </c>
      <c r="J921" s="1" t="s">
        <v>64</v>
      </c>
      <c r="K921" s="6" t="str">
        <f>"38.958,30"</f>
        <v>38.958,30</v>
      </c>
      <c r="L921" s="6" t="str">
        <f>"9.739,58"</f>
        <v>9.739,58</v>
      </c>
      <c r="M921" s="6" t="str">
        <f>"48.697,88"</f>
        <v>48.697,88</v>
      </c>
      <c r="N921" s="5">
        <v>43572</v>
      </c>
      <c r="O921" s="7"/>
      <c r="P921" s="6" t="str">
        <f>"48.697,88"</f>
        <v>48.697,88</v>
      </c>
      <c r="Q921" s="7"/>
      <c r="R921" s="1"/>
      <c r="S921" s="1" t="str">
        <f>"4-19/NOS-107-A/17"</f>
        <v>4-19/NOS-107-A/17</v>
      </c>
      <c r="T921" s="2" t="s">
        <v>33</v>
      </c>
    </row>
    <row r="922" spans="1:20" ht="25.5" x14ac:dyDescent="0.25">
      <c r="A922" s="1">
        <v>918</v>
      </c>
      <c r="B922" s="1" t="str">
        <f t="shared" si="89"/>
        <v>2017-2785</v>
      </c>
      <c r="C922" s="2" t="s">
        <v>808</v>
      </c>
      <c r="D922" s="1" t="s">
        <v>192</v>
      </c>
      <c r="E922" s="3" t="str">
        <f>""</f>
        <v/>
      </c>
      <c r="F922" s="2" t="s">
        <v>27</v>
      </c>
      <c r="G922" s="2" t="str">
        <f t="shared" si="90"/>
        <v>RO-TEHNOLOGIJA D.O.O., NOVA CESTA 86, 51410 OPATIJA, OIB: 94757004774</v>
      </c>
      <c r="H922" s="4"/>
      <c r="I922" s="1" t="s">
        <v>321</v>
      </c>
      <c r="J922" s="1" t="s">
        <v>73</v>
      </c>
      <c r="K922" s="6" t="str">
        <f>"67.380,90"</f>
        <v>67.380,90</v>
      </c>
      <c r="L922" s="6" t="str">
        <f>"16.845,23"</f>
        <v>16.845,23</v>
      </c>
      <c r="M922" s="6" t="str">
        <f>"84.226,13"</f>
        <v>84.226,13</v>
      </c>
      <c r="N922" s="5">
        <v>43637</v>
      </c>
      <c r="O922" s="7"/>
      <c r="P922" s="6" t="str">
        <f>"84.226,12"</f>
        <v>84.226,12</v>
      </c>
      <c r="Q922" s="7"/>
      <c r="R922" s="1"/>
      <c r="S922" s="1" t="str">
        <f>"5-19/NOS-107-A/17"</f>
        <v>5-19/NOS-107-A/17</v>
      </c>
      <c r="T922" s="2" t="s">
        <v>33</v>
      </c>
    </row>
    <row r="923" spans="1:20" ht="25.5" x14ac:dyDescent="0.25">
      <c r="A923" s="1">
        <v>919</v>
      </c>
      <c r="B923" s="1" t="str">
        <f t="shared" si="89"/>
        <v>2017-2785</v>
      </c>
      <c r="C923" s="2" t="s">
        <v>808</v>
      </c>
      <c r="D923" s="1" t="s">
        <v>192</v>
      </c>
      <c r="E923" s="3" t="str">
        <f>""</f>
        <v/>
      </c>
      <c r="F923" s="2" t="s">
        <v>27</v>
      </c>
      <c r="G923" s="2" t="str">
        <f t="shared" si="90"/>
        <v>RO-TEHNOLOGIJA D.O.O., NOVA CESTA 86, 51410 OPATIJA, OIB: 94757004774</v>
      </c>
      <c r="H923" s="4"/>
      <c r="I923" s="1" t="s">
        <v>73</v>
      </c>
      <c r="J923" s="1" t="s">
        <v>114</v>
      </c>
      <c r="K923" s="6" t="str">
        <f>"30.536,10"</f>
        <v>30.536,10</v>
      </c>
      <c r="L923" s="6" t="str">
        <f>"7.634,03"</f>
        <v>7.634,03</v>
      </c>
      <c r="M923" s="6" t="str">
        <f>"38.170,13"</f>
        <v>38.170,13</v>
      </c>
      <c r="N923" s="5">
        <v>43634</v>
      </c>
      <c r="O923" s="7"/>
      <c r="P923" s="6" t="str">
        <f>"38.170,12"</f>
        <v>38.170,12</v>
      </c>
      <c r="Q923" s="7"/>
      <c r="R923" s="1"/>
      <c r="S923" s="1" t="str">
        <f>"6-19/NOS-107-A/17"</f>
        <v>6-19/NOS-107-A/17</v>
      </c>
      <c r="T923" s="2" t="s">
        <v>33</v>
      </c>
    </row>
    <row r="924" spans="1:20" ht="38.25" x14ac:dyDescent="0.25">
      <c r="A924" s="1">
        <v>920</v>
      </c>
      <c r="B924" s="1" t="str">
        <f t="shared" si="89"/>
        <v>2017-2785</v>
      </c>
      <c r="C924" s="2" t="s">
        <v>808</v>
      </c>
      <c r="D924" s="1" t="s">
        <v>192</v>
      </c>
      <c r="E924" s="3" t="str">
        <f>"2017/S 0F2-0019503"</f>
        <v>2017/S 0F2-0019503</v>
      </c>
      <c r="F924" s="2" t="s">
        <v>23</v>
      </c>
      <c r="G924" s="2" t="str">
        <f t="shared" si="90"/>
        <v>RO-TEHNOLOGIJA D.O.O., NOVA CESTA 86, 51410 OPATIJA, OIB: 94757004774</v>
      </c>
      <c r="H924" s="4"/>
      <c r="I924" s="1" t="s">
        <v>787</v>
      </c>
      <c r="J924" s="1" t="s">
        <v>796</v>
      </c>
      <c r="K924" s="6" t="str">
        <f>"3.000.000,00"</f>
        <v>3.000.000,00</v>
      </c>
      <c r="L924" s="6" t="str">
        <f>"750.000,00"</f>
        <v>750.000,00</v>
      </c>
      <c r="M924" s="6" t="str">
        <f>"3.750.000,00"</f>
        <v>3.750.000,00</v>
      </c>
      <c r="N924" s="7"/>
      <c r="O924" s="7"/>
      <c r="P924" s="6" t="str">
        <f>""</f>
        <v/>
      </c>
      <c r="Q924" s="7"/>
      <c r="R924" s="1"/>
      <c r="S924" s="1" t="str">
        <f>"NOS-107-B/17"</f>
        <v>NOS-107-B/17</v>
      </c>
      <c r="T924" s="2" t="s">
        <v>33</v>
      </c>
    </row>
    <row r="925" spans="1:20" ht="25.5" x14ac:dyDescent="0.25">
      <c r="A925" s="1">
        <v>921</v>
      </c>
      <c r="B925" s="1" t="str">
        <f t="shared" si="89"/>
        <v>2017-2785</v>
      </c>
      <c r="C925" s="2" t="s">
        <v>808</v>
      </c>
      <c r="D925" s="1" t="s">
        <v>192</v>
      </c>
      <c r="E925" s="3" t="str">
        <f>""</f>
        <v/>
      </c>
      <c r="F925" s="2" t="s">
        <v>27</v>
      </c>
      <c r="G925" s="2" t="str">
        <f t="shared" si="90"/>
        <v>RO-TEHNOLOGIJA D.O.O., NOVA CESTA 86, 51410 OPATIJA, OIB: 94757004774</v>
      </c>
      <c r="H925" s="4"/>
      <c r="I925" s="1" t="s">
        <v>574</v>
      </c>
      <c r="J925" s="1" t="s">
        <v>469</v>
      </c>
      <c r="K925" s="6" t="str">
        <f>"17.456,70"</f>
        <v>17.456,70</v>
      </c>
      <c r="L925" s="6" t="str">
        <f>"4.364,18"</f>
        <v>4.364,18</v>
      </c>
      <c r="M925" s="6" t="str">
        <f>"21.820,88"</f>
        <v>21.820,88</v>
      </c>
      <c r="N925" s="5">
        <v>43550</v>
      </c>
      <c r="O925" s="7"/>
      <c r="P925" s="6" t="str">
        <f>"21.820,88"</f>
        <v>21.820,88</v>
      </c>
      <c r="Q925" s="7"/>
      <c r="R925" s="1"/>
      <c r="S925" s="1" t="str">
        <f>"1-19/NOS-107-B/17"</f>
        <v>1-19/NOS-107-B/17</v>
      </c>
      <c r="T925" s="2" t="s">
        <v>33</v>
      </c>
    </row>
    <row r="926" spans="1:20" ht="25.5" x14ac:dyDescent="0.25">
      <c r="A926" s="1">
        <v>922</v>
      </c>
      <c r="B926" s="1" t="str">
        <f t="shared" si="89"/>
        <v>2017-2785</v>
      </c>
      <c r="C926" s="2" t="s">
        <v>808</v>
      </c>
      <c r="D926" s="1" t="s">
        <v>192</v>
      </c>
      <c r="E926" s="3" t="str">
        <f>""</f>
        <v/>
      </c>
      <c r="F926" s="2" t="s">
        <v>27</v>
      </c>
      <c r="G926" s="2" t="str">
        <f t="shared" si="90"/>
        <v>RO-TEHNOLOGIJA D.O.O., NOVA CESTA 86, 51410 OPATIJA, OIB: 94757004774</v>
      </c>
      <c r="H926" s="4"/>
      <c r="I926" s="1" t="s">
        <v>373</v>
      </c>
      <c r="J926" s="1" t="s">
        <v>469</v>
      </c>
      <c r="K926" s="6" t="str">
        <f>"4.233,60"</f>
        <v>4.233,60</v>
      </c>
      <c r="L926" s="6" t="str">
        <f>"1.058,40"</f>
        <v>1.058,40</v>
      </c>
      <c r="M926" s="6" t="str">
        <f>"5.292,00"</f>
        <v>5.292,00</v>
      </c>
      <c r="N926" s="5">
        <v>43552</v>
      </c>
      <c r="O926" s="7"/>
      <c r="P926" s="6" t="str">
        <f>"5.292,00"</f>
        <v>5.292,00</v>
      </c>
      <c r="Q926" s="7"/>
      <c r="R926" s="1"/>
      <c r="S926" s="1" t="str">
        <f>"2-19/NOS-107-B/17"</f>
        <v>2-19/NOS-107-B/17</v>
      </c>
      <c r="T926" s="2" t="s">
        <v>33</v>
      </c>
    </row>
    <row r="927" spans="1:20" ht="25.5" x14ac:dyDescent="0.25">
      <c r="A927" s="1">
        <v>923</v>
      </c>
      <c r="B927" s="1" t="str">
        <f t="shared" si="89"/>
        <v>2017-2785</v>
      </c>
      <c r="C927" s="2" t="s">
        <v>808</v>
      </c>
      <c r="D927" s="1" t="s">
        <v>192</v>
      </c>
      <c r="E927" s="3" t="str">
        <f>""</f>
        <v/>
      </c>
      <c r="F927" s="2" t="s">
        <v>27</v>
      </c>
      <c r="G927" s="2" t="str">
        <f t="shared" si="90"/>
        <v>RO-TEHNOLOGIJA D.O.O., NOVA CESTA 86, 51410 OPATIJA, OIB: 94757004774</v>
      </c>
      <c r="H927" s="4"/>
      <c r="I927" s="1" t="s">
        <v>308</v>
      </c>
      <c r="J927" s="1" t="s">
        <v>469</v>
      </c>
      <c r="K927" s="6" t="str">
        <f>"303.756,00"</f>
        <v>303.756,00</v>
      </c>
      <c r="L927" s="6" t="str">
        <f>"75.939,00"</f>
        <v>75.939,00</v>
      </c>
      <c r="M927" s="6" t="str">
        <f>"379.695,00"</f>
        <v>379.695,00</v>
      </c>
      <c r="N927" s="5">
        <v>43614</v>
      </c>
      <c r="O927" s="7"/>
      <c r="P927" s="6" t="str">
        <f>"379.695,00"</f>
        <v>379.695,00</v>
      </c>
      <c r="Q927" s="7"/>
      <c r="R927" s="1"/>
      <c r="S927" s="1" t="str">
        <f>"3-19/NOS-107-B/17"</f>
        <v>3-19/NOS-107-B/17</v>
      </c>
      <c r="T927" s="2" t="s">
        <v>33</v>
      </c>
    </row>
    <row r="928" spans="1:20" ht="25.5" x14ac:dyDescent="0.25">
      <c r="A928" s="1">
        <v>924</v>
      </c>
      <c r="B928" s="1" t="str">
        <f t="shared" si="89"/>
        <v>2017-2785</v>
      </c>
      <c r="C928" s="2" t="s">
        <v>808</v>
      </c>
      <c r="D928" s="1" t="s">
        <v>192</v>
      </c>
      <c r="E928" s="3" t="str">
        <f>""</f>
        <v/>
      </c>
      <c r="F928" s="2" t="s">
        <v>27</v>
      </c>
      <c r="G928" s="2" t="str">
        <f t="shared" si="90"/>
        <v>RO-TEHNOLOGIJA D.O.O., NOVA CESTA 86, 51410 OPATIJA, OIB: 94757004774</v>
      </c>
      <c r="H928" s="4"/>
      <c r="I928" s="1" t="s">
        <v>394</v>
      </c>
      <c r="J928" s="1" t="s">
        <v>469</v>
      </c>
      <c r="K928" s="6" t="str">
        <f>"5.475,50"</f>
        <v>5.475,50</v>
      </c>
      <c r="L928" s="6" t="str">
        <f>"1.368,88"</f>
        <v>1.368,88</v>
      </c>
      <c r="M928" s="6" t="str">
        <f>"6.844,38"</f>
        <v>6.844,38</v>
      </c>
      <c r="N928" s="5">
        <v>43558</v>
      </c>
      <c r="O928" s="7"/>
      <c r="P928" s="6" t="str">
        <f>"6.844,38"</f>
        <v>6.844,38</v>
      </c>
      <c r="Q928" s="7"/>
      <c r="R928" s="1"/>
      <c r="S928" s="1" t="str">
        <f>"4-19/NOS-107-B/17"</f>
        <v>4-19/NOS-107-B/17</v>
      </c>
      <c r="T928" s="2" t="s">
        <v>33</v>
      </c>
    </row>
    <row r="929" spans="1:20" ht="25.5" x14ac:dyDescent="0.25">
      <c r="A929" s="1">
        <v>925</v>
      </c>
      <c r="B929" s="1" t="str">
        <f t="shared" si="89"/>
        <v>2017-2785</v>
      </c>
      <c r="C929" s="2" t="s">
        <v>808</v>
      </c>
      <c r="D929" s="1" t="s">
        <v>192</v>
      </c>
      <c r="E929" s="3" t="str">
        <f>""</f>
        <v/>
      </c>
      <c r="F929" s="2" t="s">
        <v>27</v>
      </c>
      <c r="G929" s="2" t="str">
        <f t="shared" si="90"/>
        <v>RO-TEHNOLOGIJA D.O.O., NOVA CESTA 86, 51410 OPATIJA, OIB: 94757004774</v>
      </c>
      <c r="H929" s="4"/>
      <c r="I929" s="1" t="s">
        <v>321</v>
      </c>
      <c r="J929" s="1" t="s">
        <v>73</v>
      </c>
      <c r="K929" s="6" t="str">
        <f>"24.896,50"</f>
        <v>24.896,50</v>
      </c>
      <c r="L929" s="6" t="str">
        <f>"6.224,13"</f>
        <v>6.224,13</v>
      </c>
      <c r="M929" s="6" t="str">
        <f>"31.120,63"</f>
        <v>31.120,63</v>
      </c>
      <c r="N929" s="5">
        <v>43614</v>
      </c>
      <c r="O929" s="7"/>
      <c r="P929" s="6" t="str">
        <f>"31.120,62"</f>
        <v>31.120,62</v>
      </c>
      <c r="Q929" s="7"/>
      <c r="R929" s="1"/>
      <c r="S929" s="1" t="str">
        <f>"6-19/NOS-107-B/17"</f>
        <v>6-19/NOS-107-B/17</v>
      </c>
      <c r="T929" s="2" t="s">
        <v>33</v>
      </c>
    </row>
    <row r="930" spans="1:20" ht="25.5" x14ac:dyDescent="0.25">
      <c r="A930" s="1">
        <v>926</v>
      </c>
      <c r="B930" s="1" t="str">
        <f t="shared" si="89"/>
        <v>2017-2785</v>
      </c>
      <c r="C930" s="2" t="s">
        <v>808</v>
      </c>
      <c r="D930" s="1" t="s">
        <v>192</v>
      </c>
      <c r="E930" s="3" t="str">
        <f>""</f>
        <v/>
      </c>
      <c r="F930" s="2" t="s">
        <v>27</v>
      </c>
      <c r="G930" s="2" t="str">
        <f t="shared" si="90"/>
        <v>RO-TEHNOLOGIJA D.O.O., NOVA CESTA 86, 51410 OPATIJA, OIB: 94757004774</v>
      </c>
      <c r="H930" s="4"/>
      <c r="I930" s="1" t="s">
        <v>73</v>
      </c>
      <c r="J930" s="1" t="s">
        <v>114</v>
      </c>
      <c r="K930" s="6" t="str">
        <f>"178.495,10"</f>
        <v>178.495,10</v>
      </c>
      <c r="L930" s="6" t="str">
        <f>"44.623,78"</f>
        <v>44.623,78</v>
      </c>
      <c r="M930" s="6" t="str">
        <f>"223.118,88"</f>
        <v>223.118,88</v>
      </c>
      <c r="N930" s="5">
        <v>43679</v>
      </c>
      <c r="O930" s="7"/>
      <c r="P930" s="6" t="str">
        <f>"223.118,88"</f>
        <v>223.118,88</v>
      </c>
      <c r="Q930" s="7"/>
      <c r="R930" s="1"/>
      <c r="S930" s="1" t="str">
        <f>"7-19/NOS-107-B/17"</f>
        <v>7-19/NOS-107-B/17</v>
      </c>
      <c r="T930" s="2" t="s">
        <v>33</v>
      </c>
    </row>
    <row r="931" spans="1:20" ht="38.25" x14ac:dyDescent="0.25">
      <c r="A931" s="1">
        <v>927</v>
      </c>
      <c r="B931" s="1" t="str">
        <f t="shared" ref="B931:B962" si="91">"2017-380"</f>
        <v>2017-380</v>
      </c>
      <c r="C931" s="2" t="s">
        <v>809</v>
      </c>
      <c r="D931" s="1" t="s">
        <v>170</v>
      </c>
      <c r="E931" s="3" t="str">
        <f>"2017/S 0F2-0015292"</f>
        <v>2017/S 0F2-0015292</v>
      </c>
      <c r="F931" s="2" t="s">
        <v>23</v>
      </c>
      <c r="G931" s="2" t="str">
        <f t="shared" ref="G931:G962" si="92">CONCATENATE("AUTOMEHANIKA D.D.,"," KOVINSKA 4,"," 10000 ZAGREB,"," OIB: 5223317126")</f>
        <v>AUTOMEHANIKA D.D., KOVINSKA 4, 10000 ZAGREB, OIB: 5223317126</v>
      </c>
      <c r="H931" s="1" t="str">
        <f t="shared" ref="H931:H962" si="93">CONCATENATE("AUTOMEHANIKA D.D.,"," OIB: 5223317126")</f>
        <v>AUTOMEHANIKA D.D., OIB: 5223317126</v>
      </c>
      <c r="I931" s="1" t="s">
        <v>799</v>
      </c>
      <c r="J931" s="1" t="s">
        <v>810</v>
      </c>
      <c r="K931" s="6" t="str">
        <f>"2.550.000,00"</f>
        <v>2.550.000,00</v>
      </c>
      <c r="L931" s="6" t="str">
        <f>"637.500,00"</f>
        <v>637.500,00</v>
      </c>
      <c r="M931" s="6" t="str">
        <f>"3.187.500,00"</f>
        <v>3.187.500,00</v>
      </c>
      <c r="N931" s="7"/>
      <c r="O931" s="7"/>
      <c r="P931" s="6" t="str">
        <f>""</f>
        <v/>
      </c>
      <c r="Q931" s="7"/>
      <c r="R931" s="1"/>
      <c r="S931" s="1" t="str">
        <f>"NOS-108-A/17"</f>
        <v>NOS-108-A/17</v>
      </c>
      <c r="T931" s="2" t="s">
        <v>26</v>
      </c>
    </row>
    <row r="932" spans="1:20" ht="38.25" x14ac:dyDescent="0.25">
      <c r="A932" s="1">
        <v>928</v>
      </c>
      <c r="B932" s="1" t="str">
        <f t="shared" si="91"/>
        <v>2017-380</v>
      </c>
      <c r="C932" s="2" t="s">
        <v>809</v>
      </c>
      <c r="D932" s="1" t="s">
        <v>170</v>
      </c>
      <c r="E932" s="3" t="str">
        <f>""</f>
        <v/>
      </c>
      <c r="F932" s="2" t="s">
        <v>27</v>
      </c>
      <c r="G932" s="2" t="str">
        <f t="shared" si="92"/>
        <v>AUTOMEHANIKA D.D., KOVINSKA 4, 10000 ZAGREB, OIB: 5223317126</v>
      </c>
      <c r="H932" s="1" t="str">
        <f t="shared" si="93"/>
        <v>AUTOMEHANIKA D.D., OIB: 5223317126</v>
      </c>
      <c r="I932" s="1" t="s">
        <v>225</v>
      </c>
      <c r="J932" s="1" t="s">
        <v>303</v>
      </c>
      <c r="K932" s="6" t="str">
        <f>"5.695,14"</f>
        <v>5.695,14</v>
      </c>
      <c r="L932" s="6" t="str">
        <f>"1.423,79"</f>
        <v>1.423,79</v>
      </c>
      <c r="M932" s="6" t="str">
        <f>"7.118,93"</f>
        <v>7.118,93</v>
      </c>
      <c r="N932" s="5">
        <v>43511</v>
      </c>
      <c r="O932" s="7"/>
      <c r="P932" s="6" t="str">
        <f>"7.118,92"</f>
        <v>7.118,92</v>
      </c>
      <c r="Q932" s="7"/>
      <c r="R932" s="1"/>
      <c r="S932" s="1" t="str">
        <f>"1-19/NOS-108-A/17"</f>
        <v>1-19/NOS-108-A/17</v>
      </c>
      <c r="T932" s="2" t="s">
        <v>33</v>
      </c>
    </row>
    <row r="933" spans="1:20" ht="38.25" x14ac:dyDescent="0.25">
      <c r="A933" s="1">
        <v>929</v>
      </c>
      <c r="B933" s="1" t="str">
        <f t="shared" si="91"/>
        <v>2017-380</v>
      </c>
      <c r="C933" s="2" t="s">
        <v>809</v>
      </c>
      <c r="D933" s="1" t="s">
        <v>170</v>
      </c>
      <c r="E933" s="3" t="str">
        <f>""</f>
        <v/>
      </c>
      <c r="F933" s="2" t="s">
        <v>27</v>
      </c>
      <c r="G933" s="2" t="str">
        <f t="shared" si="92"/>
        <v>AUTOMEHANIKA D.D., KOVINSKA 4, 10000 ZAGREB, OIB: 5223317126</v>
      </c>
      <c r="H933" s="1" t="str">
        <f t="shared" si="93"/>
        <v>AUTOMEHANIKA D.D., OIB: 5223317126</v>
      </c>
      <c r="I933" s="1" t="s">
        <v>241</v>
      </c>
      <c r="J933" s="1" t="s">
        <v>303</v>
      </c>
      <c r="K933" s="6" t="str">
        <f>"247,54"</f>
        <v>247,54</v>
      </c>
      <c r="L933" s="6" t="str">
        <f>"61,89"</f>
        <v>61,89</v>
      </c>
      <c r="M933" s="6" t="str">
        <f>"309,43"</f>
        <v>309,43</v>
      </c>
      <c r="N933" s="5">
        <v>43509</v>
      </c>
      <c r="O933" s="7"/>
      <c r="P933" s="6" t="str">
        <f>"309,42"</f>
        <v>309,42</v>
      </c>
      <c r="Q933" s="7"/>
      <c r="R933" s="1"/>
      <c r="S933" s="1" t="str">
        <f>"2-19/NOS-108-A/17"</f>
        <v>2-19/NOS-108-A/17</v>
      </c>
      <c r="T933" s="2" t="s">
        <v>33</v>
      </c>
    </row>
    <row r="934" spans="1:20" ht="38.25" x14ac:dyDescent="0.25">
      <c r="A934" s="1">
        <v>930</v>
      </c>
      <c r="B934" s="1" t="str">
        <f t="shared" si="91"/>
        <v>2017-380</v>
      </c>
      <c r="C934" s="2" t="s">
        <v>809</v>
      </c>
      <c r="D934" s="1" t="s">
        <v>170</v>
      </c>
      <c r="E934" s="3" t="str">
        <f>""</f>
        <v/>
      </c>
      <c r="F934" s="2" t="s">
        <v>27</v>
      </c>
      <c r="G934" s="2" t="str">
        <f t="shared" si="92"/>
        <v>AUTOMEHANIKA D.D., KOVINSKA 4, 10000 ZAGREB, OIB: 5223317126</v>
      </c>
      <c r="H934" s="1" t="str">
        <f t="shared" si="93"/>
        <v>AUTOMEHANIKA D.D., OIB: 5223317126</v>
      </c>
      <c r="I934" s="1" t="s">
        <v>210</v>
      </c>
      <c r="J934" s="1" t="s">
        <v>303</v>
      </c>
      <c r="K934" s="6" t="str">
        <f>"2.111,92"</f>
        <v>2.111,92</v>
      </c>
      <c r="L934" s="6" t="str">
        <f>"527,98"</f>
        <v>527,98</v>
      </c>
      <c r="M934" s="6" t="str">
        <f>"2.639,90"</f>
        <v>2.639,90</v>
      </c>
      <c r="N934" s="5">
        <v>43622</v>
      </c>
      <c r="O934" s="7"/>
      <c r="P934" s="6" t="str">
        <f>"2.639,90"</f>
        <v>2.639,90</v>
      </c>
      <c r="Q934" s="7"/>
      <c r="R934" s="1"/>
      <c r="S934" s="1" t="str">
        <f>"3-19/NOS-108-A/17"</f>
        <v>3-19/NOS-108-A/17</v>
      </c>
      <c r="T934" s="2" t="s">
        <v>33</v>
      </c>
    </row>
    <row r="935" spans="1:20" ht="38.25" x14ac:dyDescent="0.25">
      <c r="A935" s="1">
        <v>931</v>
      </c>
      <c r="B935" s="1" t="str">
        <f t="shared" si="91"/>
        <v>2017-380</v>
      </c>
      <c r="C935" s="2" t="s">
        <v>809</v>
      </c>
      <c r="D935" s="1" t="s">
        <v>170</v>
      </c>
      <c r="E935" s="3" t="str">
        <f>""</f>
        <v/>
      </c>
      <c r="F935" s="2" t="s">
        <v>27</v>
      </c>
      <c r="G935" s="2" t="str">
        <f t="shared" si="92"/>
        <v>AUTOMEHANIKA D.D., KOVINSKA 4, 10000 ZAGREB, OIB: 5223317126</v>
      </c>
      <c r="H935" s="1" t="str">
        <f t="shared" si="93"/>
        <v>AUTOMEHANIKA D.D., OIB: 5223317126</v>
      </c>
      <c r="I935" s="1" t="s">
        <v>264</v>
      </c>
      <c r="J935" s="1" t="s">
        <v>303</v>
      </c>
      <c r="K935" s="6" t="str">
        <f>"214,74"</f>
        <v>214,74</v>
      </c>
      <c r="L935" s="6" t="str">
        <f>"53,68"</f>
        <v>53,68</v>
      </c>
      <c r="M935" s="6" t="str">
        <f>"268,42"</f>
        <v>268,42</v>
      </c>
      <c r="N935" s="5">
        <v>43535</v>
      </c>
      <c r="O935" s="7"/>
      <c r="P935" s="6" t="str">
        <f>"268,42"</f>
        <v>268,42</v>
      </c>
      <c r="Q935" s="7"/>
      <c r="R935" s="1"/>
      <c r="S935" s="1" t="str">
        <f>"4-19/NOS-108-A/17"</f>
        <v>4-19/NOS-108-A/17</v>
      </c>
      <c r="T935" s="2" t="s">
        <v>33</v>
      </c>
    </row>
    <row r="936" spans="1:20" ht="38.25" x14ac:dyDescent="0.25">
      <c r="A936" s="1">
        <v>932</v>
      </c>
      <c r="B936" s="1" t="str">
        <f t="shared" si="91"/>
        <v>2017-380</v>
      </c>
      <c r="C936" s="2" t="s">
        <v>809</v>
      </c>
      <c r="D936" s="1" t="s">
        <v>170</v>
      </c>
      <c r="E936" s="3" t="str">
        <f>""</f>
        <v/>
      </c>
      <c r="F936" s="2" t="s">
        <v>27</v>
      </c>
      <c r="G936" s="2" t="str">
        <f t="shared" si="92"/>
        <v>AUTOMEHANIKA D.D., KOVINSKA 4, 10000 ZAGREB, OIB: 5223317126</v>
      </c>
      <c r="H936" s="1" t="str">
        <f t="shared" si="93"/>
        <v>AUTOMEHANIKA D.D., OIB: 5223317126</v>
      </c>
      <c r="I936" s="1" t="s">
        <v>373</v>
      </c>
      <c r="J936" s="1" t="s">
        <v>303</v>
      </c>
      <c r="K936" s="6" t="str">
        <f>"443,20"</f>
        <v>443,20</v>
      </c>
      <c r="L936" s="6" t="str">
        <f>"110,80"</f>
        <v>110,80</v>
      </c>
      <c r="M936" s="6" t="str">
        <f>"554,00"</f>
        <v>554,00</v>
      </c>
      <c r="N936" s="5">
        <v>43683</v>
      </c>
      <c r="O936" s="7"/>
      <c r="P936" s="6" t="str">
        <f>"554,00"</f>
        <v>554,00</v>
      </c>
      <c r="Q936" s="7"/>
      <c r="R936" s="1"/>
      <c r="S936" s="1" t="str">
        <f>"5-19/NOS-108-A/17"</f>
        <v>5-19/NOS-108-A/17</v>
      </c>
      <c r="T936" s="2" t="s">
        <v>33</v>
      </c>
    </row>
    <row r="937" spans="1:20" ht="38.25" x14ac:dyDescent="0.25">
      <c r="A937" s="1">
        <v>933</v>
      </c>
      <c r="B937" s="1" t="str">
        <f t="shared" si="91"/>
        <v>2017-380</v>
      </c>
      <c r="C937" s="2" t="s">
        <v>809</v>
      </c>
      <c r="D937" s="1" t="s">
        <v>170</v>
      </c>
      <c r="E937" s="3" t="str">
        <f>""</f>
        <v/>
      </c>
      <c r="F937" s="2" t="s">
        <v>27</v>
      </c>
      <c r="G937" s="2" t="str">
        <f t="shared" si="92"/>
        <v>AUTOMEHANIKA D.D., KOVINSKA 4, 10000 ZAGREB, OIB: 5223317126</v>
      </c>
      <c r="H937" s="1" t="str">
        <f t="shared" si="93"/>
        <v>AUTOMEHANIKA D.D., OIB: 5223317126</v>
      </c>
      <c r="I937" s="1" t="s">
        <v>351</v>
      </c>
      <c r="J937" s="1" t="s">
        <v>303</v>
      </c>
      <c r="K937" s="6" t="str">
        <f>"8.323,11"</f>
        <v>8.323,11</v>
      </c>
      <c r="L937" s="6" t="str">
        <f>"2.080,78"</f>
        <v>2.080,78</v>
      </c>
      <c r="M937" s="6" t="str">
        <f>"10.403,88"</f>
        <v>10.403,88</v>
      </c>
      <c r="N937" s="5">
        <v>43584</v>
      </c>
      <c r="O937" s="7"/>
      <c r="P937" s="6" t="str">
        <f>"10.403,88"</f>
        <v>10.403,88</v>
      </c>
      <c r="Q937" s="7"/>
      <c r="R937" s="1"/>
      <c r="S937" s="1" t="str">
        <f>"6-19/NOS-108-A/17"</f>
        <v>6-19/NOS-108-A/17</v>
      </c>
      <c r="T937" s="2" t="s">
        <v>33</v>
      </c>
    </row>
    <row r="938" spans="1:20" ht="38.25" x14ac:dyDescent="0.25">
      <c r="A938" s="1">
        <v>934</v>
      </c>
      <c r="B938" s="1" t="str">
        <f t="shared" si="91"/>
        <v>2017-380</v>
      </c>
      <c r="C938" s="2" t="s">
        <v>809</v>
      </c>
      <c r="D938" s="1" t="s">
        <v>170</v>
      </c>
      <c r="E938" s="3" t="str">
        <f>""</f>
        <v/>
      </c>
      <c r="F938" s="2" t="s">
        <v>27</v>
      </c>
      <c r="G938" s="2" t="str">
        <f t="shared" si="92"/>
        <v>AUTOMEHANIKA D.D., KOVINSKA 4, 10000 ZAGREB, OIB: 5223317126</v>
      </c>
      <c r="H938" s="1" t="str">
        <f t="shared" si="93"/>
        <v>AUTOMEHANIKA D.D., OIB: 5223317126</v>
      </c>
      <c r="I938" s="1" t="s">
        <v>277</v>
      </c>
      <c r="J938" s="1" t="s">
        <v>303</v>
      </c>
      <c r="K938" s="6" t="str">
        <f>"2.586,58"</f>
        <v>2.586,58</v>
      </c>
      <c r="L938" s="6" t="str">
        <f>"646,65"</f>
        <v>646,65</v>
      </c>
      <c r="M938" s="6" t="str">
        <f>"3.233,23"</f>
        <v>3.233,23</v>
      </c>
      <c r="N938" s="5">
        <v>43546</v>
      </c>
      <c r="O938" s="7"/>
      <c r="P938" s="6" t="str">
        <f>"3.233,22"</f>
        <v>3.233,22</v>
      </c>
      <c r="Q938" s="7"/>
      <c r="R938" s="1"/>
      <c r="S938" s="1" t="str">
        <f>"7-19/NOS-108-A/17"</f>
        <v>7-19/NOS-108-A/17</v>
      </c>
      <c r="T938" s="2" t="s">
        <v>33</v>
      </c>
    </row>
    <row r="939" spans="1:20" ht="38.25" x14ac:dyDescent="0.25">
      <c r="A939" s="1">
        <v>935</v>
      </c>
      <c r="B939" s="1" t="str">
        <f t="shared" si="91"/>
        <v>2017-380</v>
      </c>
      <c r="C939" s="2" t="s">
        <v>809</v>
      </c>
      <c r="D939" s="1" t="s">
        <v>170</v>
      </c>
      <c r="E939" s="3" t="str">
        <f>""</f>
        <v/>
      </c>
      <c r="F939" s="2" t="s">
        <v>27</v>
      </c>
      <c r="G939" s="2" t="str">
        <f t="shared" si="92"/>
        <v>AUTOMEHANIKA D.D., KOVINSKA 4, 10000 ZAGREB, OIB: 5223317126</v>
      </c>
      <c r="H939" s="1" t="str">
        <f t="shared" si="93"/>
        <v>AUTOMEHANIKA D.D., OIB: 5223317126</v>
      </c>
      <c r="I939" s="1" t="s">
        <v>244</v>
      </c>
      <c r="J939" s="1" t="s">
        <v>303</v>
      </c>
      <c r="K939" s="6" t="str">
        <f>"817,95"</f>
        <v>817,95</v>
      </c>
      <c r="L939" s="6" t="str">
        <f>"204,49"</f>
        <v>204,49</v>
      </c>
      <c r="M939" s="6" t="str">
        <f>"1.022,44"</f>
        <v>1.022,44</v>
      </c>
      <c r="N939" s="5">
        <v>43557</v>
      </c>
      <c r="O939" s="7"/>
      <c r="P939" s="6" t="str">
        <f>"1.022,44"</f>
        <v>1.022,44</v>
      </c>
      <c r="Q939" s="7"/>
      <c r="R939" s="1"/>
      <c r="S939" s="1" t="str">
        <f>"8-19/NOS-108-A/17"</f>
        <v>8-19/NOS-108-A/17</v>
      </c>
      <c r="T939" s="2" t="s">
        <v>33</v>
      </c>
    </row>
    <row r="940" spans="1:20" ht="38.25" x14ac:dyDescent="0.25">
      <c r="A940" s="1">
        <v>936</v>
      </c>
      <c r="B940" s="1" t="str">
        <f t="shared" si="91"/>
        <v>2017-380</v>
      </c>
      <c r="C940" s="2" t="s">
        <v>809</v>
      </c>
      <c r="D940" s="1" t="s">
        <v>170</v>
      </c>
      <c r="E940" s="3" t="str">
        <f>""</f>
        <v/>
      </c>
      <c r="F940" s="2" t="s">
        <v>27</v>
      </c>
      <c r="G940" s="2" t="str">
        <f t="shared" si="92"/>
        <v>AUTOMEHANIKA D.D., KOVINSKA 4, 10000 ZAGREB, OIB: 5223317126</v>
      </c>
      <c r="H940" s="1" t="str">
        <f t="shared" si="93"/>
        <v>AUTOMEHANIKA D.D., OIB: 5223317126</v>
      </c>
      <c r="I940" s="1" t="s">
        <v>463</v>
      </c>
      <c r="J940" s="1" t="s">
        <v>303</v>
      </c>
      <c r="K940" s="6" t="str">
        <f>"324,56"</f>
        <v>324,56</v>
      </c>
      <c r="L940" s="6" t="str">
        <f>"81,14"</f>
        <v>81,14</v>
      </c>
      <c r="M940" s="6" t="str">
        <f>"405,70"</f>
        <v>405,70</v>
      </c>
      <c r="N940" s="5">
        <v>43614</v>
      </c>
      <c r="O940" s="7"/>
      <c r="P940" s="6" t="str">
        <f>"405,70"</f>
        <v>405,70</v>
      </c>
      <c r="Q940" s="7"/>
      <c r="R940" s="1"/>
      <c r="S940" s="1" t="str">
        <f>"9-19/NOS-108-A/17"</f>
        <v>9-19/NOS-108-A/17</v>
      </c>
      <c r="T940" s="2" t="s">
        <v>33</v>
      </c>
    </row>
    <row r="941" spans="1:20" ht="38.25" x14ac:dyDescent="0.25">
      <c r="A941" s="1">
        <v>937</v>
      </c>
      <c r="B941" s="1" t="str">
        <f t="shared" si="91"/>
        <v>2017-380</v>
      </c>
      <c r="C941" s="2" t="s">
        <v>809</v>
      </c>
      <c r="D941" s="1" t="s">
        <v>170</v>
      </c>
      <c r="E941" s="3" t="str">
        <f>""</f>
        <v/>
      </c>
      <c r="F941" s="2" t="s">
        <v>27</v>
      </c>
      <c r="G941" s="2" t="str">
        <f t="shared" si="92"/>
        <v>AUTOMEHANIKA D.D., KOVINSKA 4, 10000 ZAGREB, OIB: 5223317126</v>
      </c>
      <c r="H941" s="1" t="str">
        <f t="shared" si="93"/>
        <v>AUTOMEHANIKA D.D., OIB: 5223317126</v>
      </c>
      <c r="I941" s="1" t="s">
        <v>566</v>
      </c>
      <c r="J941" s="1" t="s">
        <v>303</v>
      </c>
      <c r="K941" s="6" t="str">
        <f>"4.389,01"</f>
        <v>4.389,01</v>
      </c>
      <c r="L941" s="6" t="str">
        <f>"1.097,25"</f>
        <v>1.097,25</v>
      </c>
      <c r="M941" s="6" t="str">
        <f>"5.486,26"</f>
        <v>5.486,26</v>
      </c>
      <c r="N941" s="5">
        <v>43558</v>
      </c>
      <c r="O941" s="7"/>
      <c r="P941" s="6" t="str">
        <f>"5.486,26"</f>
        <v>5.486,26</v>
      </c>
      <c r="Q941" s="7"/>
      <c r="R941" s="1"/>
      <c r="S941" s="1" t="str">
        <f>"10-19/NOS-108-A/17"</f>
        <v>10-19/NOS-108-A/17</v>
      </c>
      <c r="T941" s="2" t="s">
        <v>33</v>
      </c>
    </row>
    <row r="942" spans="1:20" ht="38.25" x14ac:dyDescent="0.25">
      <c r="A942" s="1">
        <v>938</v>
      </c>
      <c r="B942" s="1" t="str">
        <f t="shared" si="91"/>
        <v>2017-380</v>
      </c>
      <c r="C942" s="2" t="s">
        <v>809</v>
      </c>
      <c r="D942" s="1" t="s">
        <v>170</v>
      </c>
      <c r="E942" s="3" t="str">
        <f>""</f>
        <v/>
      </c>
      <c r="F942" s="2" t="s">
        <v>27</v>
      </c>
      <c r="G942" s="2" t="str">
        <f t="shared" si="92"/>
        <v>AUTOMEHANIKA D.D., KOVINSKA 4, 10000 ZAGREB, OIB: 5223317126</v>
      </c>
      <c r="H942" s="1" t="str">
        <f t="shared" si="93"/>
        <v>AUTOMEHANIKA D.D., OIB: 5223317126</v>
      </c>
      <c r="I942" s="1" t="s">
        <v>394</v>
      </c>
      <c r="J942" s="1" t="s">
        <v>303</v>
      </c>
      <c r="K942" s="6" t="str">
        <f>"42.004,74"</f>
        <v>42.004,74</v>
      </c>
      <c r="L942" s="6" t="str">
        <f>"10.501,18"</f>
        <v>10.501,18</v>
      </c>
      <c r="M942" s="6" t="str">
        <f>"52.505,92"</f>
        <v>52.505,92</v>
      </c>
      <c r="N942" s="5">
        <v>43572</v>
      </c>
      <c r="O942" s="7"/>
      <c r="P942" s="6" t="str">
        <f>"52.505,92"</f>
        <v>52.505,92</v>
      </c>
      <c r="Q942" s="7"/>
      <c r="R942" s="1"/>
      <c r="S942" s="1" t="str">
        <f>"12-19/NOS-108-A/17"</f>
        <v>12-19/NOS-108-A/17</v>
      </c>
      <c r="T942" s="2" t="s">
        <v>33</v>
      </c>
    </row>
    <row r="943" spans="1:20" ht="38.25" x14ac:dyDescent="0.25">
      <c r="A943" s="1">
        <v>939</v>
      </c>
      <c r="B943" s="1" t="str">
        <f t="shared" si="91"/>
        <v>2017-380</v>
      </c>
      <c r="C943" s="2" t="s">
        <v>809</v>
      </c>
      <c r="D943" s="1" t="s">
        <v>170</v>
      </c>
      <c r="E943" s="3" t="str">
        <f>""</f>
        <v/>
      </c>
      <c r="F943" s="2" t="s">
        <v>27</v>
      </c>
      <c r="G943" s="2" t="str">
        <f t="shared" si="92"/>
        <v>AUTOMEHANIKA D.D., KOVINSKA 4, 10000 ZAGREB, OIB: 5223317126</v>
      </c>
      <c r="H943" s="1" t="str">
        <f t="shared" si="93"/>
        <v>AUTOMEHANIKA D.D., OIB: 5223317126</v>
      </c>
      <c r="I943" s="1" t="s">
        <v>340</v>
      </c>
      <c r="J943" s="1" t="s">
        <v>303</v>
      </c>
      <c r="K943" s="6" t="str">
        <f>"218,85"</f>
        <v>218,85</v>
      </c>
      <c r="L943" s="6" t="str">
        <f>"54,71"</f>
        <v>54,71</v>
      </c>
      <c r="M943" s="6" t="str">
        <f>"273,56"</f>
        <v>273,56</v>
      </c>
      <c r="N943" s="5">
        <v>43564</v>
      </c>
      <c r="O943" s="7"/>
      <c r="P943" s="6" t="str">
        <f>"273,56"</f>
        <v>273,56</v>
      </c>
      <c r="Q943" s="7"/>
      <c r="R943" s="1"/>
      <c r="S943" s="1" t="str">
        <f>"13-19/NOS-108-A/17"</f>
        <v>13-19/NOS-108-A/17</v>
      </c>
      <c r="T943" s="2" t="s">
        <v>33</v>
      </c>
    </row>
    <row r="944" spans="1:20" ht="38.25" x14ac:dyDescent="0.25">
      <c r="A944" s="1">
        <v>940</v>
      </c>
      <c r="B944" s="1" t="str">
        <f t="shared" si="91"/>
        <v>2017-380</v>
      </c>
      <c r="C944" s="2" t="s">
        <v>809</v>
      </c>
      <c r="D944" s="1" t="s">
        <v>170</v>
      </c>
      <c r="E944" s="3" t="str">
        <f>""</f>
        <v/>
      </c>
      <c r="F944" s="2" t="s">
        <v>27</v>
      </c>
      <c r="G944" s="2" t="str">
        <f t="shared" si="92"/>
        <v>AUTOMEHANIKA D.D., KOVINSKA 4, 10000 ZAGREB, OIB: 5223317126</v>
      </c>
      <c r="H944" s="1" t="str">
        <f t="shared" si="93"/>
        <v>AUTOMEHANIKA D.D., OIB: 5223317126</v>
      </c>
      <c r="I944" s="1" t="s">
        <v>344</v>
      </c>
      <c r="J944" s="1" t="s">
        <v>303</v>
      </c>
      <c r="K944" s="6" t="str">
        <f>"972,81"</f>
        <v>972,81</v>
      </c>
      <c r="L944" s="6" t="str">
        <f>"243,20"</f>
        <v>243,20</v>
      </c>
      <c r="M944" s="6" t="str">
        <f>"1.216,02"</f>
        <v>1.216,02</v>
      </c>
      <c r="N944" s="5">
        <v>43593</v>
      </c>
      <c r="O944" s="7"/>
      <c r="P944" s="6" t="str">
        <f>"1.216,01"</f>
        <v>1.216,01</v>
      </c>
      <c r="Q944" s="7"/>
      <c r="R944" s="1"/>
      <c r="S944" s="1" t="str">
        <f>"14-19/NOS-108-A/17"</f>
        <v>14-19/NOS-108-A/17</v>
      </c>
      <c r="T944" s="2" t="s">
        <v>29</v>
      </c>
    </row>
    <row r="945" spans="1:20" ht="38.25" x14ac:dyDescent="0.25">
      <c r="A945" s="1">
        <v>941</v>
      </c>
      <c r="B945" s="1" t="str">
        <f t="shared" si="91"/>
        <v>2017-380</v>
      </c>
      <c r="C945" s="2" t="s">
        <v>809</v>
      </c>
      <c r="D945" s="1" t="s">
        <v>170</v>
      </c>
      <c r="E945" s="3" t="str">
        <f>""</f>
        <v/>
      </c>
      <c r="F945" s="2" t="s">
        <v>27</v>
      </c>
      <c r="G945" s="2" t="str">
        <f t="shared" si="92"/>
        <v>AUTOMEHANIKA D.D., KOVINSKA 4, 10000 ZAGREB, OIB: 5223317126</v>
      </c>
      <c r="H945" s="1" t="str">
        <f t="shared" si="93"/>
        <v>AUTOMEHANIKA D.D., OIB: 5223317126</v>
      </c>
      <c r="I945" s="1" t="s">
        <v>30</v>
      </c>
      <c r="J945" s="1" t="s">
        <v>303</v>
      </c>
      <c r="K945" s="6" t="str">
        <f>"585,52"</f>
        <v>585,52</v>
      </c>
      <c r="L945" s="6" t="str">
        <f>"146,38"</f>
        <v>146,38</v>
      </c>
      <c r="M945" s="6" t="str">
        <f>"731,90"</f>
        <v>731,90</v>
      </c>
      <c r="N945" s="5">
        <v>43593</v>
      </c>
      <c r="O945" s="7"/>
      <c r="P945" s="6" t="str">
        <f>"731,90"</f>
        <v>731,90</v>
      </c>
      <c r="Q945" s="7"/>
      <c r="R945" s="1"/>
      <c r="S945" s="1" t="str">
        <f>"15-19/NOS-108-A/17"</f>
        <v>15-19/NOS-108-A/17</v>
      </c>
      <c r="T945" s="2" t="s">
        <v>29</v>
      </c>
    </row>
    <row r="946" spans="1:20" ht="38.25" x14ac:dyDescent="0.25">
      <c r="A946" s="1">
        <v>942</v>
      </c>
      <c r="B946" s="1" t="str">
        <f t="shared" si="91"/>
        <v>2017-380</v>
      </c>
      <c r="C946" s="2" t="s">
        <v>809</v>
      </c>
      <c r="D946" s="1" t="s">
        <v>170</v>
      </c>
      <c r="E946" s="3" t="str">
        <f>""</f>
        <v/>
      </c>
      <c r="F946" s="2" t="s">
        <v>27</v>
      </c>
      <c r="G946" s="2" t="str">
        <f t="shared" si="92"/>
        <v>AUTOMEHANIKA D.D., KOVINSKA 4, 10000 ZAGREB, OIB: 5223317126</v>
      </c>
      <c r="H946" s="1" t="str">
        <f t="shared" si="93"/>
        <v>AUTOMEHANIKA D.D., OIB: 5223317126</v>
      </c>
      <c r="I946" s="1" t="s">
        <v>343</v>
      </c>
      <c r="J946" s="1" t="s">
        <v>303</v>
      </c>
      <c r="K946" s="6" t="str">
        <f>"399,54"</f>
        <v>399,54</v>
      </c>
      <c r="L946" s="6" t="str">
        <f>"99,89"</f>
        <v>99,89</v>
      </c>
      <c r="M946" s="6" t="str">
        <f>"499,43"</f>
        <v>499,43</v>
      </c>
      <c r="N946" s="5">
        <v>43593</v>
      </c>
      <c r="O946" s="7"/>
      <c r="P946" s="6" t="str">
        <f>"499,42"</f>
        <v>499,42</v>
      </c>
      <c r="Q946" s="7"/>
      <c r="R946" s="1"/>
      <c r="S946" s="1" t="str">
        <f>"16-19/NOS-108-A/17"</f>
        <v>16-19/NOS-108-A/17</v>
      </c>
      <c r="T946" s="2" t="s">
        <v>29</v>
      </c>
    </row>
    <row r="947" spans="1:20" ht="38.25" x14ac:dyDescent="0.25">
      <c r="A947" s="1">
        <v>943</v>
      </c>
      <c r="B947" s="1" t="str">
        <f t="shared" si="91"/>
        <v>2017-380</v>
      </c>
      <c r="C947" s="2" t="s">
        <v>809</v>
      </c>
      <c r="D947" s="1" t="s">
        <v>170</v>
      </c>
      <c r="E947" s="3" t="str">
        <f>""</f>
        <v/>
      </c>
      <c r="F947" s="2" t="s">
        <v>27</v>
      </c>
      <c r="G947" s="2" t="str">
        <f t="shared" si="92"/>
        <v>AUTOMEHANIKA D.D., KOVINSKA 4, 10000 ZAGREB, OIB: 5223317126</v>
      </c>
      <c r="H947" s="1" t="str">
        <f t="shared" si="93"/>
        <v>AUTOMEHANIKA D.D., OIB: 5223317126</v>
      </c>
      <c r="I947" s="1" t="s">
        <v>343</v>
      </c>
      <c r="J947" s="1" t="s">
        <v>303</v>
      </c>
      <c r="K947" s="6" t="str">
        <f>"790,49"</f>
        <v>790,49</v>
      </c>
      <c r="L947" s="6" t="str">
        <f>"197,62"</f>
        <v>197,62</v>
      </c>
      <c r="M947" s="6" t="str">
        <f>"988,11"</f>
        <v>988,11</v>
      </c>
      <c r="N947" s="5">
        <v>43593</v>
      </c>
      <c r="O947" s="7"/>
      <c r="P947" s="6" t="str">
        <f>"988,11"</f>
        <v>988,11</v>
      </c>
      <c r="Q947" s="7"/>
      <c r="R947" s="1"/>
      <c r="S947" s="1" t="str">
        <f>"17-19/NOS-108-A/17"</f>
        <v>17-19/NOS-108-A/17</v>
      </c>
      <c r="T947" s="2" t="s">
        <v>29</v>
      </c>
    </row>
    <row r="948" spans="1:20" ht="38.25" x14ac:dyDescent="0.25">
      <c r="A948" s="1">
        <v>944</v>
      </c>
      <c r="B948" s="1" t="str">
        <f t="shared" si="91"/>
        <v>2017-380</v>
      </c>
      <c r="C948" s="2" t="s">
        <v>809</v>
      </c>
      <c r="D948" s="1" t="s">
        <v>170</v>
      </c>
      <c r="E948" s="3" t="str">
        <f>""</f>
        <v/>
      </c>
      <c r="F948" s="2" t="s">
        <v>27</v>
      </c>
      <c r="G948" s="2" t="str">
        <f t="shared" si="92"/>
        <v>AUTOMEHANIKA D.D., KOVINSKA 4, 10000 ZAGREB, OIB: 5223317126</v>
      </c>
      <c r="H948" s="1" t="str">
        <f t="shared" si="93"/>
        <v>AUTOMEHANIKA D.D., OIB: 5223317126</v>
      </c>
      <c r="I948" s="1" t="s">
        <v>343</v>
      </c>
      <c r="J948" s="1" t="s">
        <v>303</v>
      </c>
      <c r="K948" s="6" t="str">
        <f>"120,00"</f>
        <v>120,00</v>
      </c>
      <c r="L948" s="6" t="str">
        <f>"30,00"</f>
        <v>30,00</v>
      </c>
      <c r="M948" s="6" t="str">
        <f>"150,00"</f>
        <v>150,00</v>
      </c>
      <c r="N948" s="5">
        <v>43593</v>
      </c>
      <c r="O948" s="7"/>
      <c r="P948" s="6" t="str">
        <f>"150,00"</f>
        <v>150,00</v>
      </c>
      <c r="Q948" s="7"/>
      <c r="R948" s="1"/>
      <c r="S948" s="1" t="str">
        <f>"18-19/NOS-108-A/17"</f>
        <v>18-19/NOS-108-A/17</v>
      </c>
      <c r="T948" s="2" t="s">
        <v>29</v>
      </c>
    </row>
    <row r="949" spans="1:20" ht="38.25" x14ac:dyDescent="0.25">
      <c r="A949" s="1">
        <v>945</v>
      </c>
      <c r="B949" s="1" t="str">
        <f t="shared" si="91"/>
        <v>2017-380</v>
      </c>
      <c r="C949" s="2" t="s">
        <v>809</v>
      </c>
      <c r="D949" s="1" t="s">
        <v>170</v>
      </c>
      <c r="E949" s="3" t="str">
        <f>""</f>
        <v/>
      </c>
      <c r="F949" s="2" t="s">
        <v>27</v>
      </c>
      <c r="G949" s="2" t="str">
        <f t="shared" si="92"/>
        <v>AUTOMEHANIKA D.D., KOVINSKA 4, 10000 ZAGREB, OIB: 5223317126</v>
      </c>
      <c r="H949" s="1" t="str">
        <f t="shared" si="93"/>
        <v>AUTOMEHANIKA D.D., OIB: 5223317126</v>
      </c>
      <c r="I949" s="1" t="s">
        <v>343</v>
      </c>
      <c r="J949" s="1" t="s">
        <v>303</v>
      </c>
      <c r="K949" s="6" t="str">
        <f>"7.223,10"</f>
        <v>7.223,10</v>
      </c>
      <c r="L949" s="6" t="str">
        <f>"1.805,77"</f>
        <v>1.805,77</v>
      </c>
      <c r="M949" s="6" t="str">
        <f>"9.028,87"</f>
        <v>9.028,87</v>
      </c>
      <c r="N949" s="5">
        <v>43593</v>
      </c>
      <c r="O949" s="7"/>
      <c r="P949" s="6" t="str">
        <f>"9.028,88"</f>
        <v>9.028,88</v>
      </c>
      <c r="Q949" s="7"/>
      <c r="R949" s="1"/>
      <c r="S949" s="1" t="str">
        <f>"19-19/NOS-108-A/17"</f>
        <v>19-19/NOS-108-A/17</v>
      </c>
      <c r="T949" s="2" t="s">
        <v>29</v>
      </c>
    </row>
    <row r="950" spans="1:20" ht="38.25" x14ac:dyDescent="0.25">
      <c r="A950" s="1">
        <v>946</v>
      </c>
      <c r="B950" s="1" t="str">
        <f t="shared" si="91"/>
        <v>2017-380</v>
      </c>
      <c r="C950" s="2" t="s">
        <v>809</v>
      </c>
      <c r="D950" s="1" t="s">
        <v>170</v>
      </c>
      <c r="E950" s="3" t="str">
        <f>""</f>
        <v/>
      </c>
      <c r="F950" s="2" t="s">
        <v>27</v>
      </c>
      <c r="G950" s="2" t="str">
        <f t="shared" si="92"/>
        <v>AUTOMEHANIKA D.D., KOVINSKA 4, 10000 ZAGREB, OIB: 5223317126</v>
      </c>
      <c r="H950" s="1" t="str">
        <f t="shared" si="93"/>
        <v>AUTOMEHANIKA D.D., OIB: 5223317126</v>
      </c>
      <c r="I950" s="1" t="s">
        <v>494</v>
      </c>
      <c r="J950" s="1" t="s">
        <v>303</v>
      </c>
      <c r="K950" s="6" t="str">
        <f>"3.907,11"</f>
        <v>3.907,11</v>
      </c>
      <c r="L950" s="6" t="str">
        <f>"976,78"</f>
        <v>976,78</v>
      </c>
      <c r="M950" s="6" t="str">
        <f>"4.883,89"</f>
        <v>4.883,89</v>
      </c>
      <c r="N950" s="5">
        <v>43646</v>
      </c>
      <c r="O950" s="7"/>
      <c r="P950" s="6" t="str">
        <f>"4.883,89"</f>
        <v>4.883,89</v>
      </c>
      <c r="Q950" s="7"/>
      <c r="R950" s="1"/>
      <c r="S950" s="1" t="str">
        <f>"20-19/NOS-108-A/17"</f>
        <v>20-19/NOS-108-A/17</v>
      </c>
      <c r="T950" s="2" t="s">
        <v>29</v>
      </c>
    </row>
    <row r="951" spans="1:20" ht="38.25" x14ac:dyDescent="0.25">
      <c r="A951" s="1">
        <v>947</v>
      </c>
      <c r="B951" s="1" t="str">
        <f t="shared" si="91"/>
        <v>2017-380</v>
      </c>
      <c r="C951" s="2" t="s">
        <v>809</v>
      </c>
      <c r="D951" s="1" t="s">
        <v>170</v>
      </c>
      <c r="E951" s="3" t="str">
        <f>""</f>
        <v/>
      </c>
      <c r="F951" s="2" t="s">
        <v>27</v>
      </c>
      <c r="G951" s="2" t="str">
        <f t="shared" si="92"/>
        <v>AUTOMEHANIKA D.D., KOVINSKA 4, 10000 ZAGREB, OIB: 5223317126</v>
      </c>
      <c r="H951" s="1" t="str">
        <f t="shared" si="93"/>
        <v>AUTOMEHANIKA D.D., OIB: 5223317126</v>
      </c>
      <c r="I951" s="1" t="s">
        <v>30</v>
      </c>
      <c r="J951" s="1" t="s">
        <v>303</v>
      </c>
      <c r="K951" s="6" t="str">
        <f>"2.054,21"</f>
        <v>2.054,21</v>
      </c>
      <c r="L951" s="6" t="str">
        <f>"513,55"</f>
        <v>513,55</v>
      </c>
      <c r="M951" s="6" t="str">
        <f>"2.567,76"</f>
        <v>2.567,76</v>
      </c>
      <c r="N951" s="5">
        <v>43570</v>
      </c>
      <c r="O951" s="7"/>
      <c r="P951" s="6" t="str">
        <f>"2.567,76"</f>
        <v>2.567,76</v>
      </c>
      <c r="Q951" s="7"/>
      <c r="R951" s="1"/>
      <c r="S951" s="1" t="str">
        <f>"21-19/NOS-108-A/17"</f>
        <v>21-19/NOS-108-A/17</v>
      </c>
      <c r="T951" s="2" t="s">
        <v>33</v>
      </c>
    </row>
    <row r="952" spans="1:20" ht="38.25" x14ac:dyDescent="0.25">
      <c r="A952" s="1">
        <v>948</v>
      </c>
      <c r="B952" s="1" t="str">
        <f t="shared" si="91"/>
        <v>2017-380</v>
      </c>
      <c r="C952" s="2" t="s">
        <v>809</v>
      </c>
      <c r="D952" s="1" t="s">
        <v>170</v>
      </c>
      <c r="E952" s="3" t="str">
        <f>""</f>
        <v/>
      </c>
      <c r="F952" s="2" t="s">
        <v>27</v>
      </c>
      <c r="G952" s="2" t="str">
        <f t="shared" si="92"/>
        <v>AUTOMEHANIKA D.D., KOVINSKA 4, 10000 ZAGREB, OIB: 5223317126</v>
      </c>
      <c r="H952" s="1" t="str">
        <f t="shared" si="93"/>
        <v>AUTOMEHANIKA D.D., OIB: 5223317126</v>
      </c>
      <c r="I952" s="1" t="s">
        <v>344</v>
      </c>
      <c r="J952" s="1" t="s">
        <v>303</v>
      </c>
      <c r="K952" s="6" t="str">
        <f>"9.162,12"</f>
        <v>9.162,12</v>
      </c>
      <c r="L952" s="6" t="str">
        <f>"2.290,53"</f>
        <v>2.290,53</v>
      </c>
      <c r="M952" s="6" t="str">
        <f>"11.452,65"</f>
        <v>11.452,65</v>
      </c>
      <c r="N952" s="5">
        <v>43613</v>
      </c>
      <c r="O952" s="7"/>
      <c r="P952" s="6" t="str">
        <f>"11.452,65"</f>
        <v>11.452,65</v>
      </c>
      <c r="Q952" s="7"/>
      <c r="R952" s="1"/>
      <c r="S952" s="1" t="str">
        <f>"22-19/NOS-108-A/17"</f>
        <v>22-19/NOS-108-A/17</v>
      </c>
      <c r="T952" s="2" t="s">
        <v>33</v>
      </c>
    </row>
    <row r="953" spans="1:20" ht="38.25" x14ac:dyDescent="0.25">
      <c r="A953" s="1">
        <v>949</v>
      </c>
      <c r="B953" s="1" t="str">
        <f t="shared" si="91"/>
        <v>2017-380</v>
      </c>
      <c r="C953" s="2" t="s">
        <v>809</v>
      </c>
      <c r="D953" s="1" t="s">
        <v>170</v>
      </c>
      <c r="E953" s="3" t="str">
        <f>""</f>
        <v/>
      </c>
      <c r="F953" s="2" t="s">
        <v>27</v>
      </c>
      <c r="G953" s="2" t="str">
        <f t="shared" si="92"/>
        <v>AUTOMEHANIKA D.D., KOVINSKA 4, 10000 ZAGREB, OIB: 5223317126</v>
      </c>
      <c r="H953" s="1" t="str">
        <f t="shared" si="93"/>
        <v>AUTOMEHANIKA D.D., OIB: 5223317126</v>
      </c>
      <c r="I953" s="1" t="s">
        <v>266</v>
      </c>
      <c r="J953" s="1" t="s">
        <v>303</v>
      </c>
      <c r="K953" s="6" t="str">
        <f>"3.130,92"</f>
        <v>3.130,92</v>
      </c>
      <c r="L953" s="6" t="str">
        <f>"782,73"</f>
        <v>782,73</v>
      </c>
      <c r="M953" s="6" t="str">
        <f>"3.913,65"</f>
        <v>3.913,65</v>
      </c>
      <c r="N953" s="5">
        <v>43614</v>
      </c>
      <c r="O953" s="7"/>
      <c r="P953" s="6" t="str">
        <f>"3.913,65"</f>
        <v>3.913,65</v>
      </c>
      <c r="Q953" s="7"/>
      <c r="R953" s="1"/>
      <c r="S953" s="1" t="str">
        <f>"23-19/NOS-108-A/17"</f>
        <v>23-19/NOS-108-A/17</v>
      </c>
      <c r="T953" s="2" t="s">
        <v>33</v>
      </c>
    </row>
    <row r="954" spans="1:20" ht="38.25" x14ac:dyDescent="0.25">
      <c r="A954" s="1">
        <v>950</v>
      </c>
      <c r="B954" s="1" t="str">
        <f t="shared" si="91"/>
        <v>2017-380</v>
      </c>
      <c r="C954" s="2" t="s">
        <v>809</v>
      </c>
      <c r="D954" s="1" t="s">
        <v>170</v>
      </c>
      <c r="E954" s="3" t="str">
        <f>""</f>
        <v/>
      </c>
      <c r="F954" s="2" t="s">
        <v>27</v>
      </c>
      <c r="G954" s="2" t="str">
        <f t="shared" si="92"/>
        <v>AUTOMEHANIKA D.D., KOVINSKA 4, 10000 ZAGREB, OIB: 5223317126</v>
      </c>
      <c r="H954" s="1" t="str">
        <f t="shared" si="93"/>
        <v>AUTOMEHANIKA D.D., OIB: 5223317126</v>
      </c>
      <c r="I954" s="1" t="s">
        <v>266</v>
      </c>
      <c r="J954" s="1" t="s">
        <v>303</v>
      </c>
      <c r="K954" s="6" t="str">
        <f>"3.130,92"</f>
        <v>3.130,92</v>
      </c>
      <c r="L954" s="6" t="str">
        <f>"782,73"</f>
        <v>782,73</v>
      </c>
      <c r="M954" s="6" t="str">
        <f>"3.913,65"</f>
        <v>3.913,65</v>
      </c>
      <c r="N954" s="5">
        <v>43614</v>
      </c>
      <c r="O954" s="7"/>
      <c r="P954" s="6" t="str">
        <f>"3.913,65"</f>
        <v>3.913,65</v>
      </c>
      <c r="Q954" s="7"/>
      <c r="R954" s="1"/>
      <c r="S954" s="1" t="str">
        <f>"24-19/NOS-108-A/17"</f>
        <v>24-19/NOS-108-A/17</v>
      </c>
      <c r="T954" s="2" t="s">
        <v>33</v>
      </c>
    </row>
    <row r="955" spans="1:20" ht="38.25" x14ac:dyDescent="0.25">
      <c r="A955" s="1">
        <v>951</v>
      </c>
      <c r="B955" s="1" t="str">
        <f t="shared" si="91"/>
        <v>2017-380</v>
      </c>
      <c r="C955" s="2" t="s">
        <v>809</v>
      </c>
      <c r="D955" s="1" t="s">
        <v>170</v>
      </c>
      <c r="E955" s="3" t="str">
        <f>""</f>
        <v/>
      </c>
      <c r="F955" s="2" t="s">
        <v>27</v>
      </c>
      <c r="G955" s="2" t="str">
        <f t="shared" si="92"/>
        <v>AUTOMEHANIKA D.D., KOVINSKA 4, 10000 ZAGREB, OIB: 5223317126</v>
      </c>
      <c r="H955" s="1" t="str">
        <f t="shared" si="93"/>
        <v>AUTOMEHANIKA D.D., OIB: 5223317126</v>
      </c>
      <c r="I955" s="1" t="s">
        <v>318</v>
      </c>
      <c r="J955" s="1" t="s">
        <v>303</v>
      </c>
      <c r="K955" s="6" t="str">
        <f>"982,72"</f>
        <v>982,72</v>
      </c>
      <c r="L955" s="6" t="str">
        <f>"245,68"</f>
        <v>245,68</v>
      </c>
      <c r="M955" s="6" t="str">
        <f>"1.228,40"</f>
        <v>1.228,40</v>
      </c>
      <c r="N955" s="5">
        <v>43591</v>
      </c>
      <c r="O955" s="7"/>
      <c r="P955" s="6" t="str">
        <f>"1.228,40"</f>
        <v>1.228,40</v>
      </c>
      <c r="Q955" s="7"/>
      <c r="R955" s="1"/>
      <c r="S955" s="1" t="str">
        <f>"25-19/NOS-108-A/17"</f>
        <v>25-19/NOS-108-A/17</v>
      </c>
      <c r="T955" s="2" t="s">
        <v>29</v>
      </c>
    </row>
    <row r="956" spans="1:20" ht="38.25" x14ac:dyDescent="0.25">
      <c r="A956" s="1">
        <v>952</v>
      </c>
      <c r="B956" s="1" t="str">
        <f t="shared" si="91"/>
        <v>2017-380</v>
      </c>
      <c r="C956" s="2" t="s">
        <v>809</v>
      </c>
      <c r="D956" s="1" t="s">
        <v>170</v>
      </c>
      <c r="E956" s="3" t="str">
        <f>""</f>
        <v/>
      </c>
      <c r="F956" s="2" t="s">
        <v>27</v>
      </c>
      <c r="G956" s="2" t="str">
        <f t="shared" si="92"/>
        <v>AUTOMEHANIKA D.D., KOVINSKA 4, 10000 ZAGREB, OIB: 5223317126</v>
      </c>
      <c r="H956" s="1" t="str">
        <f t="shared" si="93"/>
        <v>AUTOMEHANIKA D.D., OIB: 5223317126</v>
      </c>
      <c r="I956" s="1" t="s">
        <v>318</v>
      </c>
      <c r="J956" s="1" t="s">
        <v>303</v>
      </c>
      <c r="K956" s="6" t="str">
        <f>"1.846,15"</f>
        <v>1.846,15</v>
      </c>
      <c r="L956" s="6" t="str">
        <f>"461,54"</f>
        <v>461,54</v>
      </c>
      <c r="M956" s="6" t="str">
        <f>"2.307,68"</f>
        <v>2.307,68</v>
      </c>
      <c r="N956" s="5">
        <v>43646</v>
      </c>
      <c r="O956" s="7"/>
      <c r="P956" s="6" t="str">
        <f>"2.307,69"</f>
        <v>2.307,69</v>
      </c>
      <c r="Q956" s="7"/>
      <c r="R956" s="1"/>
      <c r="S956" s="1" t="str">
        <f>"26-19/NOS-108-A/17"</f>
        <v>26-19/NOS-108-A/17</v>
      </c>
      <c r="T956" s="2" t="s">
        <v>33</v>
      </c>
    </row>
    <row r="957" spans="1:20" ht="38.25" x14ac:dyDescent="0.25">
      <c r="A957" s="1">
        <v>953</v>
      </c>
      <c r="B957" s="1" t="str">
        <f t="shared" si="91"/>
        <v>2017-380</v>
      </c>
      <c r="C957" s="2" t="s">
        <v>809</v>
      </c>
      <c r="D957" s="1" t="s">
        <v>170</v>
      </c>
      <c r="E957" s="3" t="str">
        <f>""</f>
        <v/>
      </c>
      <c r="F957" s="2" t="s">
        <v>27</v>
      </c>
      <c r="G957" s="2" t="str">
        <f t="shared" si="92"/>
        <v>AUTOMEHANIKA D.D., KOVINSKA 4, 10000 ZAGREB, OIB: 5223317126</v>
      </c>
      <c r="H957" s="1" t="str">
        <f t="shared" si="93"/>
        <v>AUTOMEHANIKA D.D., OIB: 5223317126</v>
      </c>
      <c r="I957" s="1" t="s">
        <v>475</v>
      </c>
      <c r="J957" s="1" t="s">
        <v>303</v>
      </c>
      <c r="K957" s="6" t="str">
        <f>"7.948,41"</f>
        <v>7.948,41</v>
      </c>
      <c r="L957" s="6" t="str">
        <f>"1.987,10"</f>
        <v>1.987,10</v>
      </c>
      <c r="M957" s="6" t="str">
        <f>"9.935,51"</f>
        <v>9.935,51</v>
      </c>
      <c r="N957" s="5">
        <v>43621</v>
      </c>
      <c r="O957" s="7"/>
      <c r="P957" s="6" t="str">
        <f>"9.935,51"</f>
        <v>9.935,51</v>
      </c>
      <c r="Q957" s="7"/>
      <c r="R957" s="1"/>
      <c r="S957" s="1" t="str">
        <f>"27-19/NOS-108-A/17"</f>
        <v>27-19/NOS-108-A/17</v>
      </c>
      <c r="T957" s="2" t="s">
        <v>33</v>
      </c>
    </row>
    <row r="958" spans="1:20" ht="38.25" x14ac:dyDescent="0.25">
      <c r="A958" s="1">
        <v>954</v>
      </c>
      <c r="B958" s="1" t="str">
        <f t="shared" si="91"/>
        <v>2017-380</v>
      </c>
      <c r="C958" s="2" t="s">
        <v>809</v>
      </c>
      <c r="D958" s="1" t="s">
        <v>170</v>
      </c>
      <c r="E958" s="3" t="str">
        <f>""</f>
        <v/>
      </c>
      <c r="F958" s="2" t="s">
        <v>27</v>
      </c>
      <c r="G958" s="2" t="str">
        <f t="shared" si="92"/>
        <v>AUTOMEHANIKA D.D., KOVINSKA 4, 10000 ZAGREB, OIB: 5223317126</v>
      </c>
      <c r="H958" s="1" t="str">
        <f t="shared" si="93"/>
        <v>AUTOMEHANIKA D.D., OIB: 5223317126</v>
      </c>
      <c r="I958" s="1" t="s">
        <v>318</v>
      </c>
      <c r="J958" s="1" t="s">
        <v>303</v>
      </c>
      <c r="K958" s="6" t="str">
        <f>"2.841,27"</f>
        <v>2.841,27</v>
      </c>
      <c r="L958" s="6" t="str">
        <f>"710,32"</f>
        <v>710,32</v>
      </c>
      <c r="M958" s="6" t="str">
        <f>"3.551,59"</f>
        <v>3.551,59</v>
      </c>
      <c r="N958" s="5">
        <v>43578</v>
      </c>
      <c r="O958" s="7"/>
      <c r="P958" s="6" t="str">
        <f>"3.551,59"</f>
        <v>3.551,59</v>
      </c>
      <c r="Q958" s="7"/>
      <c r="R958" s="1"/>
      <c r="S958" s="1" t="str">
        <f>"28-19/NOS-108-A/17"</f>
        <v>28-19/NOS-108-A/17</v>
      </c>
      <c r="T958" s="2" t="s">
        <v>33</v>
      </c>
    </row>
    <row r="959" spans="1:20" ht="38.25" x14ac:dyDescent="0.25">
      <c r="A959" s="1">
        <v>955</v>
      </c>
      <c r="B959" s="1" t="str">
        <f t="shared" si="91"/>
        <v>2017-380</v>
      </c>
      <c r="C959" s="2" t="s">
        <v>809</v>
      </c>
      <c r="D959" s="1" t="s">
        <v>170</v>
      </c>
      <c r="E959" s="3" t="str">
        <f>""</f>
        <v/>
      </c>
      <c r="F959" s="2" t="s">
        <v>27</v>
      </c>
      <c r="G959" s="2" t="str">
        <f t="shared" si="92"/>
        <v>AUTOMEHANIKA D.D., KOVINSKA 4, 10000 ZAGREB, OIB: 5223317126</v>
      </c>
      <c r="H959" s="1" t="str">
        <f t="shared" si="93"/>
        <v>AUTOMEHANIKA D.D., OIB: 5223317126</v>
      </c>
      <c r="I959" s="1" t="s">
        <v>446</v>
      </c>
      <c r="J959" s="1" t="s">
        <v>303</v>
      </c>
      <c r="K959" s="6" t="str">
        <f>"186,92"</f>
        <v>186,92</v>
      </c>
      <c r="L959" s="6" t="str">
        <f>"46,73"</f>
        <v>46,73</v>
      </c>
      <c r="M959" s="6" t="str">
        <f>"233,65"</f>
        <v>233,65</v>
      </c>
      <c r="N959" s="5">
        <v>43627</v>
      </c>
      <c r="O959" s="7"/>
      <c r="P959" s="6" t="str">
        <f>"233,65"</f>
        <v>233,65</v>
      </c>
      <c r="Q959" s="7"/>
      <c r="R959" s="1"/>
      <c r="S959" s="1" t="str">
        <f>"29-19/NOS-108-A/17"</f>
        <v>29-19/NOS-108-A/17</v>
      </c>
      <c r="T959" s="2" t="s">
        <v>29</v>
      </c>
    </row>
    <row r="960" spans="1:20" ht="38.25" x14ac:dyDescent="0.25">
      <c r="A960" s="1">
        <v>956</v>
      </c>
      <c r="B960" s="1" t="str">
        <f t="shared" si="91"/>
        <v>2017-380</v>
      </c>
      <c r="C960" s="2" t="s">
        <v>809</v>
      </c>
      <c r="D960" s="1" t="s">
        <v>170</v>
      </c>
      <c r="E960" s="3" t="str">
        <f>""</f>
        <v/>
      </c>
      <c r="F960" s="2" t="s">
        <v>27</v>
      </c>
      <c r="G960" s="2" t="str">
        <f t="shared" si="92"/>
        <v>AUTOMEHANIKA D.D., KOVINSKA 4, 10000 ZAGREB, OIB: 5223317126</v>
      </c>
      <c r="H960" s="1" t="str">
        <f t="shared" si="93"/>
        <v>AUTOMEHANIKA D.D., OIB: 5223317126</v>
      </c>
      <c r="I960" s="1" t="s">
        <v>446</v>
      </c>
      <c r="J960" s="1" t="s">
        <v>303</v>
      </c>
      <c r="K960" s="6" t="str">
        <f>"1.264,32"</f>
        <v>1.264,32</v>
      </c>
      <c r="L960" s="6" t="str">
        <f>"316,08"</f>
        <v>316,08</v>
      </c>
      <c r="M960" s="6" t="str">
        <f>"1.580,40"</f>
        <v>1.580,40</v>
      </c>
      <c r="N960" s="5">
        <v>43594</v>
      </c>
      <c r="O960" s="7"/>
      <c r="P960" s="6" t="str">
        <f>"1.580,40"</f>
        <v>1.580,40</v>
      </c>
      <c r="Q960" s="7"/>
      <c r="R960" s="1"/>
      <c r="S960" s="1" t="str">
        <f>"30-19/NOS-108-A/17"</f>
        <v>30-19/NOS-108-A/17</v>
      </c>
      <c r="T960" s="2" t="s">
        <v>29</v>
      </c>
    </row>
    <row r="961" spans="1:20" ht="38.25" x14ac:dyDescent="0.25">
      <c r="A961" s="1">
        <v>957</v>
      </c>
      <c r="B961" s="1" t="str">
        <f t="shared" si="91"/>
        <v>2017-380</v>
      </c>
      <c r="C961" s="2" t="s">
        <v>809</v>
      </c>
      <c r="D961" s="1" t="s">
        <v>170</v>
      </c>
      <c r="E961" s="3" t="str">
        <f>""</f>
        <v/>
      </c>
      <c r="F961" s="2" t="s">
        <v>27</v>
      </c>
      <c r="G961" s="2" t="str">
        <f t="shared" si="92"/>
        <v>AUTOMEHANIKA D.D., KOVINSKA 4, 10000 ZAGREB, OIB: 5223317126</v>
      </c>
      <c r="H961" s="1" t="str">
        <f t="shared" si="93"/>
        <v>AUTOMEHANIKA D.D., OIB: 5223317126</v>
      </c>
      <c r="I961" s="1" t="s">
        <v>446</v>
      </c>
      <c r="J961" s="1" t="s">
        <v>303</v>
      </c>
      <c r="K961" s="6" t="str">
        <f>"5.820,38"</f>
        <v>5.820,38</v>
      </c>
      <c r="L961" s="6" t="str">
        <f>"1.455,09"</f>
        <v>1.455,09</v>
      </c>
      <c r="M961" s="6" t="str">
        <f>"7.275,47"</f>
        <v>7.275,47</v>
      </c>
      <c r="N961" s="5">
        <v>43628</v>
      </c>
      <c r="O961" s="7"/>
      <c r="P961" s="6" t="str">
        <f>"7.275,48"</f>
        <v>7.275,48</v>
      </c>
      <c r="Q961" s="7"/>
      <c r="R961" s="1"/>
      <c r="S961" s="1" t="str">
        <f>"31-19/NOS-108-A/17"</f>
        <v>31-19/NOS-108-A/17</v>
      </c>
      <c r="T961" s="2" t="s">
        <v>29</v>
      </c>
    </row>
    <row r="962" spans="1:20" ht="38.25" x14ac:dyDescent="0.25">
      <c r="A962" s="1">
        <v>958</v>
      </c>
      <c r="B962" s="1" t="str">
        <f t="shared" si="91"/>
        <v>2017-380</v>
      </c>
      <c r="C962" s="2" t="s">
        <v>809</v>
      </c>
      <c r="D962" s="1" t="s">
        <v>170</v>
      </c>
      <c r="E962" s="3" t="str">
        <f>""</f>
        <v/>
      </c>
      <c r="F962" s="2" t="s">
        <v>27</v>
      </c>
      <c r="G962" s="2" t="str">
        <f t="shared" si="92"/>
        <v>AUTOMEHANIKA D.D., KOVINSKA 4, 10000 ZAGREB, OIB: 5223317126</v>
      </c>
      <c r="H962" s="1" t="str">
        <f t="shared" si="93"/>
        <v>AUTOMEHANIKA D.D., OIB: 5223317126</v>
      </c>
      <c r="I962" s="1" t="s">
        <v>431</v>
      </c>
      <c r="J962" s="1" t="s">
        <v>303</v>
      </c>
      <c r="K962" s="6" t="str">
        <f>"3.497,50"</f>
        <v>3.497,50</v>
      </c>
      <c r="L962" s="6" t="str">
        <f>"874,38"</f>
        <v>874,38</v>
      </c>
      <c r="M962" s="6" t="str">
        <f>"4.371,88"</f>
        <v>4.371,88</v>
      </c>
      <c r="N962" s="5">
        <v>43585</v>
      </c>
      <c r="O962" s="7"/>
      <c r="P962" s="6" t="str">
        <f>"4.371,88"</f>
        <v>4.371,88</v>
      </c>
      <c r="Q962" s="7"/>
      <c r="R962" s="1"/>
      <c r="S962" s="1" t="str">
        <f>"32-19/NOS-108-A/17"</f>
        <v>32-19/NOS-108-A/17</v>
      </c>
      <c r="T962" s="2" t="s">
        <v>33</v>
      </c>
    </row>
    <row r="963" spans="1:20" ht="38.25" x14ac:dyDescent="0.25">
      <c r="A963" s="1">
        <v>959</v>
      </c>
      <c r="B963" s="1" t="str">
        <f t="shared" ref="B963:B994" si="94">"2017-380"</f>
        <v>2017-380</v>
      </c>
      <c r="C963" s="2" t="s">
        <v>809</v>
      </c>
      <c r="D963" s="1" t="s">
        <v>170</v>
      </c>
      <c r="E963" s="3" t="str">
        <f>""</f>
        <v/>
      </c>
      <c r="F963" s="2" t="s">
        <v>27</v>
      </c>
      <c r="G963" s="2" t="str">
        <f t="shared" ref="G963:G994" si="95">CONCATENATE("AUTOMEHANIKA D.D.,"," KOVINSKA 4,"," 10000 ZAGREB,"," OIB: 5223317126")</f>
        <v>AUTOMEHANIKA D.D., KOVINSKA 4, 10000 ZAGREB, OIB: 5223317126</v>
      </c>
      <c r="H963" s="1" t="str">
        <f t="shared" ref="H963:H994" si="96">CONCATENATE("AUTOMEHANIKA D.D.,"," OIB: 5223317126")</f>
        <v>AUTOMEHANIKA D.D., OIB: 5223317126</v>
      </c>
      <c r="I963" s="1" t="s">
        <v>311</v>
      </c>
      <c r="J963" s="1" t="s">
        <v>303</v>
      </c>
      <c r="K963" s="6" t="str">
        <f>"3.102,04"</f>
        <v>3.102,04</v>
      </c>
      <c r="L963" s="6" t="str">
        <f>"775,51"</f>
        <v>775,51</v>
      </c>
      <c r="M963" s="6" t="str">
        <f>"3.877,55"</f>
        <v>3.877,55</v>
      </c>
      <c r="N963" s="5">
        <v>43621</v>
      </c>
      <c r="O963" s="7"/>
      <c r="P963" s="6" t="str">
        <f>"3.877,55"</f>
        <v>3.877,55</v>
      </c>
      <c r="Q963" s="7"/>
      <c r="R963" s="1"/>
      <c r="S963" s="1" t="str">
        <f>"33-19/NOS-108-A/17"</f>
        <v>33-19/NOS-108-A/17</v>
      </c>
      <c r="T963" s="2" t="s">
        <v>33</v>
      </c>
    </row>
    <row r="964" spans="1:20" ht="38.25" x14ac:dyDescent="0.25">
      <c r="A964" s="1">
        <v>960</v>
      </c>
      <c r="B964" s="1" t="str">
        <f t="shared" si="94"/>
        <v>2017-380</v>
      </c>
      <c r="C964" s="2" t="s">
        <v>809</v>
      </c>
      <c r="D964" s="1" t="s">
        <v>170</v>
      </c>
      <c r="E964" s="3" t="str">
        <f>""</f>
        <v/>
      </c>
      <c r="F964" s="2" t="s">
        <v>27</v>
      </c>
      <c r="G964" s="2" t="str">
        <f t="shared" si="95"/>
        <v>AUTOMEHANIKA D.D., KOVINSKA 4, 10000 ZAGREB, OIB: 5223317126</v>
      </c>
      <c r="H964" s="1" t="str">
        <f t="shared" si="96"/>
        <v>AUTOMEHANIKA D.D., OIB: 5223317126</v>
      </c>
      <c r="I964" s="1" t="s">
        <v>321</v>
      </c>
      <c r="J964" s="1" t="s">
        <v>303</v>
      </c>
      <c r="K964" s="6" t="str">
        <f>"1.101,57"</f>
        <v>1.101,57</v>
      </c>
      <c r="L964" s="6" t="str">
        <f>"275,39"</f>
        <v>275,39</v>
      </c>
      <c r="M964" s="6" t="str">
        <f>"1.376,95"</f>
        <v>1.376,95</v>
      </c>
      <c r="N964" s="5">
        <v>43612</v>
      </c>
      <c r="O964" s="7"/>
      <c r="P964" s="6" t="str">
        <f>"1.376,95"</f>
        <v>1.376,95</v>
      </c>
      <c r="Q964" s="7"/>
      <c r="R964" s="1"/>
      <c r="S964" s="1" t="str">
        <f>"34-19/NOS-108-A/17"</f>
        <v>34-19/NOS-108-A/17</v>
      </c>
      <c r="T964" s="2" t="s">
        <v>33</v>
      </c>
    </row>
    <row r="965" spans="1:20" ht="38.25" x14ac:dyDescent="0.25">
      <c r="A965" s="1">
        <v>961</v>
      </c>
      <c r="B965" s="1" t="str">
        <f t="shared" si="94"/>
        <v>2017-380</v>
      </c>
      <c r="C965" s="2" t="s">
        <v>809</v>
      </c>
      <c r="D965" s="1" t="s">
        <v>170</v>
      </c>
      <c r="E965" s="3" t="str">
        <f>""</f>
        <v/>
      </c>
      <c r="F965" s="2" t="s">
        <v>27</v>
      </c>
      <c r="G965" s="2" t="str">
        <f t="shared" si="95"/>
        <v>AUTOMEHANIKA D.D., KOVINSKA 4, 10000 ZAGREB, OIB: 5223317126</v>
      </c>
      <c r="H965" s="1" t="str">
        <f t="shared" si="96"/>
        <v>AUTOMEHANIKA D.D., OIB: 5223317126</v>
      </c>
      <c r="I965" s="1" t="s">
        <v>637</v>
      </c>
      <c r="J965" s="1" t="s">
        <v>303</v>
      </c>
      <c r="K965" s="6" t="str">
        <f>"574,99"</f>
        <v>574,99</v>
      </c>
      <c r="L965" s="6" t="str">
        <f>"143,75"</f>
        <v>143,75</v>
      </c>
      <c r="M965" s="6" t="str">
        <f>"718,74"</f>
        <v>718,74</v>
      </c>
      <c r="N965" s="5">
        <v>43627</v>
      </c>
      <c r="O965" s="7"/>
      <c r="P965" s="6" t="str">
        <f>"718,74"</f>
        <v>718,74</v>
      </c>
      <c r="Q965" s="7"/>
      <c r="R965" s="1"/>
      <c r="S965" s="1" t="str">
        <f>"35-19/NOS-108-A/17"</f>
        <v>35-19/NOS-108-A/17</v>
      </c>
      <c r="T965" s="2" t="s">
        <v>29</v>
      </c>
    </row>
    <row r="966" spans="1:20" ht="38.25" x14ac:dyDescent="0.25">
      <c r="A966" s="1">
        <v>962</v>
      </c>
      <c r="B966" s="1" t="str">
        <f t="shared" si="94"/>
        <v>2017-380</v>
      </c>
      <c r="C966" s="2" t="s">
        <v>809</v>
      </c>
      <c r="D966" s="1" t="s">
        <v>170</v>
      </c>
      <c r="E966" s="3" t="str">
        <f>""</f>
        <v/>
      </c>
      <c r="F966" s="2" t="s">
        <v>27</v>
      </c>
      <c r="G966" s="2" t="str">
        <f t="shared" si="95"/>
        <v>AUTOMEHANIKA D.D., KOVINSKA 4, 10000 ZAGREB, OIB: 5223317126</v>
      </c>
      <c r="H966" s="1" t="str">
        <f t="shared" si="96"/>
        <v>AUTOMEHANIKA D.D., OIB: 5223317126</v>
      </c>
      <c r="I966" s="1" t="s">
        <v>551</v>
      </c>
      <c r="J966" s="1" t="s">
        <v>303</v>
      </c>
      <c r="K966" s="6" t="str">
        <f>"546,08"</f>
        <v>546,08</v>
      </c>
      <c r="L966" s="6" t="str">
        <f>"136,52"</f>
        <v>136,52</v>
      </c>
      <c r="M966" s="6" t="str">
        <f>"682,60"</f>
        <v>682,60</v>
      </c>
      <c r="N966" s="5">
        <v>43646</v>
      </c>
      <c r="O966" s="7"/>
      <c r="P966" s="6" t="str">
        <f>"682,60"</f>
        <v>682,60</v>
      </c>
      <c r="Q966" s="7"/>
      <c r="R966" s="1"/>
      <c r="S966" s="1" t="str">
        <f>"36-19/NOS-108-A/17"</f>
        <v>36-19/NOS-108-A/17</v>
      </c>
      <c r="T966" s="2" t="s">
        <v>33</v>
      </c>
    </row>
    <row r="967" spans="1:20" ht="38.25" x14ac:dyDescent="0.25">
      <c r="A967" s="1">
        <v>963</v>
      </c>
      <c r="B967" s="1" t="str">
        <f t="shared" si="94"/>
        <v>2017-380</v>
      </c>
      <c r="C967" s="2" t="s">
        <v>809</v>
      </c>
      <c r="D967" s="1" t="s">
        <v>170</v>
      </c>
      <c r="E967" s="3" t="str">
        <f>""</f>
        <v/>
      </c>
      <c r="F967" s="2" t="s">
        <v>27</v>
      </c>
      <c r="G967" s="2" t="str">
        <f t="shared" si="95"/>
        <v>AUTOMEHANIKA D.D., KOVINSKA 4, 10000 ZAGREB, OIB: 5223317126</v>
      </c>
      <c r="H967" s="1" t="str">
        <f t="shared" si="96"/>
        <v>AUTOMEHANIKA D.D., OIB: 5223317126</v>
      </c>
      <c r="I967" s="1" t="s">
        <v>590</v>
      </c>
      <c r="J967" s="1" t="s">
        <v>303</v>
      </c>
      <c r="K967" s="6" t="str">
        <f>"6.507,28"</f>
        <v>6.507,28</v>
      </c>
      <c r="L967" s="6" t="str">
        <f>"1.626,82"</f>
        <v>1.626,82</v>
      </c>
      <c r="M967" s="6" t="str">
        <f>"8.134,10"</f>
        <v>8.134,10</v>
      </c>
      <c r="N967" s="5">
        <v>43646</v>
      </c>
      <c r="O967" s="7"/>
      <c r="P967" s="6" t="str">
        <f>"8.134,10"</f>
        <v>8.134,10</v>
      </c>
      <c r="Q967" s="7"/>
      <c r="R967" s="1"/>
      <c r="S967" s="1" t="str">
        <f>"37-19/NOS-108-A/17"</f>
        <v>37-19/NOS-108-A/17</v>
      </c>
      <c r="T967" s="2" t="s">
        <v>29</v>
      </c>
    </row>
    <row r="968" spans="1:20" ht="38.25" x14ac:dyDescent="0.25">
      <c r="A968" s="1">
        <v>964</v>
      </c>
      <c r="B968" s="1" t="str">
        <f t="shared" si="94"/>
        <v>2017-380</v>
      </c>
      <c r="C968" s="2" t="s">
        <v>809</v>
      </c>
      <c r="D968" s="1" t="s">
        <v>170</v>
      </c>
      <c r="E968" s="3" t="str">
        <f>""</f>
        <v/>
      </c>
      <c r="F968" s="2" t="s">
        <v>27</v>
      </c>
      <c r="G968" s="2" t="str">
        <f t="shared" si="95"/>
        <v>AUTOMEHANIKA D.D., KOVINSKA 4, 10000 ZAGREB, OIB: 5223317126</v>
      </c>
      <c r="H968" s="1" t="str">
        <f t="shared" si="96"/>
        <v>AUTOMEHANIKA D.D., OIB: 5223317126</v>
      </c>
      <c r="I968" s="1" t="s">
        <v>641</v>
      </c>
      <c r="J968" s="1" t="s">
        <v>303</v>
      </c>
      <c r="K968" s="6" t="str">
        <f>"4.366,95"</f>
        <v>4.366,95</v>
      </c>
      <c r="L968" s="6" t="str">
        <f>"1.091,74"</f>
        <v>1.091,74</v>
      </c>
      <c r="M968" s="6" t="str">
        <f>"5.458,68"</f>
        <v>5.458,68</v>
      </c>
      <c r="N968" s="5">
        <v>43627</v>
      </c>
      <c r="O968" s="7"/>
      <c r="P968" s="6" t="str">
        <f>"5.458,69"</f>
        <v>5.458,69</v>
      </c>
      <c r="Q968" s="7"/>
      <c r="R968" s="1"/>
      <c r="S968" s="1" t="str">
        <f>"38-19/NOS-108-A/17"</f>
        <v>38-19/NOS-108-A/17</v>
      </c>
      <c r="T968" s="2" t="s">
        <v>29</v>
      </c>
    </row>
    <row r="969" spans="1:20" ht="38.25" x14ac:dyDescent="0.25">
      <c r="A969" s="1">
        <v>965</v>
      </c>
      <c r="B969" s="1" t="str">
        <f t="shared" si="94"/>
        <v>2017-380</v>
      </c>
      <c r="C969" s="2" t="s">
        <v>809</v>
      </c>
      <c r="D969" s="1" t="s">
        <v>170</v>
      </c>
      <c r="E969" s="3" t="str">
        <f>""</f>
        <v/>
      </c>
      <c r="F969" s="2" t="s">
        <v>27</v>
      </c>
      <c r="G969" s="2" t="str">
        <f t="shared" si="95"/>
        <v>AUTOMEHANIKA D.D., KOVINSKA 4, 10000 ZAGREB, OIB: 5223317126</v>
      </c>
      <c r="H969" s="1" t="str">
        <f t="shared" si="96"/>
        <v>AUTOMEHANIKA D.D., OIB: 5223317126</v>
      </c>
      <c r="I969" s="1" t="s">
        <v>641</v>
      </c>
      <c r="J969" s="1" t="s">
        <v>303</v>
      </c>
      <c r="K969" s="6" t="str">
        <f>"606,39"</f>
        <v>606,39</v>
      </c>
      <c r="L969" s="6" t="str">
        <f>"151,60"</f>
        <v>151,60</v>
      </c>
      <c r="M969" s="6" t="str">
        <f>"757,99"</f>
        <v>757,99</v>
      </c>
      <c r="N969" s="5">
        <v>43628</v>
      </c>
      <c r="O969" s="7"/>
      <c r="P969" s="6" t="str">
        <f>"757,99"</f>
        <v>757,99</v>
      </c>
      <c r="Q969" s="7"/>
      <c r="R969" s="1"/>
      <c r="S969" s="1" t="str">
        <f>"39-19/NOS-108-A/17"</f>
        <v>39-19/NOS-108-A/17</v>
      </c>
      <c r="T969" s="2" t="s">
        <v>29</v>
      </c>
    </row>
    <row r="970" spans="1:20" ht="38.25" x14ac:dyDescent="0.25">
      <c r="A970" s="1">
        <v>966</v>
      </c>
      <c r="B970" s="1" t="str">
        <f t="shared" si="94"/>
        <v>2017-380</v>
      </c>
      <c r="C970" s="2" t="s">
        <v>809</v>
      </c>
      <c r="D970" s="1" t="s">
        <v>170</v>
      </c>
      <c r="E970" s="3" t="str">
        <f>""</f>
        <v/>
      </c>
      <c r="F970" s="2" t="s">
        <v>27</v>
      </c>
      <c r="G970" s="2" t="str">
        <f t="shared" si="95"/>
        <v>AUTOMEHANIKA D.D., KOVINSKA 4, 10000 ZAGREB, OIB: 5223317126</v>
      </c>
      <c r="H970" s="1" t="str">
        <f t="shared" si="96"/>
        <v>AUTOMEHANIKA D.D., OIB: 5223317126</v>
      </c>
      <c r="I970" s="1" t="s">
        <v>334</v>
      </c>
      <c r="J970" s="1" t="s">
        <v>303</v>
      </c>
      <c r="K970" s="6" t="str">
        <f>"378,14"</f>
        <v>378,14</v>
      </c>
      <c r="L970" s="6" t="str">
        <f>"94,54"</f>
        <v>94,54</v>
      </c>
      <c r="M970" s="6" t="str">
        <f>"472,68"</f>
        <v>472,68</v>
      </c>
      <c r="N970" s="5">
        <v>43617</v>
      </c>
      <c r="O970" s="7"/>
      <c r="P970" s="6" t="str">
        <f>"472,68"</f>
        <v>472,68</v>
      </c>
      <c r="Q970" s="7"/>
      <c r="R970" s="1"/>
      <c r="S970" s="1" t="str">
        <f>"40-19/NOS-108-A/17"</f>
        <v>40-19/NOS-108-A/17</v>
      </c>
      <c r="T970" s="2" t="s">
        <v>33</v>
      </c>
    </row>
    <row r="971" spans="1:20" ht="38.25" x14ac:dyDescent="0.25">
      <c r="A971" s="1">
        <v>967</v>
      </c>
      <c r="B971" s="1" t="str">
        <f t="shared" si="94"/>
        <v>2017-380</v>
      </c>
      <c r="C971" s="2" t="s">
        <v>809</v>
      </c>
      <c r="D971" s="1" t="s">
        <v>170</v>
      </c>
      <c r="E971" s="3" t="str">
        <f>""</f>
        <v/>
      </c>
      <c r="F971" s="2" t="s">
        <v>27</v>
      </c>
      <c r="G971" s="2" t="str">
        <f t="shared" si="95"/>
        <v>AUTOMEHANIKA D.D., KOVINSKA 4, 10000 ZAGREB, OIB: 5223317126</v>
      </c>
      <c r="H971" s="1" t="str">
        <f t="shared" si="96"/>
        <v>AUTOMEHANIKA D.D., OIB: 5223317126</v>
      </c>
      <c r="I971" s="1" t="s">
        <v>521</v>
      </c>
      <c r="J971" s="1" t="s">
        <v>303</v>
      </c>
      <c r="K971" s="6" t="str">
        <f>"1.911,95"</f>
        <v>1.911,95</v>
      </c>
      <c r="L971" s="6" t="str">
        <f>"477,99"</f>
        <v>477,99</v>
      </c>
      <c r="M971" s="6" t="str">
        <f>"2.389,94"</f>
        <v>2.389,94</v>
      </c>
      <c r="N971" s="5">
        <v>43615</v>
      </c>
      <c r="O971" s="7"/>
      <c r="P971" s="6" t="str">
        <f>"2.389,94"</f>
        <v>2.389,94</v>
      </c>
      <c r="Q971" s="7"/>
      <c r="R971" s="1"/>
      <c r="S971" s="1" t="str">
        <f>"41-19/NOS-108-A/17"</f>
        <v>41-19/NOS-108-A/17</v>
      </c>
      <c r="T971" s="2" t="s">
        <v>33</v>
      </c>
    </row>
    <row r="972" spans="1:20" ht="38.25" x14ac:dyDescent="0.25">
      <c r="A972" s="1">
        <v>968</v>
      </c>
      <c r="B972" s="1" t="str">
        <f t="shared" si="94"/>
        <v>2017-380</v>
      </c>
      <c r="C972" s="2" t="s">
        <v>809</v>
      </c>
      <c r="D972" s="1" t="s">
        <v>170</v>
      </c>
      <c r="E972" s="3" t="str">
        <f>""</f>
        <v/>
      </c>
      <c r="F972" s="2" t="s">
        <v>27</v>
      </c>
      <c r="G972" s="2" t="str">
        <f t="shared" si="95"/>
        <v>AUTOMEHANIKA D.D., KOVINSKA 4, 10000 ZAGREB, OIB: 5223317126</v>
      </c>
      <c r="H972" s="1" t="str">
        <f t="shared" si="96"/>
        <v>AUTOMEHANIKA D.D., OIB: 5223317126</v>
      </c>
      <c r="I972" s="1" t="s">
        <v>521</v>
      </c>
      <c r="J972" s="1" t="s">
        <v>303</v>
      </c>
      <c r="K972" s="6" t="str">
        <f>"451,34"</f>
        <v>451,34</v>
      </c>
      <c r="L972" s="6" t="str">
        <f>"112,84"</f>
        <v>112,84</v>
      </c>
      <c r="M972" s="6" t="str">
        <f>"564,18"</f>
        <v>564,18</v>
      </c>
      <c r="N972" s="5">
        <v>43606</v>
      </c>
      <c r="O972" s="7"/>
      <c r="P972" s="6" t="str">
        <f>"564,18"</f>
        <v>564,18</v>
      </c>
      <c r="Q972" s="7"/>
      <c r="R972" s="1"/>
      <c r="S972" s="1" t="str">
        <f>"42-19/NOS-108-A/17"</f>
        <v>42-19/NOS-108-A/17</v>
      </c>
      <c r="T972" s="2" t="s">
        <v>33</v>
      </c>
    </row>
    <row r="973" spans="1:20" ht="38.25" x14ac:dyDescent="0.25">
      <c r="A973" s="1">
        <v>969</v>
      </c>
      <c r="B973" s="1" t="str">
        <f t="shared" si="94"/>
        <v>2017-380</v>
      </c>
      <c r="C973" s="2" t="s">
        <v>809</v>
      </c>
      <c r="D973" s="1" t="s">
        <v>170</v>
      </c>
      <c r="E973" s="3" t="str">
        <f>""</f>
        <v/>
      </c>
      <c r="F973" s="2" t="s">
        <v>27</v>
      </c>
      <c r="G973" s="2" t="str">
        <f t="shared" si="95"/>
        <v>AUTOMEHANIKA D.D., KOVINSKA 4, 10000 ZAGREB, OIB: 5223317126</v>
      </c>
      <c r="H973" s="1" t="str">
        <f t="shared" si="96"/>
        <v>AUTOMEHANIKA D.D., OIB: 5223317126</v>
      </c>
      <c r="I973" s="1" t="s">
        <v>475</v>
      </c>
      <c r="J973" s="1" t="s">
        <v>303</v>
      </c>
      <c r="K973" s="6" t="str">
        <f>"664,78"</f>
        <v>664,78</v>
      </c>
      <c r="L973" s="6" t="str">
        <f>"166,20"</f>
        <v>166,20</v>
      </c>
      <c r="M973" s="6" t="str">
        <f>"830,98"</f>
        <v>830,98</v>
      </c>
      <c r="N973" s="5">
        <v>43621</v>
      </c>
      <c r="O973" s="7"/>
      <c r="P973" s="6" t="str">
        <f>"830,98"</f>
        <v>830,98</v>
      </c>
      <c r="Q973" s="7"/>
      <c r="R973" s="1"/>
      <c r="S973" s="1" t="str">
        <f>"43-19/NOS-108-A/17"</f>
        <v>43-19/NOS-108-A/17</v>
      </c>
      <c r="T973" s="2" t="s">
        <v>33</v>
      </c>
    </row>
    <row r="974" spans="1:20" ht="38.25" x14ac:dyDescent="0.25">
      <c r="A974" s="1">
        <v>970</v>
      </c>
      <c r="B974" s="1" t="str">
        <f t="shared" si="94"/>
        <v>2017-380</v>
      </c>
      <c r="C974" s="2" t="s">
        <v>809</v>
      </c>
      <c r="D974" s="1" t="s">
        <v>170</v>
      </c>
      <c r="E974" s="3" t="str">
        <f>""</f>
        <v/>
      </c>
      <c r="F974" s="2" t="s">
        <v>27</v>
      </c>
      <c r="G974" s="2" t="str">
        <f t="shared" si="95"/>
        <v>AUTOMEHANIKA D.D., KOVINSKA 4, 10000 ZAGREB, OIB: 5223317126</v>
      </c>
      <c r="H974" s="1" t="str">
        <f t="shared" si="96"/>
        <v>AUTOMEHANIKA D.D., OIB: 5223317126</v>
      </c>
      <c r="I974" s="1" t="s">
        <v>32</v>
      </c>
      <c r="J974" s="1" t="s">
        <v>303</v>
      </c>
      <c r="K974" s="6" t="str">
        <f>"3.774,03"</f>
        <v>3.774,03</v>
      </c>
      <c r="L974" s="6" t="str">
        <f>"943,51"</f>
        <v>943,51</v>
      </c>
      <c r="M974" s="6" t="str">
        <f>"4.717,54"</f>
        <v>4.717,54</v>
      </c>
      <c r="N974" s="5">
        <v>43646</v>
      </c>
      <c r="O974" s="7"/>
      <c r="P974" s="6" t="str">
        <f>"4.717,54"</f>
        <v>4.717,54</v>
      </c>
      <c r="Q974" s="7"/>
      <c r="R974" s="1"/>
      <c r="S974" s="1" t="str">
        <f>"44-19/NOS-108-A/17"</f>
        <v>44-19/NOS-108-A/17</v>
      </c>
      <c r="T974" s="2" t="s">
        <v>29</v>
      </c>
    </row>
    <row r="975" spans="1:20" ht="38.25" x14ac:dyDescent="0.25">
      <c r="A975" s="1">
        <v>971</v>
      </c>
      <c r="B975" s="1" t="str">
        <f t="shared" si="94"/>
        <v>2017-380</v>
      </c>
      <c r="C975" s="2" t="s">
        <v>809</v>
      </c>
      <c r="D975" s="1" t="s">
        <v>170</v>
      </c>
      <c r="E975" s="3" t="str">
        <f>""</f>
        <v/>
      </c>
      <c r="F975" s="2" t="s">
        <v>27</v>
      </c>
      <c r="G975" s="2" t="str">
        <f t="shared" si="95"/>
        <v>AUTOMEHANIKA D.D., KOVINSKA 4, 10000 ZAGREB, OIB: 5223317126</v>
      </c>
      <c r="H975" s="1" t="str">
        <f t="shared" si="96"/>
        <v>AUTOMEHANIKA D.D., OIB: 5223317126</v>
      </c>
      <c r="I975" s="1" t="s">
        <v>32</v>
      </c>
      <c r="J975" s="1" t="s">
        <v>303</v>
      </c>
      <c r="K975" s="6" t="str">
        <f>"1.122,53"</f>
        <v>1.122,53</v>
      </c>
      <c r="L975" s="6" t="str">
        <f>"0,00"</f>
        <v>0,00</v>
      </c>
      <c r="M975" s="6" t="str">
        <f>"0,00"</f>
        <v>0,00</v>
      </c>
      <c r="N975" s="1" t="s">
        <v>117</v>
      </c>
      <c r="O975" s="7"/>
      <c r="P975" s="6" t="str">
        <f>"0,00"</f>
        <v>0,00</v>
      </c>
      <c r="Q975" s="7"/>
      <c r="R975" s="1"/>
      <c r="S975" s="1" t="str">
        <f>"45-19/NOS-108-A/17"</f>
        <v>45-19/NOS-108-A/17</v>
      </c>
      <c r="T975" s="2" t="s">
        <v>33</v>
      </c>
    </row>
    <row r="976" spans="1:20" ht="38.25" x14ac:dyDescent="0.25">
      <c r="A976" s="1">
        <v>972</v>
      </c>
      <c r="B976" s="1" t="str">
        <f t="shared" si="94"/>
        <v>2017-380</v>
      </c>
      <c r="C976" s="2" t="s">
        <v>809</v>
      </c>
      <c r="D976" s="1" t="s">
        <v>170</v>
      </c>
      <c r="E976" s="3" t="str">
        <f>""</f>
        <v/>
      </c>
      <c r="F976" s="2" t="s">
        <v>27</v>
      </c>
      <c r="G976" s="2" t="str">
        <f t="shared" si="95"/>
        <v>AUTOMEHANIKA D.D., KOVINSKA 4, 10000 ZAGREB, OIB: 5223317126</v>
      </c>
      <c r="H976" s="1" t="str">
        <f t="shared" si="96"/>
        <v>AUTOMEHANIKA D.D., OIB: 5223317126</v>
      </c>
      <c r="I976" s="1" t="s">
        <v>435</v>
      </c>
      <c r="J976" s="1" t="s">
        <v>303</v>
      </c>
      <c r="K976" s="6" t="str">
        <f>"4.984,06"</f>
        <v>4.984,06</v>
      </c>
      <c r="L976" s="6" t="str">
        <f>"1.246,02"</f>
        <v>1.246,02</v>
      </c>
      <c r="M976" s="6" t="str">
        <f>"6.230,08"</f>
        <v>6.230,08</v>
      </c>
      <c r="N976" s="5">
        <v>43646</v>
      </c>
      <c r="O976" s="7"/>
      <c r="P976" s="6" t="str">
        <f>"6.230,08"</f>
        <v>6.230,08</v>
      </c>
      <c r="Q976" s="7"/>
      <c r="R976" s="1"/>
      <c r="S976" s="1" t="str">
        <f>"46-19/NOS-108-A/17"</f>
        <v>46-19/NOS-108-A/17</v>
      </c>
      <c r="T976" s="2" t="s">
        <v>29</v>
      </c>
    </row>
    <row r="977" spans="1:20" ht="38.25" x14ac:dyDescent="0.25">
      <c r="A977" s="1">
        <v>973</v>
      </c>
      <c r="B977" s="1" t="str">
        <f t="shared" si="94"/>
        <v>2017-380</v>
      </c>
      <c r="C977" s="2" t="s">
        <v>809</v>
      </c>
      <c r="D977" s="1" t="s">
        <v>170</v>
      </c>
      <c r="E977" s="3" t="str">
        <f>""</f>
        <v/>
      </c>
      <c r="F977" s="2" t="s">
        <v>27</v>
      </c>
      <c r="G977" s="2" t="str">
        <f t="shared" si="95"/>
        <v>AUTOMEHANIKA D.D., KOVINSKA 4, 10000 ZAGREB, OIB: 5223317126</v>
      </c>
      <c r="H977" s="1" t="str">
        <f t="shared" si="96"/>
        <v>AUTOMEHANIKA D.D., OIB: 5223317126</v>
      </c>
      <c r="I977" s="1" t="s">
        <v>435</v>
      </c>
      <c r="J977" s="1" t="s">
        <v>303</v>
      </c>
      <c r="K977" s="6" t="str">
        <f>"1.020,12"</f>
        <v>1.020,12</v>
      </c>
      <c r="L977" s="6" t="str">
        <f>"255,03"</f>
        <v>255,03</v>
      </c>
      <c r="M977" s="6" t="str">
        <f>"1.275,15"</f>
        <v>1.275,15</v>
      </c>
      <c r="N977" s="5">
        <v>43704</v>
      </c>
      <c r="O977" s="7"/>
      <c r="P977" s="6" t="str">
        <f>"1.275,15"</f>
        <v>1.275,15</v>
      </c>
      <c r="Q977" s="7"/>
      <c r="R977" s="1"/>
      <c r="S977" s="1" t="str">
        <f>"47-19/NOS-108-A/17"</f>
        <v>47-19/NOS-108-A/17</v>
      </c>
      <c r="T977" s="2" t="s">
        <v>29</v>
      </c>
    </row>
    <row r="978" spans="1:20" ht="38.25" x14ac:dyDescent="0.25">
      <c r="A978" s="1">
        <v>974</v>
      </c>
      <c r="B978" s="1" t="str">
        <f t="shared" si="94"/>
        <v>2017-380</v>
      </c>
      <c r="C978" s="2" t="s">
        <v>809</v>
      </c>
      <c r="D978" s="1" t="s">
        <v>170</v>
      </c>
      <c r="E978" s="3" t="str">
        <f>""</f>
        <v/>
      </c>
      <c r="F978" s="2" t="s">
        <v>27</v>
      </c>
      <c r="G978" s="2" t="str">
        <f t="shared" si="95"/>
        <v>AUTOMEHANIKA D.D., KOVINSKA 4, 10000 ZAGREB, OIB: 5223317126</v>
      </c>
      <c r="H978" s="1" t="str">
        <f t="shared" si="96"/>
        <v>AUTOMEHANIKA D.D., OIB: 5223317126</v>
      </c>
      <c r="I978" s="1" t="s">
        <v>435</v>
      </c>
      <c r="J978" s="1" t="s">
        <v>303</v>
      </c>
      <c r="K978" s="6" t="str">
        <f>"1.022,09"</f>
        <v>1.022,09</v>
      </c>
      <c r="L978" s="6" t="str">
        <f>"255,52"</f>
        <v>255,52</v>
      </c>
      <c r="M978" s="6" t="str">
        <f>"1.277,61"</f>
        <v>1.277,61</v>
      </c>
      <c r="N978" s="5">
        <v>43615</v>
      </c>
      <c r="O978" s="7"/>
      <c r="P978" s="6" t="str">
        <f>"1.277,61"</f>
        <v>1.277,61</v>
      </c>
      <c r="Q978" s="7"/>
      <c r="R978" s="1"/>
      <c r="S978" s="1" t="str">
        <f>"48-19/NOS-108-A/17"</f>
        <v>48-19/NOS-108-A/17</v>
      </c>
      <c r="T978" s="2" t="s">
        <v>33</v>
      </c>
    </row>
    <row r="979" spans="1:20" ht="38.25" x14ac:dyDescent="0.25">
      <c r="A979" s="1">
        <v>975</v>
      </c>
      <c r="B979" s="1" t="str">
        <f t="shared" si="94"/>
        <v>2017-380</v>
      </c>
      <c r="C979" s="2" t="s">
        <v>809</v>
      </c>
      <c r="D979" s="1" t="s">
        <v>170</v>
      </c>
      <c r="E979" s="3" t="str">
        <f>""</f>
        <v/>
      </c>
      <c r="F979" s="2" t="s">
        <v>27</v>
      </c>
      <c r="G979" s="2" t="str">
        <f t="shared" si="95"/>
        <v>AUTOMEHANIKA D.D., KOVINSKA 4, 10000 ZAGREB, OIB: 5223317126</v>
      </c>
      <c r="H979" s="1" t="str">
        <f t="shared" si="96"/>
        <v>AUTOMEHANIKA D.D., OIB: 5223317126</v>
      </c>
      <c r="I979" s="1" t="s">
        <v>402</v>
      </c>
      <c r="J979" s="1" t="s">
        <v>303</v>
      </c>
      <c r="K979" s="6" t="str">
        <f>"2.174,20"</f>
        <v>2.174,20</v>
      </c>
      <c r="L979" s="6" t="str">
        <f>"0,00"</f>
        <v>0,00</v>
      </c>
      <c r="M979" s="6" t="str">
        <f>"0,00"</f>
        <v>0,00</v>
      </c>
      <c r="N979" s="1" t="s">
        <v>117</v>
      </c>
      <c r="O979" s="7"/>
      <c r="P979" s="6" t="str">
        <f>"0,00"</f>
        <v>0,00</v>
      </c>
      <c r="Q979" s="7"/>
      <c r="R979" s="1"/>
      <c r="S979" s="1" t="str">
        <f>"49-19/NOS-108-A/17"</f>
        <v>49-19/NOS-108-A/17</v>
      </c>
      <c r="T979" s="2" t="s">
        <v>29</v>
      </c>
    </row>
    <row r="980" spans="1:20" ht="38.25" x14ac:dyDescent="0.25">
      <c r="A980" s="1">
        <v>976</v>
      </c>
      <c r="B980" s="1" t="str">
        <f t="shared" si="94"/>
        <v>2017-380</v>
      </c>
      <c r="C980" s="2" t="s">
        <v>809</v>
      </c>
      <c r="D980" s="1" t="s">
        <v>170</v>
      </c>
      <c r="E980" s="3" t="str">
        <f>""</f>
        <v/>
      </c>
      <c r="F980" s="2" t="s">
        <v>27</v>
      </c>
      <c r="G980" s="2" t="str">
        <f t="shared" si="95"/>
        <v>AUTOMEHANIKA D.D., KOVINSKA 4, 10000 ZAGREB, OIB: 5223317126</v>
      </c>
      <c r="H980" s="1" t="str">
        <f t="shared" si="96"/>
        <v>AUTOMEHANIKA D.D., OIB: 5223317126</v>
      </c>
      <c r="I980" s="1" t="s">
        <v>402</v>
      </c>
      <c r="J980" s="1" t="s">
        <v>303</v>
      </c>
      <c r="K980" s="6" t="str">
        <f>"7.497,25"</f>
        <v>7.497,25</v>
      </c>
      <c r="L980" s="6" t="str">
        <f>"0,00"</f>
        <v>0,00</v>
      </c>
      <c r="M980" s="6" t="str">
        <f>"0,00"</f>
        <v>0,00</v>
      </c>
      <c r="N980" s="1" t="s">
        <v>117</v>
      </c>
      <c r="O980" s="7"/>
      <c r="P980" s="6" t="str">
        <f>"0,00"</f>
        <v>0,00</v>
      </c>
      <c r="Q980" s="7"/>
      <c r="R980" s="1"/>
      <c r="S980" s="1" t="str">
        <f>"50-19/NOS-108-A/17"</f>
        <v>50-19/NOS-108-A/17</v>
      </c>
      <c r="T980" s="2" t="s">
        <v>29</v>
      </c>
    </row>
    <row r="981" spans="1:20" ht="38.25" x14ac:dyDescent="0.25">
      <c r="A981" s="1">
        <v>977</v>
      </c>
      <c r="B981" s="1" t="str">
        <f t="shared" si="94"/>
        <v>2017-380</v>
      </c>
      <c r="C981" s="2" t="s">
        <v>809</v>
      </c>
      <c r="D981" s="1" t="s">
        <v>170</v>
      </c>
      <c r="E981" s="3" t="str">
        <f>""</f>
        <v/>
      </c>
      <c r="F981" s="2" t="s">
        <v>27</v>
      </c>
      <c r="G981" s="2" t="str">
        <f t="shared" si="95"/>
        <v>AUTOMEHANIKA D.D., KOVINSKA 4, 10000 ZAGREB, OIB: 5223317126</v>
      </c>
      <c r="H981" s="1" t="str">
        <f t="shared" si="96"/>
        <v>AUTOMEHANIKA D.D., OIB: 5223317126</v>
      </c>
      <c r="I981" s="1" t="s">
        <v>402</v>
      </c>
      <c r="J981" s="1" t="s">
        <v>303</v>
      </c>
      <c r="K981" s="6" t="str">
        <f>"7.407,32"</f>
        <v>7.407,32</v>
      </c>
      <c r="L981" s="6" t="str">
        <f>"1.851,83"</f>
        <v>1.851,83</v>
      </c>
      <c r="M981" s="6" t="str">
        <f>"9.259,15"</f>
        <v>9.259,15</v>
      </c>
      <c r="N981" s="5">
        <v>43628</v>
      </c>
      <c r="O981" s="7"/>
      <c r="P981" s="6" t="str">
        <f>"9.259,15"</f>
        <v>9.259,15</v>
      </c>
      <c r="Q981" s="7"/>
      <c r="R981" s="1"/>
      <c r="S981" s="1" t="str">
        <f>"51-19/NOS-108-A/17"</f>
        <v>51-19/NOS-108-A/17</v>
      </c>
      <c r="T981" s="2" t="s">
        <v>29</v>
      </c>
    </row>
    <row r="982" spans="1:20" ht="38.25" x14ac:dyDescent="0.25">
      <c r="A982" s="1">
        <v>978</v>
      </c>
      <c r="B982" s="1" t="str">
        <f t="shared" si="94"/>
        <v>2017-380</v>
      </c>
      <c r="C982" s="2" t="s">
        <v>809</v>
      </c>
      <c r="D982" s="1" t="s">
        <v>170</v>
      </c>
      <c r="E982" s="3" t="str">
        <f>""</f>
        <v/>
      </c>
      <c r="F982" s="2" t="s">
        <v>27</v>
      </c>
      <c r="G982" s="2" t="str">
        <f t="shared" si="95"/>
        <v>AUTOMEHANIKA D.D., KOVINSKA 4, 10000 ZAGREB, OIB: 5223317126</v>
      </c>
      <c r="H982" s="1" t="str">
        <f t="shared" si="96"/>
        <v>AUTOMEHANIKA D.D., OIB: 5223317126</v>
      </c>
      <c r="I982" s="1" t="s">
        <v>628</v>
      </c>
      <c r="J982" s="1" t="s">
        <v>303</v>
      </c>
      <c r="K982" s="6" t="str">
        <f>"2.620,77"</f>
        <v>2.620,77</v>
      </c>
      <c r="L982" s="6" t="str">
        <f>"655,19"</f>
        <v>655,19</v>
      </c>
      <c r="M982" s="6" t="str">
        <f>"3.275,95"</f>
        <v>3.275,95</v>
      </c>
      <c r="N982" s="5">
        <v>43633</v>
      </c>
      <c r="O982" s="7"/>
      <c r="P982" s="6" t="str">
        <f>"3.275,95"</f>
        <v>3.275,95</v>
      </c>
      <c r="Q982" s="7"/>
      <c r="R982" s="1"/>
      <c r="S982" s="1" t="str">
        <f>"52-19/NOS-108-A/17"</f>
        <v>52-19/NOS-108-A/17</v>
      </c>
      <c r="T982" s="2" t="s">
        <v>33</v>
      </c>
    </row>
    <row r="983" spans="1:20" ht="38.25" x14ac:dyDescent="0.25">
      <c r="A983" s="1">
        <v>979</v>
      </c>
      <c r="B983" s="1" t="str">
        <f t="shared" si="94"/>
        <v>2017-380</v>
      </c>
      <c r="C983" s="2" t="s">
        <v>809</v>
      </c>
      <c r="D983" s="1" t="s">
        <v>170</v>
      </c>
      <c r="E983" s="3" t="str">
        <f>""</f>
        <v/>
      </c>
      <c r="F983" s="2" t="s">
        <v>27</v>
      </c>
      <c r="G983" s="2" t="str">
        <f t="shared" si="95"/>
        <v>AUTOMEHANIKA D.D., KOVINSKA 4, 10000 ZAGREB, OIB: 5223317126</v>
      </c>
      <c r="H983" s="1" t="str">
        <f t="shared" si="96"/>
        <v>AUTOMEHANIKA D.D., OIB: 5223317126</v>
      </c>
      <c r="I983" s="1" t="s">
        <v>403</v>
      </c>
      <c r="J983" s="1" t="s">
        <v>303</v>
      </c>
      <c r="K983" s="6" t="str">
        <f>"22,46"</f>
        <v>22,46</v>
      </c>
      <c r="L983" s="6" t="str">
        <f>"5,62"</f>
        <v>5,62</v>
      </c>
      <c r="M983" s="6" t="str">
        <f>"28,08"</f>
        <v>28,08</v>
      </c>
      <c r="N983" s="5">
        <v>43648</v>
      </c>
      <c r="O983" s="7"/>
      <c r="P983" s="6" t="str">
        <f>"28,08"</f>
        <v>28,08</v>
      </c>
      <c r="Q983" s="7"/>
      <c r="R983" s="1"/>
      <c r="S983" s="1" t="str">
        <f>"53-19/NOS-108-A/17"</f>
        <v>53-19/NOS-108-A/17</v>
      </c>
      <c r="T983" s="2" t="s">
        <v>33</v>
      </c>
    </row>
    <row r="984" spans="1:20" ht="38.25" x14ac:dyDescent="0.25">
      <c r="A984" s="1">
        <v>980</v>
      </c>
      <c r="B984" s="1" t="str">
        <f t="shared" si="94"/>
        <v>2017-380</v>
      </c>
      <c r="C984" s="2" t="s">
        <v>809</v>
      </c>
      <c r="D984" s="1" t="s">
        <v>170</v>
      </c>
      <c r="E984" s="3" t="str">
        <f>""</f>
        <v/>
      </c>
      <c r="F984" s="2" t="s">
        <v>27</v>
      </c>
      <c r="G984" s="2" t="str">
        <f t="shared" si="95"/>
        <v>AUTOMEHANIKA D.D., KOVINSKA 4, 10000 ZAGREB, OIB: 5223317126</v>
      </c>
      <c r="H984" s="1" t="str">
        <f t="shared" si="96"/>
        <v>AUTOMEHANIKA D.D., OIB: 5223317126</v>
      </c>
      <c r="I984" s="1" t="s">
        <v>424</v>
      </c>
      <c r="J984" s="1" t="s">
        <v>303</v>
      </c>
      <c r="K984" s="6" t="str">
        <f>"1.150,91"</f>
        <v>1.150,91</v>
      </c>
      <c r="L984" s="6" t="str">
        <f>"287,73"</f>
        <v>287,73</v>
      </c>
      <c r="M984" s="6" t="str">
        <f>"1.438,64"</f>
        <v>1.438,64</v>
      </c>
      <c r="N984" s="5">
        <v>43633</v>
      </c>
      <c r="O984" s="7"/>
      <c r="P984" s="6" t="str">
        <f>"1.438,64"</f>
        <v>1.438,64</v>
      </c>
      <c r="Q984" s="7"/>
      <c r="R984" s="1"/>
      <c r="S984" s="1" t="str">
        <f>"54-19/NOS-108-A/17"</f>
        <v>54-19/NOS-108-A/17</v>
      </c>
      <c r="T984" s="2" t="s">
        <v>33</v>
      </c>
    </row>
    <row r="985" spans="1:20" ht="38.25" x14ac:dyDescent="0.25">
      <c r="A985" s="1">
        <v>981</v>
      </c>
      <c r="B985" s="1" t="str">
        <f t="shared" si="94"/>
        <v>2017-380</v>
      </c>
      <c r="C985" s="2" t="s">
        <v>809</v>
      </c>
      <c r="D985" s="1" t="s">
        <v>170</v>
      </c>
      <c r="E985" s="3" t="str">
        <f>""</f>
        <v/>
      </c>
      <c r="F985" s="2" t="s">
        <v>27</v>
      </c>
      <c r="G985" s="2" t="str">
        <f t="shared" si="95"/>
        <v>AUTOMEHANIKA D.D., KOVINSKA 4, 10000 ZAGREB, OIB: 5223317126</v>
      </c>
      <c r="H985" s="1" t="str">
        <f t="shared" si="96"/>
        <v>AUTOMEHANIKA D.D., OIB: 5223317126</v>
      </c>
      <c r="I985" s="1" t="s">
        <v>396</v>
      </c>
      <c r="J985" s="1" t="s">
        <v>303</v>
      </c>
      <c r="K985" s="6" t="str">
        <f>"5.181,73"</f>
        <v>5.181,73</v>
      </c>
      <c r="L985" s="6" t="str">
        <f t="shared" ref="L985:M988" si="97">"0,00"</f>
        <v>0,00</v>
      </c>
      <c r="M985" s="6" t="str">
        <f t="shared" si="97"/>
        <v>0,00</v>
      </c>
      <c r="N985" s="1" t="s">
        <v>117</v>
      </c>
      <c r="O985" s="7"/>
      <c r="P985" s="6" t="str">
        <f>"0,00"</f>
        <v>0,00</v>
      </c>
      <c r="Q985" s="7"/>
      <c r="R985" s="1"/>
      <c r="S985" s="1" t="str">
        <f>"55-19/NOS-108-A/17"</f>
        <v>55-19/NOS-108-A/17</v>
      </c>
      <c r="T985" s="2" t="s">
        <v>29</v>
      </c>
    </row>
    <row r="986" spans="1:20" ht="38.25" x14ac:dyDescent="0.25">
      <c r="A986" s="1">
        <v>982</v>
      </c>
      <c r="B986" s="1" t="str">
        <f t="shared" si="94"/>
        <v>2017-380</v>
      </c>
      <c r="C986" s="2" t="s">
        <v>809</v>
      </c>
      <c r="D986" s="1" t="s">
        <v>170</v>
      </c>
      <c r="E986" s="3" t="str">
        <f>""</f>
        <v/>
      </c>
      <c r="F986" s="2" t="s">
        <v>27</v>
      </c>
      <c r="G986" s="2" t="str">
        <f t="shared" si="95"/>
        <v>AUTOMEHANIKA D.D., KOVINSKA 4, 10000 ZAGREB, OIB: 5223317126</v>
      </c>
      <c r="H986" s="1" t="str">
        <f t="shared" si="96"/>
        <v>AUTOMEHANIKA D.D., OIB: 5223317126</v>
      </c>
      <c r="I986" s="1" t="s">
        <v>396</v>
      </c>
      <c r="J986" s="1" t="s">
        <v>303</v>
      </c>
      <c r="K986" s="6" t="str">
        <f>"2.818,97"</f>
        <v>2.818,97</v>
      </c>
      <c r="L986" s="6" t="str">
        <f t="shared" si="97"/>
        <v>0,00</v>
      </c>
      <c r="M986" s="6" t="str">
        <f t="shared" si="97"/>
        <v>0,00</v>
      </c>
      <c r="N986" s="1" t="s">
        <v>117</v>
      </c>
      <c r="O986" s="7"/>
      <c r="P986" s="6" t="str">
        <f>"0,00"</f>
        <v>0,00</v>
      </c>
      <c r="Q986" s="7"/>
      <c r="R986" s="1"/>
      <c r="S986" s="1" t="str">
        <f>"56-19/NOS-108-A/17"</f>
        <v>56-19/NOS-108-A/17</v>
      </c>
      <c r="T986" s="2" t="s">
        <v>29</v>
      </c>
    </row>
    <row r="987" spans="1:20" ht="38.25" x14ac:dyDescent="0.25">
      <c r="A987" s="1">
        <v>983</v>
      </c>
      <c r="B987" s="1" t="str">
        <f t="shared" si="94"/>
        <v>2017-380</v>
      </c>
      <c r="C987" s="2" t="s">
        <v>809</v>
      </c>
      <c r="D987" s="1" t="s">
        <v>170</v>
      </c>
      <c r="E987" s="3" t="str">
        <f>""</f>
        <v/>
      </c>
      <c r="F987" s="2" t="s">
        <v>27</v>
      </c>
      <c r="G987" s="2" t="str">
        <f t="shared" si="95"/>
        <v>AUTOMEHANIKA D.D., KOVINSKA 4, 10000 ZAGREB, OIB: 5223317126</v>
      </c>
      <c r="H987" s="1" t="str">
        <f t="shared" si="96"/>
        <v>AUTOMEHANIKA D.D., OIB: 5223317126</v>
      </c>
      <c r="I987" s="1" t="s">
        <v>403</v>
      </c>
      <c r="J987" s="1" t="s">
        <v>303</v>
      </c>
      <c r="K987" s="6" t="str">
        <f>"23.778,12"</f>
        <v>23.778,12</v>
      </c>
      <c r="L987" s="6" t="str">
        <f t="shared" si="97"/>
        <v>0,00</v>
      </c>
      <c r="M987" s="6" t="str">
        <f t="shared" si="97"/>
        <v>0,00</v>
      </c>
      <c r="N987" s="1" t="s">
        <v>117</v>
      </c>
      <c r="O987" s="7"/>
      <c r="P987" s="6" t="str">
        <f>"0,00"</f>
        <v>0,00</v>
      </c>
      <c r="Q987" s="7"/>
      <c r="R987" s="1"/>
      <c r="S987" s="1" t="str">
        <f>"57-19/NOS-108-A/17"</f>
        <v>57-19/NOS-108-A/17</v>
      </c>
      <c r="T987" s="2" t="s">
        <v>29</v>
      </c>
    </row>
    <row r="988" spans="1:20" ht="38.25" x14ac:dyDescent="0.25">
      <c r="A988" s="1">
        <v>984</v>
      </c>
      <c r="B988" s="1" t="str">
        <f t="shared" si="94"/>
        <v>2017-380</v>
      </c>
      <c r="C988" s="2" t="s">
        <v>809</v>
      </c>
      <c r="D988" s="1" t="s">
        <v>170</v>
      </c>
      <c r="E988" s="3" t="str">
        <f>""</f>
        <v/>
      </c>
      <c r="F988" s="2" t="s">
        <v>27</v>
      </c>
      <c r="G988" s="2" t="str">
        <f t="shared" si="95"/>
        <v>AUTOMEHANIKA D.D., KOVINSKA 4, 10000 ZAGREB, OIB: 5223317126</v>
      </c>
      <c r="H988" s="1" t="str">
        <f t="shared" si="96"/>
        <v>AUTOMEHANIKA D.D., OIB: 5223317126</v>
      </c>
      <c r="I988" s="1" t="s">
        <v>638</v>
      </c>
      <c r="J988" s="1" t="s">
        <v>303</v>
      </c>
      <c r="K988" s="6" t="str">
        <f>"6.059,76"</f>
        <v>6.059,76</v>
      </c>
      <c r="L988" s="6" t="str">
        <f t="shared" si="97"/>
        <v>0,00</v>
      </c>
      <c r="M988" s="6" t="str">
        <f t="shared" si="97"/>
        <v>0,00</v>
      </c>
      <c r="N988" s="1" t="s">
        <v>117</v>
      </c>
      <c r="O988" s="7"/>
      <c r="P988" s="6" t="str">
        <f>"0,00"</f>
        <v>0,00</v>
      </c>
      <c r="Q988" s="7"/>
      <c r="R988" s="1"/>
      <c r="S988" s="1" t="str">
        <f>"58-19/NOS-108-A/17"</f>
        <v>58-19/NOS-108-A/17</v>
      </c>
      <c r="T988" s="2" t="s">
        <v>33</v>
      </c>
    </row>
    <row r="989" spans="1:20" ht="38.25" x14ac:dyDescent="0.25">
      <c r="A989" s="1">
        <v>985</v>
      </c>
      <c r="B989" s="1" t="str">
        <f t="shared" si="94"/>
        <v>2017-380</v>
      </c>
      <c r="C989" s="2" t="s">
        <v>809</v>
      </c>
      <c r="D989" s="1" t="s">
        <v>170</v>
      </c>
      <c r="E989" s="3" t="str">
        <f>"2017/S 0F2-0015292"</f>
        <v>2017/S 0F2-0015292</v>
      </c>
      <c r="F989" s="2" t="s">
        <v>23</v>
      </c>
      <c r="G989" s="2" t="str">
        <f t="shared" si="95"/>
        <v>AUTOMEHANIKA D.D., KOVINSKA 4, 10000 ZAGREB, OIB: 5223317126</v>
      </c>
      <c r="H989" s="1" t="str">
        <f t="shared" si="96"/>
        <v>AUTOMEHANIKA D.D., OIB: 5223317126</v>
      </c>
      <c r="I989" s="1" t="s">
        <v>799</v>
      </c>
      <c r="J989" s="1" t="s">
        <v>810</v>
      </c>
      <c r="K989" s="6" t="str">
        <f>"2.700.000,00"</f>
        <v>2.700.000,00</v>
      </c>
      <c r="L989" s="6" t="str">
        <f>"675.000,00"</f>
        <v>675.000,00</v>
      </c>
      <c r="M989" s="6" t="str">
        <f>"3.375.000,00"</f>
        <v>3.375.000,00</v>
      </c>
      <c r="N989" s="7"/>
      <c r="O989" s="7"/>
      <c r="P989" s="6" t="str">
        <f>""</f>
        <v/>
      </c>
      <c r="Q989" s="7"/>
      <c r="R989" s="1"/>
      <c r="S989" s="1" t="str">
        <f>"NOS-108-B/17"</f>
        <v>NOS-108-B/17</v>
      </c>
      <c r="T989" s="2" t="s">
        <v>26</v>
      </c>
    </row>
    <row r="990" spans="1:20" ht="38.25" x14ac:dyDescent="0.25">
      <c r="A990" s="1">
        <v>986</v>
      </c>
      <c r="B990" s="1" t="str">
        <f t="shared" si="94"/>
        <v>2017-380</v>
      </c>
      <c r="C990" s="2" t="s">
        <v>809</v>
      </c>
      <c r="D990" s="1" t="s">
        <v>170</v>
      </c>
      <c r="E990" s="3" t="str">
        <f>""</f>
        <v/>
      </c>
      <c r="F990" s="2" t="s">
        <v>27</v>
      </c>
      <c r="G990" s="2" t="str">
        <f t="shared" si="95"/>
        <v>AUTOMEHANIKA D.D., KOVINSKA 4, 10000 ZAGREB, OIB: 5223317126</v>
      </c>
      <c r="H990" s="1" t="str">
        <f t="shared" si="96"/>
        <v>AUTOMEHANIKA D.D., OIB: 5223317126</v>
      </c>
      <c r="I990" s="1" t="s">
        <v>225</v>
      </c>
      <c r="J990" s="1" t="s">
        <v>303</v>
      </c>
      <c r="K990" s="6" t="str">
        <f>"13.749,40"</f>
        <v>13.749,40</v>
      </c>
      <c r="L990" s="6" t="str">
        <f>"3.437,35"</f>
        <v>3.437,35</v>
      </c>
      <c r="M990" s="6" t="str">
        <f>"17.186,75"</f>
        <v>17.186,75</v>
      </c>
      <c r="N990" s="5">
        <v>43511</v>
      </c>
      <c r="O990" s="7"/>
      <c r="P990" s="6" t="str">
        <f>"17.186,75"</f>
        <v>17.186,75</v>
      </c>
      <c r="Q990" s="7"/>
      <c r="R990" s="1"/>
      <c r="S990" s="1" t="str">
        <f>"1-19/NOS-108-B/17"</f>
        <v>1-19/NOS-108-B/17</v>
      </c>
      <c r="T990" s="2" t="s">
        <v>33</v>
      </c>
    </row>
    <row r="991" spans="1:20" ht="38.25" x14ac:dyDescent="0.25">
      <c r="A991" s="1">
        <v>987</v>
      </c>
      <c r="B991" s="1" t="str">
        <f t="shared" si="94"/>
        <v>2017-380</v>
      </c>
      <c r="C991" s="2" t="s">
        <v>809</v>
      </c>
      <c r="D991" s="1" t="s">
        <v>170</v>
      </c>
      <c r="E991" s="3" t="str">
        <f>""</f>
        <v/>
      </c>
      <c r="F991" s="2" t="s">
        <v>27</v>
      </c>
      <c r="G991" s="2" t="str">
        <f t="shared" si="95"/>
        <v>AUTOMEHANIKA D.D., KOVINSKA 4, 10000 ZAGREB, OIB: 5223317126</v>
      </c>
      <c r="H991" s="1" t="str">
        <f t="shared" si="96"/>
        <v>AUTOMEHANIKA D.D., OIB: 5223317126</v>
      </c>
      <c r="I991" s="1" t="s">
        <v>241</v>
      </c>
      <c r="J991" s="1" t="s">
        <v>303</v>
      </c>
      <c r="K991" s="6" t="str">
        <f>"3.785,36"</f>
        <v>3.785,36</v>
      </c>
      <c r="L991" s="6" t="str">
        <f>"946,34"</f>
        <v>946,34</v>
      </c>
      <c r="M991" s="6" t="str">
        <f>"4.731,70"</f>
        <v>4.731,70</v>
      </c>
      <c r="N991" s="5">
        <v>43514</v>
      </c>
      <c r="O991" s="7"/>
      <c r="P991" s="6" t="str">
        <f>"4.731,70"</f>
        <v>4.731,70</v>
      </c>
      <c r="Q991" s="7"/>
      <c r="R991" s="1"/>
      <c r="S991" s="1" t="str">
        <f>"2-19/NOS-108-B/17"</f>
        <v>2-19/NOS-108-B/17</v>
      </c>
      <c r="T991" s="2" t="s">
        <v>33</v>
      </c>
    </row>
    <row r="992" spans="1:20" ht="38.25" x14ac:dyDescent="0.25">
      <c r="A992" s="1">
        <v>988</v>
      </c>
      <c r="B992" s="1" t="str">
        <f t="shared" si="94"/>
        <v>2017-380</v>
      </c>
      <c r="C992" s="2" t="s">
        <v>809</v>
      </c>
      <c r="D992" s="1" t="s">
        <v>170</v>
      </c>
      <c r="E992" s="3" t="str">
        <f>""</f>
        <v/>
      </c>
      <c r="F992" s="2" t="s">
        <v>27</v>
      </c>
      <c r="G992" s="2" t="str">
        <f t="shared" si="95"/>
        <v>AUTOMEHANIKA D.D., KOVINSKA 4, 10000 ZAGREB, OIB: 5223317126</v>
      </c>
      <c r="H992" s="1" t="str">
        <f t="shared" si="96"/>
        <v>AUTOMEHANIKA D.D., OIB: 5223317126</v>
      </c>
      <c r="I992" s="1" t="s">
        <v>194</v>
      </c>
      <c r="J992" s="1" t="s">
        <v>303</v>
      </c>
      <c r="K992" s="6" t="str">
        <f>"261,86"</f>
        <v>261,86</v>
      </c>
      <c r="L992" s="6" t="str">
        <f>"65,46"</f>
        <v>65,46</v>
      </c>
      <c r="M992" s="6" t="str">
        <f>"327,32"</f>
        <v>327,32</v>
      </c>
      <c r="N992" s="5">
        <v>43552</v>
      </c>
      <c r="O992" s="7"/>
      <c r="P992" s="6" t="str">
        <f>"327,32"</f>
        <v>327,32</v>
      </c>
      <c r="Q992" s="7"/>
      <c r="R992" s="1"/>
      <c r="S992" s="1" t="str">
        <f>"3-19/NOS-108-B/17"</f>
        <v>3-19/NOS-108-B/17</v>
      </c>
      <c r="T992" s="2" t="s">
        <v>33</v>
      </c>
    </row>
    <row r="993" spans="1:20" ht="38.25" x14ac:dyDescent="0.25">
      <c r="A993" s="1">
        <v>989</v>
      </c>
      <c r="B993" s="1" t="str">
        <f t="shared" si="94"/>
        <v>2017-380</v>
      </c>
      <c r="C993" s="2" t="s">
        <v>809</v>
      </c>
      <c r="D993" s="1" t="s">
        <v>170</v>
      </c>
      <c r="E993" s="3" t="str">
        <f>""</f>
        <v/>
      </c>
      <c r="F993" s="2" t="s">
        <v>27</v>
      </c>
      <c r="G993" s="2" t="str">
        <f t="shared" si="95"/>
        <v>AUTOMEHANIKA D.D., KOVINSKA 4, 10000 ZAGREB, OIB: 5223317126</v>
      </c>
      <c r="H993" s="1" t="str">
        <f t="shared" si="96"/>
        <v>AUTOMEHANIKA D.D., OIB: 5223317126</v>
      </c>
      <c r="I993" s="1" t="s">
        <v>195</v>
      </c>
      <c r="J993" s="1" t="s">
        <v>303</v>
      </c>
      <c r="K993" s="6" t="str">
        <f>"3.180,13"</f>
        <v>3.180,13</v>
      </c>
      <c r="L993" s="6" t="str">
        <f>"795,03"</f>
        <v>795,03</v>
      </c>
      <c r="M993" s="6" t="str">
        <f>"3.975,16"</f>
        <v>3.975,16</v>
      </c>
      <c r="N993" s="5">
        <v>43707</v>
      </c>
      <c r="O993" s="7"/>
      <c r="P993" s="6" t="str">
        <f>"3.975,16"</f>
        <v>3.975,16</v>
      </c>
      <c r="Q993" s="7"/>
      <c r="R993" s="1"/>
      <c r="S993" s="1" t="str">
        <f>"4-19/NOS-108-B/17"</f>
        <v>4-19/NOS-108-B/17</v>
      </c>
      <c r="T993" s="2" t="s">
        <v>33</v>
      </c>
    </row>
    <row r="994" spans="1:20" ht="38.25" x14ac:dyDescent="0.25">
      <c r="A994" s="1">
        <v>990</v>
      </c>
      <c r="B994" s="1" t="str">
        <f t="shared" si="94"/>
        <v>2017-380</v>
      </c>
      <c r="C994" s="2" t="s">
        <v>809</v>
      </c>
      <c r="D994" s="1" t="s">
        <v>170</v>
      </c>
      <c r="E994" s="3" t="str">
        <f>""</f>
        <v/>
      </c>
      <c r="F994" s="2" t="s">
        <v>27</v>
      </c>
      <c r="G994" s="2" t="str">
        <f t="shared" si="95"/>
        <v>AUTOMEHANIKA D.D., KOVINSKA 4, 10000 ZAGREB, OIB: 5223317126</v>
      </c>
      <c r="H994" s="1" t="str">
        <f t="shared" si="96"/>
        <v>AUTOMEHANIKA D.D., OIB: 5223317126</v>
      </c>
      <c r="I994" s="1" t="s">
        <v>195</v>
      </c>
      <c r="J994" s="1" t="s">
        <v>303</v>
      </c>
      <c r="K994" s="6" t="str">
        <f>"559,42"</f>
        <v>559,42</v>
      </c>
      <c r="L994" s="6" t="str">
        <f>"139,86"</f>
        <v>139,86</v>
      </c>
      <c r="M994" s="6" t="str">
        <f>"699,28"</f>
        <v>699,28</v>
      </c>
      <c r="N994" s="5">
        <v>43622</v>
      </c>
      <c r="O994" s="7"/>
      <c r="P994" s="6" t="str">
        <f>"699,28"</f>
        <v>699,28</v>
      </c>
      <c r="Q994" s="7"/>
      <c r="R994" s="1"/>
      <c r="S994" s="1" t="str">
        <f>"5-19/NOS-108-B/17"</f>
        <v>5-19/NOS-108-B/17</v>
      </c>
      <c r="T994" s="2" t="s">
        <v>33</v>
      </c>
    </row>
    <row r="995" spans="1:20" ht="38.25" x14ac:dyDescent="0.25">
      <c r="A995" s="1">
        <v>991</v>
      </c>
      <c r="B995" s="1" t="str">
        <f t="shared" ref="B995:B1026" si="98">"2017-380"</f>
        <v>2017-380</v>
      </c>
      <c r="C995" s="2" t="s">
        <v>809</v>
      </c>
      <c r="D995" s="1" t="s">
        <v>170</v>
      </c>
      <c r="E995" s="3" t="str">
        <f>""</f>
        <v/>
      </c>
      <c r="F995" s="2" t="s">
        <v>27</v>
      </c>
      <c r="G995" s="2" t="str">
        <f t="shared" ref="G995:G1026" si="99">CONCATENATE("AUTOMEHANIKA D.D.,"," KOVINSKA 4,"," 10000 ZAGREB,"," OIB: 5223317126")</f>
        <v>AUTOMEHANIKA D.D., KOVINSKA 4, 10000 ZAGREB, OIB: 5223317126</v>
      </c>
      <c r="H995" s="1" t="str">
        <f t="shared" ref="H995:H1026" si="100">CONCATENATE("AUTOMEHANIKA D.D.,"," OIB: 5223317126")</f>
        <v>AUTOMEHANIKA D.D., OIB: 5223317126</v>
      </c>
      <c r="I995" s="1" t="s">
        <v>351</v>
      </c>
      <c r="J995" s="1" t="s">
        <v>303</v>
      </c>
      <c r="K995" s="6" t="str">
        <f>"1.450,98"</f>
        <v>1.450,98</v>
      </c>
      <c r="L995" s="6" t="str">
        <f>"362,74"</f>
        <v>362,74</v>
      </c>
      <c r="M995" s="6" t="str">
        <f>"1.813,72"</f>
        <v>1.813,72</v>
      </c>
      <c r="N995" s="5">
        <v>43536</v>
      </c>
      <c r="O995" s="7"/>
      <c r="P995" s="6" t="str">
        <f>"1.813,72"</f>
        <v>1.813,72</v>
      </c>
      <c r="Q995" s="7"/>
      <c r="R995" s="1"/>
      <c r="S995" s="1" t="str">
        <f>"6-19/NOS-108-B/17"</f>
        <v>6-19/NOS-108-B/17</v>
      </c>
      <c r="T995" s="2" t="s">
        <v>33</v>
      </c>
    </row>
    <row r="996" spans="1:20" ht="38.25" x14ac:dyDescent="0.25">
      <c r="A996" s="1">
        <v>992</v>
      </c>
      <c r="B996" s="1" t="str">
        <f t="shared" si="98"/>
        <v>2017-380</v>
      </c>
      <c r="C996" s="2" t="s">
        <v>809</v>
      </c>
      <c r="D996" s="1" t="s">
        <v>170</v>
      </c>
      <c r="E996" s="3" t="str">
        <f>""</f>
        <v/>
      </c>
      <c r="F996" s="2" t="s">
        <v>27</v>
      </c>
      <c r="G996" s="2" t="str">
        <f t="shared" si="99"/>
        <v>AUTOMEHANIKA D.D., KOVINSKA 4, 10000 ZAGREB, OIB: 5223317126</v>
      </c>
      <c r="H996" s="1" t="str">
        <f t="shared" si="100"/>
        <v>AUTOMEHANIKA D.D., OIB: 5223317126</v>
      </c>
      <c r="I996" s="1" t="s">
        <v>244</v>
      </c>
      <c r="J996" s="1" t="s">
        <v>303</v>
      </c>
      <c r="K996" s="6" t="str">
        <f>"387,15"</f>
        <v>387,15</v>
      </c>
      <c r="L996" s="6" t="str">
        <f>"96,79"</f>
        <v>96,79</v>
      </c>
      <c r="M996" s="6" t="str">
        <f>"483,94"</f>
        <v>483,94</v>
      </c>
      <c r="N996" s="5">
        <v>43564</v>
      </c>
      <c r="O996" s="7"/>
      <c r="P996" s="6" t="str">
        <f>"483,94"</f>
        <v>483,94</v>
      </c>
      <c r="Q996" s="7"/>
      <c r="R996" s="1"/>
      <c r="S996" s="1" t="str">
        <f>"7-19/NOS-108-B/17"</f>
        <v>7-19/NOS-108-B/17</v>
      </c>
      <c r="T996" s="2" t="s">
        <v>33</v>
      </c>
    </row>
    <row r="997" spans="1:20" ht="38.25" x14ac:dyDescent="0.25">
      <c r="A997" s="1">
        <v>993</v>
      </c>
      <c r="B997" s="1" t="str">
        <f t="shared" si="98"/>
        <v>2017-380</v>
      </c>
      <c r="C997" s="2" t="s">
        <v>809</v>
      </c>
      <c r="D997" s="1" t="s">
        <v>170</v>
      </c>
      <c r="E997" s="3" t="str">
        <f>""</f>
        <v/>
      </c>
      <c r="F997" s="2" t="s">
        <v>27</v>
      </c>
      <c r="G997" s="2" t="str">
        <f t="shared" si="99"/>
        <v>AUTOMEHANIKA D.D., KOVINSKA 4, 10000 ZAGREB, OIB: 5223317126</v>
      </c>
      <c r="H997" s="1" t="str">
        <f t="shared" si="100"/>
        <v>AUTOMEHANIKA D.D., OIB: 5223317126</v>
      </c>
      <c r="I997" s="1" t="s">
        <v>297</v>
      </c>
      <c r="J997" s="1" t="s">
        <v>303</v>
      </c>
      <c r="K997" s="6" t="str">
        <f>"3.130,34"</f>
        <v>3.130,34</v>
      </c>
      <c r="L997" s="6" t="str">
        <f>"782,58"</f>
        <v>782,58</v>
      </c>
      <c r="M997" s="6" t="str">
        <f>"3.912,90"</f>
        <v>3.912,90</v>
      </c>
      <c r="N997" s="5">
        <v>43566</v>
      </c>
      <c r="O997" s="7"/>
      <c r="P997" s="6" t="str">
        <f>"3.912,90"</f>
        <v>3.912,90</v>
      </c>
      <c r="Q997" s="7"/>
      <c r="R997" s="1"/>
      <c r="S997" s="1" t="str">
        <f>"8-19/NOS-108-B/17"</f>
        <v>8-19/NOS-108-B/17</v>
      </c>
      <c r="T997" s="2" t="s">
        <v>33</v>
      </c>
    </row>
    <row r="998" spans="1:20" ht="38.25" x14ac:dyDescent="0.25">
      <c r="A998" s="1">
        <v>994</v>
      </c>
      <c r="B998" s="1" t="str">
        <f t="shared" si="98"/>
        <v>2017-380</v>
      </c>
      <c r="C998" s="2" t="s">
        <v>809</v>
      </c>
      <c r="D998" s="1" t="s">
        <v>170</v>
      </c>
      <c r="E998" s="3" t="str">
        <f>""</f>
        <v/>
      </c>
      <c r="F998" s="2" t="s">
        <v>27</v>
      </c>
      <c r="G998" s="2" t="str">
        <f t="shared" si="99"/>
        <v>AUTOMEHANIKA D.D., KOVINSKA 4, 10000 ZAGREB, OIB: 5223317126</v>
      </c>
      <c r="H998" s="1" t="str">
        <f t="shared" si="100"/>
        <v>AUTOMEHANIKA D.D., OIB: 5223317126</v>
      </c>
      <c r="I998" s="1" t="s">
        <v>340</v>
      </c>
      <c r="J998" s="1" t="s">
        <v>303</v>
      </c>
      <c r="K998" s="6" t="str">
        <f>"38.996,72"</f>
        <v>38.996,72</v>
      </c>
      <c r="L998" s="6" t="str">
        <f>"9.749,18"</f>
        <v>9.749,18</v>
      </c>
      <c r="M998" s="6" t="str">
        <f>"48.745,90"</f>
        <v>48.745,90</v>
      </c>
      <c r="N998" s="5">
        <v>43570</v>
      </c>
      <c r="O998" s="7"/>
      <c r="P998" s="6" t="str">
        <f>"48.745,90"</f>
        <v>48.745,90</v>
      </c>
      <c r="Q998" s="7"/>
      <c r="R998" s="1"/>
      <c r="S998" s="1" t="str">
        <f>"9-19/NOS-108-B/17"</f>
        <v>9-19/NOS-108-B/17</v>
      </c>
      <c r="T998" s="2" t="s">
        <v>33</v>
      </c>
    </row>
    <row r="999" spans="1:20" ht="38.25" x14ac:dyDescent="0.25">
      <c r="A999" s="1">
        <v>995</v>
      </c>
      <c r="B999" s="1" t="str">
        <f t="shared" si="98"/>
        <v>2017-380</v>
      </c>
      <c r="C999" s="2" t="s">
        <v>809</v>
      </c>
      <c r="D999" s="1" t="s">
        <v>170</v>
      </c>
      <c r="E999" s="3" t="str">
        <f>""</f>
        <v/>
      </c>
      <c r="F999" s="2" t="s">
        <v>27</v>
      </c>
      <c r="G999" s="2" t="str">
        <f t="shared" si="99"/>
        <v>AUTOMEHANIKA D.D., KOVINSKA 4, 10000 ZAGREB, OIB: 5223317126</v>
      </c>
      <c r="H999" s="1" t="str">
        <f t="shared" si="100"/>
        <v>AUTOMEHANIKA D.D., OIB: 5223317126</v>
      </c>
      <c r="I999" s="1" t="s">
        <v>343</v>
      </c>
      <c r="J999" s="1" t="s">
        <v>303</v>
      </c>
      <c r="K999" s="6" t="str">
        <f>"2.101,25"</f>
        <v>2.101,25</v>
      </c>
      <c r="L999" s="6" t="str">
        <f>"525,31"</f>
        <v>525,31</v>
      </c>
      <c r="M999" s="6" t="str">
        <f>"2.626,56"</f>
        <v>2.626,56</v>
      </c>
      <c r="N999" s="5">
        <v>43593</v>
      </c>
      <c r="O999" s="7"/>
      <c r="P999" s="6" t="str">
        <f>"2.626,56"</f>
        <v>2.626,56</v>
      </c>
      <c r="Q999" s="7"/>
      <c r="R999" s="1"/>
      <c r="S999" s="1" t="str">
        <f>"10-19/NOS-108-B/17"</f>
        <v>10-19/NOS-108-B/17</v>
      </c>
      <c r="T999" s="2" t="s">
        <v>29</v>
      </c>
    </row>
    <row r="1000" spans="1:20" ht="38.25" x14ac:dyDescent="0.25">
      <c r="A1000" s="1">
        <v>996</v>
      </c>
      <c r="B1000" s="1" t="str">
        <f t="shared" si="98"/>
        <v>2017-380</v>
      </c>
      <c r="C1000" s="2" t="s">
        <v>809</v>
      </c>
      <c r="D1000" s="1" t="s">
        <v>170</v>
      </c>
      <c r="E1000" s="3" t="str">
        <f>""</f>
        <v/>
      </c>
      <c r="F1000" s="2" t="s">
        <v>27</v>
      </c>
      <c r="G1000" s="2" t="str">
        <f t="shared" si="99"/>
        <v>AUTOMEHANIKA D.D., KOVINSKA 4, 10000 ZAGREB, OIB: 5223317126</v>
      </c>
      <c r="H1000" s="1" t="str">
        <f t="shared" si="100"/>
        <v>AUTOMEHANIKA D.D., OIB: 5223317126</v>
      </c>
      <c r="I1000" s="1" t="s">
        <v>343</v>
      </c>
      <c r="J1000" s="1" t="s">
        <v>303</v>
      </c>
      <c r="K1000" s="6" t="str">
        <f>"1.371,98"</f>
        <v>1.371,98</v>
      </c>
      <c r="L1000" s="6" t="str">
        <f>"343,00"</f>
        <v>343,00</v>
      </c>
      <c r="M1000" s="6" t="str">
        <f>"1.714,98"</f>
        <v>1.714,98</v>
      </c>
      <c r="N1000" s="5">
        <v>43646</v>
      </c>
      <c r="O1000" s="7"/>
      <c r="P1000" s="6" t="str">
        <f>"1.714,98"</f>
        <v>1.714,98</v>
      </c>
      <c r="Q1000" s="7"/>
      <c r="R1000" s="1"/>
      <c r="S1000" s="1" t="str">
        <f>"11-19/NOS-108-B/17"</f>
        <v>11-19/NOS-108-B/17</v>
      </c>
      <c r="T1000" s="2" t="s">
        <v>29</v>
      </c>
    </row>
    <row r="1001" spans="1:20" ht="38.25" x14ac:dyDescent="0.25">
      <c r="A1001" s="1">
        <v>997</v>
      </c>
      <c r="B1001" s="1" t="str">
        <f t="shared" si="98"/>
        <v>2017-380</v>
      </c>
      <c r="C1001" s="2" t="s">
        <v>809</v>
      </c>
      <c r="D1001" s="1" t="s">
        <v>170</v>
      </c>
      <c r="E1001" s="3" t="str">
        <f>""</f>
        <v/>
      </c>
      <c r="F1001" s="2" t="s">
        <v>27</v>
      </c>
      <c r="G1001" s="2" t="str">
        <f t="shared" si="99"/>
        <v>AUTOMEHANIKA D.D., KOVINSKA 4, 10000 ZAGREB, OIB: 5223317126</v>
      </c>
      <c r="H1001" s="1" t="str">
        <f t="shared" si="100"/>
        <v>AUTOMEHANIKA D.D., OIB: 5223317126</v>
      </c>
      <c r="I1001" s="1" t="s">
        <v>343</v>
      </c>
      <c r="J1001" s="1" t="s">
        <v>303</v>
      </c>
      <c r="K1001" s="6" t="str">
        <f>"964,48"</f>
        <v>964,48</v>
      </c>
      <c r="L1001" s="6" t="str">
        <f>"241,12"</f>
        <v>241,12</v>
      </c>
      <c r="M1001" s="6" t="str">
        <f>"1.205,60"</f>
        <v>1.205,60</v>
      </c>
      <c r="N1001" s="5">
        <v>43593</v>
      </c>
      <c r="O1001" s="7"/>
      <c r="P1001" s="6" t="str">
        <f>"1.205,60"</f>
        <v>1.205,60</v>
      </c>
      <c r="Q1001" s="7"/>
      <c r="R1001" s="1"/>
      <c r="S1001" s="1" t="str">
        <f>"12-19/NOS-108-B/17"</f>
        <v>12-19/NOS-108-B/17</v>
      </c>
      <c r="T1001" s="2" t="s">
        <v>29</v>
      </c>
    </row>
    <row r="1002" spans="1:20" ht="38.25" x14ac:dyDescent="0.25">
      <c r="A1002" s="1">
        <v>998</v>
      </c>
      <c r="B1002" s="1" t="str">
        <f t="shared" si="98"/>
        <v>2017-380</v>
      </c>
      <c r="C1002" s="2" t="s">
        <v>809</v>
      </c>
      <c r="D1002" s="1" t="s">
        <v>170</v>
      </c>
      <c r="E1002" s="3" t="str">
        <f>""</f>
        <v/>
      </c>
      <c r="F1002" s="2" t="s">
        <v>27</v>
      </c>
      <c r="G1002" s="2" t="str">
        <f t="shared" si="99"/>
        <v>AUTOMEHANIKA D.D., KOVINSKA 4, 10000 ZAGREB, OIB: 5223317126</v>
      </c>
      <c r="H1002" s="1" t="str">
        <f t="shared" si="100"/>
        <v>AUTOMEHANIKA D.D., OIB: 5223317126</v>
      </c>
      <c r="I1002" s="1" t="s">
        <v>343</v>
      </c>
      <c r="J1002" s="1" t="s">
        <v>303</v>
      </c>
      <c r="K1002" s="6" t="str">
        <f>"2.062,54"</f>
        <v>2.062,54</v>
      </c>
      <c r="L1002" s="6" t="str">
        <f>"515,63"</f>
        <v>515,63</v>
      </c>
      <c r="M1002" s="6" t="str">
        <f>"2.578,17"</f>
        <v>2.578,17</v>
      </c>
      <c r="N1002" s="5">
        <v>43593</v>
      </c>
      <c r="O1002" s="7"/>
      <c r="P1002" s="6" t="str">
        <f>"2.578,18"</f>
        <v>2.578,18</v>
      </c>
      <c r="Q1002" s="7"/>
      <c r="R1002" s="1"/>
      <c r="S1002" s="1" t="str">
        <f>"13-19/NOS-108-B/17"</f>
        <v>13-19/NOS-108-B/17</v>
      </c>
      <c r="T1002" s="2" t="s">
        <v>29</v>
      </c>
    </row>
    <row r="1003" spans="1:20" ht="38.25" x14ac:dyDescent="0.25">
      <c r="A1003" s="1">
        <v>999</v>
      </c>
      <c r="B1003" s="1" t="str">
        <f t="shared" si="98"/>
        <v>2017-380</v>
      </c>
      <c r="C1003" s="2" t="s">
        <v>809</v>
      </c>
      <c r="D1003" s="1" t="s">
        <v>170</v>
      </c>
      <c r="E1003" s="3" t="str">
        <f>""</f>
        <v/>
      </c>
      <c r="F1003" s="2" t="s">
        <v>27</v>
      </c>
      <c r="G1003" s="2" t="str">
        <f t="shared" si="99"/>
        <v>AUTOMEHANIKA D.D., KOVINSKA 4, 10000 ZAGREB, OIB: 5223317126</v>
      </c>
      <c r="H1003" s="1" t="str">
        <f t="shared" si="100"/>
        <v>AUTOMEHANIKA D.D., OIB: 5223317126</v>
      </c>
      <c r="I1003" s="1" t="s">
        <v>343</v>
      </c>
      <c r="J1003" s="1" t="s">
        <v>303</v>
      </c>
      <c r="K1003" s="6" t="str">
        <f>"1.950,00"</f>
        <v>1.950,00</v>
      </c>
      <c r="L1003" s="6" t="str">
        <f>"487,50"</f>
        <v>487,50</v>
      </c>
      <c r="M1003" s="6" t="str">
        <f>"2.437,50"</f>
        <v>2.437,50</v>
      </c>
      <c r="N1003" s="5">
        <v>43593</v>
      </c>
      <c r="O1003" s="7"/>
      <c r="P1003" s="6" t="str">
        <f>"2.437,50"</f>
        <v>2.437,50</v>
      </c>
      <c r="Q1003" s="7"/>
      <c r="R1003" s="1"/>
      <c r="S1003" s="1" t="str">
        <f>"14-19/NOS-108-B/17"</f>
        <v>14-19/NOS-108-B/17</v>
      </c>
      <c r="T1003" s="2" t="s">
        <v>29</v>
      </c>
    </row>
    <row r="1004" spans="1:20" ht="38.25" x14ac:dyDescent="0.25">
      <c r="A1004" s="1">
        <v>1000</v>
      </c>
      <c r="B1004" s="1" t="str">
        <f t="shared" si="98"/>
        <v>2017-380</v>
      </c>
      <c r="C1004" s="2" t="s">
        <v>809</v>
      </c>
      <c r="D1004" s="1" t="s">
        <v>170</v>
      </c>
      <c r="E1004" s="3" t="str">
        <f>""</f>
        <v/>
      </c>
      <c r="F1004" s="2" t="s">
        <v>27</v>
      </c>
      <c r="G1004" s="2" t="str">
        <f t="shared" si="99"/>
        <v>AUTOMEHANIKA D.D., KOVINSKA 4, 10000 ZAGREB, OIB: 5223317126</v>
      </c>
      <c r="H1004" s="1" t="str">
        <f t="shared" si="100"/>
        <v>AUTOMEHANIKA D.D., OIB: 5223317126</v>
      </c>
      <c r="I1004" s="1" t="s">
        <v>343</v>
      </c>
      <c r="J1004" s="1" t="s">
        <v>303</v>
      </c>
      <c r="K1004" s="6" t="str">
        <f>"1.800,62"</f>
        <v>1.800,62</v>
      </c>
      <c r="L1004" s="6" t="str">
        <f>"450,15"</f>
        <v>450,15</v>
      </c>
      <c r="M1004" s="6" t="str">
        <f>"2.250,77"</f>
        <v>2.250,77</v>
      </c>
      <c r="N1004" s="5">
        <v>43593</v>
      </c>
      <c r="O1004" s="7"/>
      <c r="P1004" s="6" t="str">
        <f>"2.250,78"</f>
        <v>2.250,78</v>
      </c>
      <c r="Q1004" s="7"/>
      <c r="R1004" s="1"/>
      <c r="S1004" s="1" t="str">
        <f>"15-19/NOS-108-B/17"</f>
        <v>15-19/NOS-108-B/17</v>
      </c>
      <c r="T1004" s="2" t="s">
        <v>29</v>
      </c>
    </row>
    <row r="1005" spans="1:20" ht="38.25" x14ac:dyDescent="0.25">
      <c r="A1005" s="1">
        <v>1001</v>
      </c>
      <c r="B1005" s="1" t="str">
        <f t="shared" si="98"/>
        <v>2017-380</v>
      </c>
      <c r="C1005" s="2" t="s">
        <v>809</v>
      </c>
      <c r="D1005" s="1" t="s">
        <v>170</v>
      </c>
      <c r="E1005" s="3" t="str">
        <f>""</f>
        <v/>
      </c>
      <c r="F1005" s="2" t="s">
        <v>27</v>
      </c>
      <c r="G1005" s="2" t="str">
        <f t="shared" si="99"/>
        <v>AUTOMEHANIKA D.D., KOVINSKA 4, 10000 ZAGREB, OIB: 5223317126</v>
      </c>
      <c r="H1005" s="1" t="str">
        <f t="shared" si="100"/>
        <v>AUTOMEHANIKA D.D., OIB: 5223317126</v>
      </c>
      <c r="I1005" s="1" t="s">
        <v>343</v>
      </c>
      <c r="J1005" s="1" t="s">
        <v>303</v>
      </c>
      <c r="K1005" s="6" t="str">
        <f>"2.006,14"</f>
        <v>2.006,14</v>
      </c>
      <c r="L1005" s="6" t="str">
        <f>"0,00"</f>
        <v>0,00</v>
      </c>
      <c r="M1005" s="6" t="str">
        <f>"0,00"</f>
        <v>0,00</v>
      </c>
      <c r="N1005" s="1" t="s">
        <v>117</v>
      </c>
      <c r="O1005" s="7"/>
      <c r="P1005" s="6" t="str">
        <f>"0,00"</f>
        <v>0,00</v>
      </c>
      <c r="Q1005" s="7"/>
      <c r="R1005" s="1"/>
      <c r="S1005" s="1" t="str">
        <f>"16-19/NOS-108-B/17"</f>
        <v>16-19/NOS-108-B/17</v>
      </c>
      <c r="T1005" s="2" t="s">
        <v>29</v>
      </c>
    </row>
    <row r="1006" spans="1:20" ht="38.25" x14ac:dyDescent="0.25">
      <c r="A1006" s="1">
        <v>1002</v>
      </c>
      <c r="B1006" s="1" t="str">
        <f t="shared" si="98"/>
        <v>2017-380</v>
      </c>
      <c r="C1006" s="2" t="s">
        <v>809</v>
      </c>
      <c r="D1006" s="1" t="s">
        <v>170</v>
      </c>
      <c r="E1006" s="3" t="str">
        <f>""</f>
        <v/>
      </c>
      <c r="F1006" s="2" t="s">
        <v>27</v>
      </c>
      <c r="G1006" s="2" t="str">
        <f t="shared" si="99"/>
        <v>AUTOMEHANIKA D.D., KOVINSKA 4, 10000 ZAGREB, OIB: 5223317126</v>
      </c>
      <c r="H1006" s="1" t="str">
        <f t="shared" si="100"/>
        <v>AUTOMEHANIKA D.D., OIB: 5223317126</v>
      </c>
      <c r="I1006" s="1" t="s">
        <v>322</v>
      </c>
      <c r="J1006" s="1" t="s">
        <v>303</v>
      </c>
      <c r="K1006" s="6" t="str">
        <f>"1.889,58"</f>
        <v>1.889,58</v>
      </c>
      <c r="L1006" s="6" t="str">
        <f>"472,40"</f>
        <v>472,40</v>
      </c>
      <c r="M1006" s="6" t="str">
        <f>"2.361,98"</f>
        <v>2.361,98</v>
      </c>
      <c r="N1006" s="5">
        <v>43622</v>
      </c>
      <c r="O1006" s="7"/>
      <c r="P1006" s="6" t="str">
        <f>"2.361,98"</f>
        <v>2.361,98</v>
      </c>
      <c r="Q1006" s="7"/>
      <c r="R1006" s="1"/>
      <c r="S1006" s="1" t="str">
        <f>"17-19/NOS-108-B/17"</f>
        <v>17-19/NOS-108-B/17</v>
      </c>
      <c r="T1006" s="2" t="s">
        <v>33</v>
      </c>
    </row>
    <row r="1007" spans="1:20" ht="38.25" x14ac:dyDescent="0.25">
      <c r="A1007" s="1">
        <v>1003</v>
      </c>
      <c r="B1007" s="1" t="str">
        <f t="shared" si="98"/>
        <v>2017-380</v>
      </c>
      <c r="C1007" s="2" t="s">
        <v>809</v>
      </c>
      <c r="D1007" s="1" t="s">
        <v>170</v>
      </c>
      <c r="E1007" s="3" t="str">
        <f>""</f>
        <v/>
      </c>
      <c r="F1007" s="2" t="s">
        <v>27</v>
      </c>
      <c r="G1007" s="2" t="str">
        <f t="shared" si="99"/>
        <v>AUTOMEHANIKA D.D., KOVINSKA 4, 10000 ZAGREB, OIB: 5223317126</v>
      </c>
      <c r="H1007" s="1" t="str">
        <f t="shared" si="100"/>
        <v>AUTOMEHANIKA D.D., OIB: 5223317126</v>
      </c>
      <c r="I1007" s="1" t="s">
        <v>30</v>
      </c>
      <c r="J1007" s="1" t="s">
        <v>303</v>
      </c>
      <c r="K1007" s="6" t="str">
        <f>"2.258,42"</f>
        <v>2.258,42</v>
      </c>
      <c r="L1007" s="6" t="str">
        <f>"564,61"</f>
        <v>564,61</v>
      </c>
      <c r="M1007" s="6" t="str">
        <f>"2.823,03"</f>
        <v>2.823,03</v>
      </c>
      <c r="N1007" s="5">
        <v>43593</v>
      </c>
      <c r="O1007" s="7"/>
      <c r="P1007" s="6" t="str">
        <f>"2.823,02"</f>
        <v>2.823,02</v>
      </c>
      <c r="Q1007" s="7"/>
      <c r="R1007" s="1"/>
      <c r="S1007" s="1" t="str">
        <f>"18-19/NOS-108-B/17"</f>
        <v>18-19/NOS-108-B/17</v>
      </c>
      <c r="T1007" s="2" t="s">
        <v>29</v>
      </c>
    </row>
    <row r="1008" spans="1:20" ht="38.25" x14ac:dyDescent="0.25">
      <c r="A1008" s="1">
        <v>1004</v>
      </c>
      <c r="B1008" s="1" t="str">
        <f t="shared" si="98"/>
        <v>2017-380</v>
      </c>
      <c r="C1008" s="2" t="s">
        <v>809</v>
      </c>
      <c r="D1008" s="1" t="s">
        <v>170</v>
      </c>
      <c r="E1008" s="3" t="str">
        <f>""</f>
        <v/>
      </c>
      <c r="F1008" s="2" t="s">
        <v>27</v>
      </c>
      <c r="G1008" s="2" t="str">
        <f t="shared" si="99"/>
        <v>AUTOMEHANIKA D.D., KOVINSKA 4, 10000 ZAGREB, OIB: 5223317126</v>
      </c>
      <c r="H1008" s="1" t="str">
        <f t="shared" si="100"/>
        <v>AUTOMEHANIKA D.D., OIB: 5223317126</v>
      </c>
      <c r="I1008" s="1" t="s">
        <v>344</v>
      </c>
      <c r="J1008" s="1" t="s">
        <v>303</v>
      </c>
      <c r="K1008" s="6" t="str">
        <f>"15.335,96"</f>
        <v>15.335,96</v>
      </c>
      <c r="L1008" s="6" t="str">
        <f>"3.833,98"</f>
        <v>3.833,98</v>
      </c>
      <c r="M1008" s="6" t="str">
        <f>"19.169,90"</f>
        <v>19.169,90</v>
      </c>
      <c r="N1008" s="5">
        <v>43574</v>
      </c>
      <c r="O1008" s="7"/>
      <c r="P1008" s="6" t="str">
        <f>"19.169,90"</f>
        <v>19.169,90</v>
      </c>
      <c r="Q1008" s="7"/>
      <c r="R1008" s="1"/>
      <c r="S1008" s="1" t="str">
        <f>"19-19/NOS-108-B/17"</f>
        <v>19-19/NOS-108-B/17</v>
      </c>
      <c r="T1008" s="2" t="s">
        <v>33</v>
      </c>
    </row>
    <row r="1009" spans="1:20" ht="38.25" x14ac:dyDescent="0.25">
      <c r="A1009" s="1">
        <v>1005</v>
      </c>
      <c r="B1009" s="1" t="str">
        <f t="shared" si="98"/>
        <v>2017-380</v>
      </c>
      <c r="C1009" s="2" t="s">
        <v>809</v>
      </c>
      <c r="D1009" s="1" t="s">
        <v>170</v>
      </c>
      <c r="E1009" s="3" t="str">
        <f>""</f>
        <v/>
      </c>
      <c r="F1009" s="2" t="s">
        <v>27</v>
      </c>
      <c r="G1009" s="2" t="str">
        <f t="shared" si="99"/>
        <v>AUTOMEHANIKA D.D., KOVINSKA 4, 10000 ZAGREB, OIB: 5223317126</v>
      </c>
      <c r="H1009" s="1" t="str">
        <f t="shared" si="100"/>
        <v>AUTOMEHANIKA D.D., OIB: 5223317126</v>
      </c>
      <c r="I1009" s="1" t="s">
        <v>266</v>
      </c>
      <c r="J1009" s="1" t="s">
        <v>303</v>
      </c>
      <c r="K1009" s="6" t="str">
        <f>"2.715,71"</f>
        <v>2.715,71</v>
      </c>
      <c r="L1009" s="6" t="str">
        <f>"678,93"</f>
        <v>678,93</v>
      </c>
      <c r="M1009" s="6" t="str">
        <f>"3.394,64"</f>
        <v>3.394,64</v>
      </c>
      <c r="N1009" s="5">
        <v>43617</v>
      </c>
      <c r="O1009" s="7"/>
      <c r="P1009" s="6" t="str">
        <f>"3.394,64"</f>
        <v>3.394,64</v>
      </c>
      <c r="Q1009" s="7"/>
      <c r="R1009" s="1"/>
      <c r="S1009" s="1" t="str">
        <f>"20-19/NOS-108-B/17"</f>
        <v>20-19/NOS-108-B/17</v>
      </c>
      <c r="T1009" s="2" t="s">
        <v>33</v>
      </c>
    </row>
    <row r="1010" spans="1:20" ht="38.25" x14ac:dyDescent="0.25">
      <c r="A1010" s="1">
        <v>1006</v>
      </c>
      <c r="B1010" s="1" t="str">
        <f t="shared" si="98"/>
        <v>2017-380</v>
      </c>
      <c r="C1010" s="2" t="s">
        <v>809</v>
      </c>
      <c r="D1010" s="1" t="s">
        <v>170</v>
      </c>
      <c r="E1010" s="3" t="str">
        <f>""</f>
        <v/>
      </c>
      <c r="F1010" s="2" t="s">
        <v>27</v>
      </c>
      <c r="G1010" s="2" t="str">
        <f t="shared" si="99"/>
        <v>AUTOMEHANIKA D.D., KOVINSKA 4, 10000 ZAGREB, OIB: 5223317126</v>
      </c>
      <c r="H1010" s="1" t="str">
        <f t="shared" si="100"/>
        <v>AUTOMEHANIKA D.D., OIB: 5223317126</v>
      </c>
      <c r="I1010" s="1" t="s">
        <v>266</v>
      </c>
      <c r="J1010" s="1" t="s">
        <v>303</v>
      </c>
      <c r="K1010" s="6" t="str">
        <f>"10.842,16"</f>
        <v>10.842,16</v>
      </c>
      <c r="L1010" s="6" t="str">
        <f>"2.710,54"</f>
        <v>2.710,54</v>
      </c>
      <c r="M1010" s="6" t="str">
        <f>"13.552,70"</f>
        <v>13.552,70</v>
      </c>
      <c r="N1010" s="5">
        <v>43622</v>
      </c>
      <c r="O1010" s="7"/>
      <c r="P1010" s="6" t="str">
        <f>"13.552,70"</f>
        <v>13.552,70</v>
      </c>
      <c r="Q1010" s="7"/>
      <c r="R1010" s="1"/>
      <c r="S1010" s="1" t="str">
        <f>"21-19/NOS-108-B/17"</f>
        <v>21-19/NOS-108-B/17</v>
      </c>
      <c r="T1010" s="2" t="s">
        <v>33</v>
      </c>
    </row>
    <row r="1011" spans="1:20" ht="38.25" x14ac:dyDescent="0.25">
      <c r="A1011" s="1">
        <v>1007</v>
      </c>
      <c r="B1011" s="1" t="str">
        <f t="shared" si="98"/>
        <v>2017-380</v>
      </c>
      <c r="C1011" s="2" t="s">
        <v>809</v>
      </c>
      <c r="D1011" s="1" t="s">
        <v>170</v>
      </c>
      <c r="E1011" s="3" t="str">
        <f>""</f>
        <v/>
      </c>
      <c r="F1011" s="2" t="s">
        <v>27</v>
      </c>
      <c r="G1011" s="2" t="str">
        <f t="shared" si="99"/>
        <v>AUTOMEHANIKA D.D., KOVINSKA 4, 10000 ZAGREB, OIB: 5223317126</v>
      </c>
      <c r="H1011" s="1" t="str">
        <f t="shared" si="100"/>
        <v>AUTOMEHANIKA D.D., OIB: 5223317126</v>
      </c>
      <c r="I1011" s="1" t="s">
        <v>344</v>
      </c>
      <c r="J1011" s="1" t="s">
        <v>303</v>
      </c>
      <c r="K1011" s="6" t="str">
        <f>"3.593,83"</f>
        <v>3.593,83</v>
      </c>
      <c r="L1011" s="6" t="str">
        <f>"898,46"</f>
        <v>898,46</v>
      </c>
      <c r="M1011" s="6" t="str">
        <f>"4.492,29"</f>
        <v>4.492,29</v>
      </c>
      <c r="N1011" s="5">
        <v>43615</v>
      </c>
      <c r="O1011" s="7"/>
      <c r="P1011" s="6" t="str">
        <f>"4.492,29"</f>
        <v>4.492,29</v>
      </c>
      <c r="Q1011" s="7"/>
      <c r="R1011" s="1"/>
      <c r="S1011" s="1" t="str">
        <f>"22-19/NOS-108-B/17"</f>
        <v>22-19/NOS-108-B/17</v>
      </c>
      <c r="T1011" s="2" t="s">
        <v>33</v>
      </c>
    </row>
    <row r="1012" spans="1:20" ht="38.25" x14ac:dyDescent="0.25">
      <c r="A1012" s="1">
        <v>1008</v>
      </c>
      <c r="B1012" s="1" t="str">
        <f t="shared" si="98"/>
        <v>2017-380</v>
      </c>
      <c r="C1012" s="2" t="s">
        <v>809</v>
      </c>
      <c r="D1012" s="1" t="s">
        <v>170</v>
      </c>
      <c r="E1012" s="3" t="str">
        <f>""</f>
        <v/>
      </c>
      <c r="F1012" s="2" t="s">
        <v>27</v>
      </c>
      <c r="G1012" s="2" t="str">
        <f t="shared" si="99"/>
        <v>AUTOMEHANIKA D.D., KOVINSKA 4, 10000 ZAGREB, OIB: 5223317126</v>
      </c>
      <c r="H1012" s="1" t="str">
        <f t="shared" si="100"/>
        <v>AUTOMEHANIKA D.D., OIB: 5223317126</v>
      </c>
      <c r="I1012" s="1" t="s">
        <v>344</v>
      </c>
      <c r="J1012" s="1" t="s">
        <v>303</v>
      </c>
      <c r="K1012" s="6" t="str">
        <f>"4.485,11"</f>
        <v>4.485,11</v>
      </c>
      <c r="L1012" s="6" t="str">
        <f>"1.121,28"</f>
        <v>1.121,28</v>
      </c>
      <c r="M1012" s="6" t="str">
        <f>"5.606,39"</f>
        <v>5.606,39</v>
      </c>
      <c r="N1012" s="5">
        <v>43614</v>
      </c>
      <c r="O1012" s="7"/>
      <c r="P1012" s="6" t="str">
        <f>"5.606,39"</f>
        <v>5.606,39</v>
      </c>
      <c r="Q1012" s="7"/>
      <c r="R1012" s="1"/>
      <c r="S1012" s="1" t="str">
        <f>"23-19/NOS-108-B/17"</f>
        <v>23-19/NOS-108-B/17</v>
      </c>
      <c r="T1012" s="2" t="s">
        <v>33</v>
      </c>
    </row>
    <row r="1013" spans="1:20" ht="38.25" x14ac:dyDescent="0.25">
      <c r="A1013" s="1">
        <v>1009</v>
      </c>
      <c r="B1013" s="1" t="str">
        <f t="shared" si="98"/>
        <v>2017-380</v>
      </c>
      <c r="C1013" s="2" t="s">
        <v>809</v>
      </c>
      <c r="D1013" s="1" t="s">
        <v>170</v>
      </c>
      <c r="E1013" s="3" t="str">
        <f>""</f>
        <v/>
      </c>
      <c r="F1013" s="2" t="s">
        <v>27</v>
      </c>
      <c r="G1013" s="2" t="str">
        <f t="shared" si="99"/>
        <v>AUTOMEHANIKA D.D., KOVINSKA 4, 10000 ZAGREB, OIB: 5223317126</v>
      </c>
      <c r="H1013" s="1" t="str">
        <f t="shared" si="100"/>
        <v>AUTOMEHANIKA D.D., OIB: 5223317126</v>
      </c>
      <c r="I1013" s="1" t="s">
        <v>318</v>
      </c>
      <c r="J1013" s="1" t="s">
        <v>303</v>
      </c>
      <c r="K1013" s="6" t="str">
        <f>"2.832,06"</f>
        <v>2.832,06</v>
      </c>
      <c r="L1013" s="6" t="str">
        <f>"708,02"</f>
        <v>708,02</v>
      </c>
      <c r="M1013" s="6" t="str">
        <f>"3.540,08"</f>
        <v>3.540,08</v>
      </c>
      <c r="N1013" s="5">
        <v>43614</v>
      </c>
      <c r="O1013" s="7"/>
      <c r="P1013" s="6" t="str">
        <f>"3.540,08"</f>
        <v>3.540,08</v>
      </c>
      <c r="Q1013" s="7"/>
      <c r="R1013" s="1"/>
      <c r="S1013" s="1" t="str">
        <f>"24-19/NOS-108-B/17"</f>
        <v>24-19/NOS-108-B/17</v>
      </c>
      <c r="T1013" s="2" t="s">
        <v>33</v>
      </c>
    </row>
    <row r="1014" spans="1:20" ht="38.25" x14ac:dyDescent="0.25">
      <c r="A1014" s="1">
        <v>1010</v>
      </c>
      <c r="B1014" s="1" t="str">
        <f t="shared" si="98"/>
        <v>2017-380</v>
      </c>
      <c r="C1014" s="2" t="s">
        <v>809</v>
      </c>
      <c r="D1014" s="1" t="s">
        <v>170</v>
      </c>
      <c r="E1014" s="3" t="str">
        <f>""</f>
        <v/>
      </c>
      <c r="F1014" s="2" t="s">
        <v>27</v>
      </c>
      <c r="G1014" s="2" t="str">
        <f t="shared" si="99"/>
        <v>AUTOMEHANIKA D.D., KOVINSKA 4, 10000 ZAGREB, OIB: 5223317126</v>
      </c>
      <c r="H1014" s="1" t="str">
        <f t="shared" si="100"/>
        <v>AUTOMEHANIKA D.D., OIB: 5223317126</v>
      </c>
      <c r="I1014" s="1" t="s">
        <v>318</v>
      </c>
      <c r="J1014" s="1" t="s">
        <v>303</v>
      </c>
      <c r="K1014" s="6" t="str">
        <f>"359,84"</f>
        <v>359,84</v>
      </c>
      <c r="L1014" s="6" t="str">
        <f>"0,00"</f>
        <v>0,00</v>
      </c>
      <c r="M1014" s="6" t="str">
        <f>"0,00"</f>
        <v>0,00</v>
      </c>
      <c r="N1014" s="1" t="s">
        <v>117</v>
      </c>
      <c r="O1014" s="7"/>
      <c r="P1014" s="6" t="str">
        <f>"0,00"</f>
        <v>0,00</v>
      </c>
      <c r="Q1014" s="7"/>
      <c r="R1014" s="1"/>
      <c r="S1014" s="1" t="str">
        <f>"25-19/NOS-108-B/17"</f>
        <v>25-19/NOS-108-B/17</v>
      </c>
      <c r="T1014" s="2" t="s">
        <v>29</v>
      </c>
    </row>
    <row r="1015" spans="1:20" ht="38.25" x14ac:dyDescent="0.25">
      <c r="A1015" s="1">
        <v>1011</v>
      </c>
      <c r="B1015" s="1" t="str">
        <f t="shared" si="98"/>
        <v>2017-380</v>
      </c>
      <c r="C1015" s="2" t="s">
        <v>809</v>
      </c>
      <c r="D1015" s="1" t="s">
        <v>170</v>
      </c>
      <c r="E1015" s="3" t="str">
        <f>""</f>
        <v/>
      </c>
      <c r="F1015" s="2" t="s">
        <v>27</v>
      </c>
      <c r="G1015" s="2" t="str">
        <f t="shared" si="99"/>
        <v>AUTOMEHANIKA D.D., KOVINSKA 4, 10000 ZAGREB, OIB: 5223317126</v>
      </c>
      <c r="H1015" s="1" t="str">
        <f t="shared" si="100"/>
        <v>AUTOMEHANIKA D.D., OIB: 5223317126</v>
      </c>
      <c r="I1015" s="1" t="s">
        <v>318</v>
      </c>
      <c r="J1015" s="1" t="s">
        <v>303</v>
      </c>
      <c r="K1015" s="6" t="str">
        <f>"1.556,56"</f>
        <v>1.556,56</v>
      </c>
      <c r="L1015" s="6" t="str">
        <f>"389,14"</f>
        <v>389,14</v>
      </c>
      <c r="M1015" s="6" t="str">
        <f>"1.945,70"</f>
        <v>1.945,70</v>
      </c>
      <c r="N1015" s="5">
        <v>43612</v>
      </c>
      <c r="O1015" s="7"/>
      <c r="P1015" s="6" t="str">
        <f>"1.945,70"</f>
        <v>1.945,70</v>
      </c>
      <c r="Q1015" s="7"/>
      <c r="R1015" s="1"/>
      <c r="S1015" s="1" t="str">
        <f>"26-19/NOS-108-B/17"</f>
        <v>26-19/NOS-108-B/17</v>
      </c>
      <c r="T1015" s="2" t="s">
        <v>33</v>
      </c>
    </row>
    <row r="1016" spans="1:20" ht="38.25" x14ac:dyDescent="0.25">
      <c r="A1016" s="1">
        <v>1012</v>
      </c>
      <c r="B1016" s="1" t="str">
        <f t="shared" si="98"/>
        <v>2017-380</v>
      </c>
      <c r="C1016" s="2" t="s">
        <v>809</v>
      </c>
      <c r="D1016" s="1" t="s">
        <v>170</v>
      </c>
      <c r="E1016" s="3" t="str">
        <f>""</f>
        <v/>
      </c>
      <c r="F1016" s="2" t="s">
        <v>27</v>
      </c>
      <c r="G1016" s="2" t="str">
        <f t="shared" si="99"/>
        <v>AUTOMEHANIKA D.D., KOVINSKA 4, 10000 ZAGREB, OIB: 5223317126</v>
      </c>
      <c r="H1016" s="1" t="str">
        <f t="shared" si="100"/>
        <v>AUTOMEHANIKA D.D., OIB: 5223317126</v>
      </c>
      <c r="I1016" s="1" t="s">
        <v>446</v>
      </c>
      <c r="J1016" s="1" t="s">
        <v>303</v>
      </c>
      <c r="K1016" s="6" t="str">
        <f>"3.700,12"</f>
        <v>3.700,12</v>
      </c>
      <c r="L1016" s="6" t="str">
        <f>"925,03"</f>
        <v>925,03</v>
      </c>
      <c r="M1016" s="6" t="str">
        <f>"4.625,15"</f>
        <v>4.625,15</v>
      </c>
      <c r="N1016" s="5">
        <v>43594</v>
      </c>
      <c r="O1016" s="7"/>
      <c r="P1016" s="6" t="str">
        <f>"4.625,15"</f>
        <v>4.625,15</v>
      </c>
      <c r="Q1016" s="7"/>
      <c r="R1016" s="1"/>
      <c r="S1016" s="1" t="str">
        <f>"27-19/NOS-108-B/17"</f>
        <v>27-19/NOS-108-B/17</v>
      </c>
      <c r="T1016" s="2" t="s">
        <v>29</v>
      </c>
    </row>
    <row r="1017" spans="1:20" ht="38.25" x14ac:dyDescent="0.25">
      <c r="A1017" s="1">
        <v>1013</v>
      </c>
      <c r="B1017" s="1" t="str">
        <f t="shared" si="98"/>
        <v>2017-380</v>
      </c>
      <c r="C1017" s="2" t="s">
        <v>809</v>
      </c>
      <c r="D1017" s="1" t="s">
        <v>170</v>
      </c>
      <c r="E1017" s="3" t="str">
        <f>""</f>
        <v/>
      </c>
      <c r="F1017" s="2" t="s">
        <v>27</v>
      </c>
      <c r="G1017" s="2" t="str">
        <f t="shared" si="99"/>
        <v>AUTOMEHANIKA D.D., KOVINSKA 4, 10000 ZAGREB, OIB: 5223317126</v>
      </c>
      <c r="H1017" s="1" t="str">
        <f t="shared" si="100"/>
        <v>AUTOMEHANIKA D.D., OIB: 5223317126</v>
      </c>
      <c r="I1017" s="1" t="s">
        <v>446</v>
      </c>
      <c r="J1017" s="1" t="s">
        <v>303</v>
      </c>
      <c r="K1017" s="6" t="str">
        <f>"3.056,86"</f>
        <v>3.056,86</v>
      </c>
      <c r="L1017" s="6" t="str">
        <f>"764,22"</f>
        <v>764,22</v>
      </c>
      <c r="M1017" s="6" t="str">
        <f>"3.821,08"</f>
        <v>3.821,08</v>
      </c>
      <c r="N1017" s="5">
        <v>43628</v>
      </c>
      <c r="O1017" s="7"/>
      <c r="P1017" s="6" t="str">
        <f>"3.821,08"</f>
        <v>3.821,08</v>
      </c>
      <c r="Q1017" s="7"/>
      <c r="R1017" s="1"/>
      <c r="S1017" s="1" t="str">
        <f>"28-19/NOS-108-B/17"</f>
        <v>28-19/NOS-108-B/17</v>
      </c>
      <c r="T1017" s="2" t="s">
        <v>29</v>
      </c>
    </row>
    <row r="1018" spans="1:20" ht="38.25" x14ac:dyDescent="0.25">
      <c r="A1018" s="1">
        <v>1014</v>
      </c>
      <c r="B1018" s="1" t="str">
        <f t="shared" si="98"/>
        <v>2017-380</v>
      </c>
      <c r="C1018" s="2" t="s">
        <v>809</v>
      </c>
      <c r="D1018" s="1" t="s">
        <v>170</v>
      </c>
      <c r="E1018" s="3" t="str">
        <f>""</f>
        <v/>
      </c>
      <c r="F1018" s="2" t="s">
        <v>27</v>
      </c>
      <c r="G1018" s="2" t="str">
        <f t="shared" si="99"/>
        <v>AUTOMEHANIKA D.D., KOVINSKA 4, 10000 ZAGREB, OIB: 5223317126</v>
      </c>
      <c r="H1018" s="1" t="str">
        <f t="shared" si="100"/>
        <v>AUTOMEHANIKA D.D., OIB: 5223317126</v>
      </c>
      <c r="I1018" s="1" t="s">
        <v>332</v>
      </c>
      <c r="J1018" s="1" t="s">
        <v>303</v>
      </c>
      <c r="K1018" s="6" t="str">
        <f>"2.185,30"</f>
        <v>2.185,30</v>
      </c>
      <c r="L1018" s="6" t="str">
        <f>"546,32"</f>
        <v>546,32</v>
      </c>
      <c r="M1018" s="6" t="str">
        <f>"2.731,62"</f>
        <v>2.731,62</v>
      </c>
      <c r="N1018" s="5">
        <v>43619</v>
      </c>
      <c r="O1018" s="7"/>
      <c r="P1018" s="6" t="str">
        <f>"2.731,62"</f>
        <v>2.731,62</v>
      </c>
      <c r="Q1018" s="7"/>
      <c r="R1018" s="1"/>
      <c r="S1018" s="1" t="str">
        <f>"29-19/NOS-108-B/17"</f>
        <v>29-19/NOS-108-B/17</v>
      </c>
      <c r="T1018" s="2" t="s">
        <v>33</v>
      </c>
    </row>
    <row r="1019" spans="1:20" ht="38.25" x14ac:dyDescent="0.25">
      <c r="A1019" s="1">
        <v>1015</v>
      </c>
      <c r="B1019" s="1" t="str">
        <f t="shared" si="98"/>
        <v>2017-380</v>
      </c>
      <c r="C1019" s="2" t="s">
        <v>809</v>
      </c>
      <c r="D1019" s="1" t="s">
        <v>170</v>
      </c>
      <c r="E1019" s="3" t="str">
        <f>""</f>
        <v/>
      </c>
      <c r="F1019" s="2" t="s">
        <v>27</v>
      </c>
      <c r="G1019" s="2" t="str">
        <f t="shared" si="99"/>
        <v>AUTOMEHANIKA D.D., KOVINSKA 4, 10000 ZAGREB, OIB: 5223317126</v>
      </c>
      <c r="H1019" s="1" t="str">
        <f t="shared" si="100"/>
        <v>AUTOMEHANIKA D.D., OIB: 5223317126</v>
      </c>
      <c r="I1019" s="1" t="s">
        <v>521</v>
      </c>
      <c r="J1019" s="1" t="s">
        <v>303</v>
      </c>
      <c r="K1019" s="6" t="str">
        <f>"21.497,50"</f>
        <v>21.497,50</v>
      </c>
      <c r="L1019" s="6" t="str">
        <f>"5.374,38"</f>
        <v>5.374,38</v>
      </c>
      <c r="M1019" s="6" t="str">
        <f>"26.871,88"</f>
        <v>26.871,88</v>
      </c>
      <c r="N1019" s="5">
        <v>43621</v>
      </c>
      <c r="O1019" s="7"/>
      <c r="P1019" s="6" t="str">
        <f>"26.871,88"</f>
        <v>26.871,88</v>
      </c>
      <c r="Q1019" s="7"/>
      <c r="R1019" s="1"/>
      <c r="S1019" s="1" t="str">
        <f>"30-19/NOS-108-B/17"</f>
        <v>30-19/NOS-108-B/17</v>
      </c>
      <c r="T1019" s="2" t="s">
        <v>33</v>
      </c>
    </row>
    <row r="1020" spans="1:20" ht="38.25" x14ac:dyDescent="0.25">
      <c r="A1020" s="1">
        <v>1016</v>
      </c>
      <c r="B1020" s="1" t="str">
        <f t="shared" si="98"/>
        <v>2017-380</v>
      </c>
      <c r="C1020" s="2" t="s">
        <v>809</v>
      </c>
      <c r="D1020" s="1" t="s">
        <v>170</v>
      </c>
      <c r="E1020" s="3" t="str">
        <f>""</f>
        <v/>
      </c>
      <c r="F1020" s="2" t="s">
        <v>27</v>
      </c>
      <c r="G1020" s="2" t="str">
        <f t="shared" si="99"/>
        <v>AUTOMEHANIKA D.D., KOVINSKA 4, 10000 ZAGREB, OIB: 5223317126</v>
      </c>
      <c r="H1020" s="1" t="str">
        <f t="shared" si="100"/>
        <v>AUTOMEHANIKA D.D., OIB: 5223317126</v>
      </c>
      <c r="I1020" s="1" t="s">
        <v>480</v>
      </c>
      <c r="J1020" s="1" t="s">
        <v>303</v>
      </c>
      <c r="K1020" s="6" t="str">
        <f>"4.133,85"</f>
        <v>4.133,85</v>
      </c>
      <c r="L1020" s="6" t="str">
        <f>"1.033,46"</f>
        <v>1.033,46</v>
      </c>
      <c r="M1020" s="6" t="str">
        <f>"5.167,31"</f>
        <v>5.167,31</v>
      </c>
      <c r="N1020" s="5">
        <v>43593</v>
      </c>
      <c r="O1020" s="7"/>
      <c r="P1020" s="6" t="str">
        <f>"5.167,31"</f>
        <v>5.167,31</v>
      </c>
      <c r="Q1020" s="7"/>
      <c r="R1020" s="1"/>
      <c r="S1020" s="1" t="str">
        <f>"31-19/NOS-108-B/17"</f>
        <v>31-19/NOS-108-B/17</v>
      </c>
      <c r="T1020" s="2" t="s">
        <v>29</v>
      </c>
    </row>
    <row r="1021" spans="1:20" ht="38.25" x14ac:dyDescent="0.25">
      <c r="A1021" s="1">
        <v>1017</v>
      </c>
      <c r="B1021" s="1" t="str">
        <f t="shared" si="98"/>
        <v>2017-380</v>
      </c>
      <c r="C1021" s="2" t="s">
        <v>809</v>
      </c>
      <c r="D1021" s="1" t="s">
        <v>170</v>
      </c>
      <c r="E1021" s="3" t="str">
        <f>""</f>
        <v/>
      </c>
      <c r="F1021" s="2" t="s">
        <v>27</v>
      </c>
      <c r="G1021" s="2" t="str">
        <f t="shared" si="99"/>
        <v>AUTOMEHANIKA D.D., KOVINSKA 4, 10000 ZAGREB, OIB: 5223317126</v>
      </c>
      <c r="H1021" s="1" t="str">
        <f t="shared" si="100"/>
        <v>AUTOMEHANIKA D.D., OIB: 5223317126</v>
      </c>
      <c r="I1021" s="1" t="s">
        <v>480</v>
      </c>
      <c r="J1021" s="1" t="s">
        <v>303</v>
      </c>
      <c r="K1021" s="6" t="str">
        <f>"113,96"</f>
        <v>113,96</v>
      </c>
      <c r="L1021" s="6" t="str">
        <f>"28,49"</f>
        <v>28,49</v>
      </c>
      <c r="M1021" s="6" t="str">
        <f>"142,45"</f>
        <v>142,45</v>
      </c>
      <c r="N1021" s="5">
        <v>43581</v>
      </c>
      <c r="O1021" s="7"/>
      <c r="P1021" s="6" t="str">
        <f>"142,45"</f>
        <v>142,45</v>
      </c>
      <c r="Q1021" s="7"/>
      <c r="R1021" s="1"/>
      <c r="S1021" s="1" t="str">
        <f>"32-19/NOS-108-B/17"</f>
        <v>32-19/NOS-108-B/17</v>
      </c>
      <c r="T1021" s="2" t="s">
        <v>33</v>
      </c>
    </row>
    <row r="1022" spans="1:20" ht="38.25" x14ac:dyDescent="0.25">
      <c r="A1022" s="1">
        <v>1018</v>
      </c>
      <c r="B1022" s="1" t="str">
        <f t="shared" si="98"/>
        <v>2017-380</v>
      </c>
      <c r="C1022" s="2" t="s">
        <v>809</v>
      </c>
      <c r="D1022" s="1" t="s">
        <v>170</v>
      </c>
      <c r="E1022" s="3" t="str">
        <f>""</f>
        <v/>
      </c>
      <c r="F1022" s="2" t="s">
        <v>27</v>
      </c>
      <c r="G1022" s="2" t="str">
        <f t="shared" si="99"/>
        <v>AUTOMEHANIKA D.D., KOVINSKA 4, 10000 ZAGREB, OIB: 5223317126</v>
      </c>
      <c r="H1022" s="1" t="str">
        <f t="shared" si="100"/>
        <v>AUTOMEHANIKA D.D., OIB: 5223317126</v>
      </c>
      <c r="I1022" s="1" t="s">
        <v>311</v>
      </c>
      <c r="J1022" s="1" t="s">
        <v>303</v>
      </c>
      <c r="K1022" s="6" t="str">
        <f>"1.603,10"</f>
        <v>1.603,10</v>
      </c>
      <c r="L1022" s="6" t="str">
        <f>"400,78"</f>
        <v>400,78</v>
      </c>
      <c r="M1022" s="6" t="str">
        <f>"2.003,88"</f>
        <v>2.003,88</v>
      </c>
      <c r="N1022" s="5">
        <v>43588</v>
      </c>
      <c r="O1022" s="7"/>
      <c r="P1022" s="6" t="str">
        <f>"2.003,88"</f>
        <v>2.003,88</v>
      </c>
      <c r="Q1022" s="7"/>
      <c r="R1022" s="1"/>
      <c r="S1022" s="1" t="str">
        <f>"33-19/NOS-108-B/17"</f>
        <v>33-19/NOS-108-B/17</v>
      </c>
      <c r="T1022" s="2" t="s">
        <v>33</v>
      </c>
    </row>
    <row r="1023" spans="1:20" ht="38.25" x14ac:dyDescent="0.25">
      <c r="A1023" s="1">
        <v>1019</v>
      </c>
      <c r="B1023" s="1" t="str">
        <f t="shared" si="98"/>
        <v>2017-380</v>
      </c>
      <c r="C1023" s="2" t="s">
        <v>809</v>
      </c>
      <c r="D1023" s="1" t="s">
        <v>170</v>
      </c>
      <c r="E1023" s="3" t="str">
        <f>""</f>
        <v/>
      </c>
      <c r="F1023" s="2" t="s">
        <v>27</v>
      </c>
      <c r="G1023" s="2" t="str">
        <f t="shared" si="99"/>
        <v>AUTOMEHANIKA D.D., KOVINSKA 4, 10000 ZAGREB, OIB: 5223317126</v>
      </c>
      <c r="H1023" s="1" t="str">
        <f t="shared" si="100"/>
        <v>AUTOMEHANIKA D.D., OIB: 5223317126</v>
      </c>
      <c r="I1023" s="1" t="s">
        <v>551</v>
      </c>
      <c r="J1023" s="1" t="s">
        <v>303</v>
      </c>
      <c r="K1023" s="6" t="str">
        <f>"13.650,31"</f>
        <v>13.650,31</v>
      </c>
      <c r="L1023" s="6" t="str">
        <f>"3.412,58"</f>
        <v>3.412,58</v>
      </c>
      <c r="M1023" s="6" t="str">
        <f>"17.062,89"</f>
        <v>17.062,89</v>
      </c>
      <c r="N1023" s="5">
        <v>43614</v>
      </c>
      <c r="O1023" s="7"/>
      <c r="P1023" s="6" t="str">
        <f>"17.062,89"</f>
        <v>17.062,89</v>
      </c>
      <c r="Q1023" s="7"/>
      <c r="R1023" s="1"/>
      <c r="S1023" s="1" t="str">
        <f>"34-19/NOS-108-B/17"</f>
        <v>34-19/NOS-108-B/17</v>
      </c>
      <c r="T1023" s="2" t="s">
        <v>33</v>
      </c>
    </row>
    <row r="1024" spans="1:20" ht="38.25" x14ac:dyDescent="0.25">
      <c r="A1024" s="1">
        <v>1020</v>
      </c>
      <c r="B1024" s="1" t="str">
        <f t="shared" si="98"/>
        <v>2017-380</v>
      </c>
      <c r="C1024" s="2" t="s">
        <v>809</v>
      </c>
      <c r="D1024" s="1" t="s">
        <v>170</v>
      </c>
      <c r="E1024" s="3" t="str">
        <f>""</f>
        <v/>
      </c>
      <c r="F1024" s="2" t="s">
        <v>27</v>
      </c>
      <c r="G1024" s="2" t="str">
        <f t="shared" si="99"/>
        <v>AUTOMEHANIKA D.D., KOVINSKA 4, 10000 ZAGREB, OIB: 5223317126</v>
      </c>
      <c r="H1024" s="1" t="str">
        <f t="shared" si="100"/>
        <v>AUTOMEHANIKA D.D., OIB: 5223317126</v>
      </c>
      <c r="I1024" s="1" t="s">
        <v>481</v>
      </c>
      <c r="J1024" s="1" t="s">
        <v>303</v>
      </c>
      <c r="K1024" s="6" t="str">
        <f>"2.131,19"</f>
        <v>2.131,19</v>
      </c>
      <c r="L1024" s="6" t="str">
        <f>"532,80"</f>
        <v>532,80</v>
      </c>
      <c r="M1024" s="6" t="str">
        <f>"2.663,99"</f>
        <v>2.663,99</v>
      </c>
      <c r="N1024" s="5">
        <v>43617</v>
      </c>
      <c r="O1024" s="7"/>
      <c r="P1024" s="6" t="str">
        <f>"2.663,99"</f>
        <v>2.663,99</v>
      </c>
      <c r="Q1024" s="7"/>
      <c r="R1024" s="1"/>
      <c r="S1024" s="1" t="str">
        <f>"35-19/NOS-108-B/17"</f>
        <v>35-19/NOS-108-B/17</v>
      </c>
      <c r="T1024" s="2" t="s">
        <v>33</v>
      </c>
    </row>
    <row r="1025" spans="1:20" ht="38.25" x14ac:dyDescent="0.25">
      <c r="A1025" s="1">
        <v>1021</v>
      </c>
      <c r="B1025" s="1" t="str">
        <f t="shared" si="98"/>
        <v>2017-380</v>
      </c>
      <c r="C1025" s="2" t="s">
        <v>809</v>
      </c>
      <c r="D1025" s="1" t="s">
        <v>170</v>
      </c>
      <c r="E1025" s="3" t="str">
        <f>""</f>
        <v/>
      </c>
      <c r="F1025" s="2" t="s">
        <v>27</v>
      </c>
      <c r="G1025" s="2" t="str">
        <f t="shared" si="99"/>
        <v>AUTOMEHANIKA D.D., KOVINSKA 4, 10000 ZAGREB, OIB: 5223317126</v>
      </c>
      <c r="H1025" s="1" t="str">
        <f t="shared" si="100"/>
        <v>AUTOMEHANIKA D.D., OIB: 5223317126</v>
      </c>
      <c r="I1025" s="1" t="s">
        <v>464</v>
      </c>
      <c r="J1025" s="1" t="s">
        <v>303</v>
      </c>
      <c r="K1025" s="6" t="str">
        <f>"15.421,00"</f>
        <v>15.421,00</v>
      </c>
      <c r="L1025" s="6" t="str">
        <f>"3.855,25"</f>
        <v>3.855,25</v>
      </c>
      <c r="M1025" s="6" t="str">
        <f>"19.276,25"</f>
        <v>19.276,25</v>
      </c>
      <c r="N1025" s="5">
        <v>43594</v>
      </c>
      <c r="O1025" s="7"/>
      <c r="P1025" s="6" t="str">
        <f>"19.276,25"</f>
        <v>19.276,25</v>
      </c>
      <c r="Q1025" s="7"/>
      <c r="R1025" s="1"/>
      <c r="S1025" s="1" t="str">
        <f>"36-19/NOS-108-B/17"</f>
        <v>36-19/NOS-108-B/17</v>
      </c>
      <c r="T1025" s="2" t="s">
        <v>33</v>
      </c>
    </row>
    <row r="1026" spans="1:20" ht="38.25" x14ac:dyDescent="0.25">
      <c r="A1026" s="1">
        <v>1022</v>
      </c>
      <c r="B1026" s="1" t="str">
        <f t="shared" si="98"/>
        <v>2017-380</v>
      </c>
      <c r="C1026" s="2" t="s">
        <v>809</v>
      </c>
      <c r="D1026" s="1" t="s">
        <v>170</v>
      </c>
      <c r="E1026" s="3" t="str">
        <f>""</f>
        <v/>
      </c>
      <c r="F1026" s="2" t="s">
        <v>27</v>
      </c>
      <c r="G1026" s="2" t="str">
        <f t="shared" si="99"/>
        <v>AUTOMEHANIKA D.D., KOVINSKA 4, 10000 ZAGREB, OIB: 5223317126</v>
      </c>
      <c r="H1026" s="1" t="str">
        <f t="shared" si="100"/>
        <v>AUTOMEHANIKA D.D., OIB: 5223317126</v>
      </c>
      <c r="I1026" s="1" t="s">
        <v>641</v>
      </c>
      <c r="J1026" s="1" t="s">
        <v>303</v>
      </c>
      <c r="K1026" s="6" t="str">
        <f>"3.685,19"</f>
        <v>3.685,19</v>
      </c>
      <c r="L1026" s="6" t="str">
        <f>"921,30"</f>
        <v>921,30</v>
      </c>
      <c r="M1026" s="6" t="str">
        <f>"4.606,48"</f>
        <v>4.606,48</v>
      </c>
      <c r="N1026" s="5">
        <v>43627</v>
      </c>
      <c r="O1026" s="7"/>
      <c r="P1026" s="6" t="str">
        <f>"4.606,49"</f>
        <v>4.606,49</v>
      </c>
      <c r="Q1026" s="7"/>
      <c r="R1026" s="1"/>
      <c r="S1026" s="1" t="str">
        <f>"37-19/NOS-108-B/17"</f>
        <v>37-19/NOS-108-B/17</v>
      </c>
      <c r="T1026" s="2" t="s">
        <v>29</v>
      </c>
    </row>
    <row r="1027" spans="1:20" ht="38.25" x14ac:dyDescent="0.25">
      <c r="A1027" s="1">
        <v>1023</v>
      </c>
      <c r="B1027" s="1" t="str">
        <f t="shared" ref="B1027:B1058" si="101">"2017-380"</f>
        <v>2017-380</v>
      </c>
      <c r="C1027" s="2" t="s">
        <v>809</v>
      </c>
      <c r="D1027" s="1" t="s">
        <v>170</v>
      </c>
      <c r="E1027" s="3" t="str">
        <f>""</f>
        <v/>
      </c>
      <c r="F1027" s="2" t="s">
        <v>27</v>
      </c>
      <c r="G1027" s="2" t="str">
        <f t="shared" ref="G1027:G1058" si="102">CONCATENATE("AUTOMEHANIKA D.D.,"," KOVINSKA 4,"," 10000 ZAGREB,"," OIB: 5223317126")</f>
        <v>AUTOMEHANIKA D.D., KOVINSKA 4, 10000 ZAGREB, OIB: 5223317126</v>
      </c>
      <c r="H1027" s="1" t="str">
        <f t="shared" ref="H1027:H1058" si="103">CONCATENATE("AUTOMEHANIKA D.D.,"," OIB: 5223317126")</f>
        <v>AUTOMEHANIKA D.D., OIB: 5223317126</v>
      </c>
      <c r="I1027" s="1" t="s">
        <v>641</v>
      </c>
      <c r="J1027" s="1" t="s">
        <v>303</v>
      </c>
      <c r="K1027" s="6" t="str">
        <f>"480,00"</f>
        <v>480,00</v>
      </c>
      <c r="L1027" s="6" t="str">
        <f>"120,00"</f>
        <v>120,00</v>
      </c>
      <c r="M1027" s="6" t="str">
        <f>"600,00"</f>
        <v>600,00</v>
      </c>
      <c r="N1027" s="5">
        <v>43627</v>
      </c>
      <c r="O1027" s="7"/>
      <c r="P1027" s="6" t="str">
        <f>"600,00"</f>
        <v>600,00</v>
      </c>
      <c r="Q1027" s="7"/>
      <c r="R1027" s="1"/>
      <c r="S1027" s="1" t="str">
        <f>"38-19/NOS-108-B/17"</f>
        <v>38-19/NOS-108-B/17</v>
      </c>
      <c r="T1027" s="2" t="s">
        <v>29</v>
      </c>
    </row>
    <row r="1028" spans="1:20" ht="38.25" x14ac:dyDescent="0.25">
      <c r="A1028" s="1">
        <v>1024</v>
      </c>
      <c r="B1028" s="1" t="str">
        <f t="shared" si="101"/>
        <v>2017-380</v>
      </c>
      <c r="C1028" s="2" t="s">
        <v>809</v>
      </c>
      <c r="D1028" s="1" t="s">
        <v>170</v>
      </c>
      <c r="E1028" s="3" t="str">
        <f>""</f>
        <v/>
      </c>
      <c r="F1028" s="2" t="s">
        <v>27</v>
      </c>
      <c r="G1028" s="2" t="str">
        <f t="shared" si="102"/>
        <v>AUTOMEHANIKA D.D., KOVINSKA 4, 10000 ZAGREB, OIB: 5223317126</v>
      </c>
      <c r="H1028" s="1" t="str">
        <f t="shared" si="103"/>
        <v>AUTOMEHANIKA D.D., OIB: 5223317126</v>
      </c>
      <c r="I1028" s="1" t="s">
        <v>641</v>
      </c>
      <c r="J1028" s="1" t="s">
        <v>303</v>
      </c>
      <c r="K1028" s="6" t="str">
        <f>"947,26"</f>
        <v>947,26</v>
      </c>
      <c r="L1028" s="6" t="str">
        <f>"236,82"</f>
        <v>236,82</v>
      </c>
      <c r="M1028" s="6" t="str">
        <f>"1.184,08"</f>
        <v>1.184,08</v>
      </c>
      <c r="N1028" s="5">
        <v>43646</v>
      </c>
      <c r="O1028" s="7"/>
      <c r="P1028" s="6" t="str">
        <f>"1.184,08"</f>
        <v>1.184,08</v>
      </c>
      <c r="Q1028" s="7"/>
      <c r="R1028" s="1"/>
      <c r="S1028" s="1" t="str">
        <f>"39-19/NOS-108-B/17"</f>
        <v>39-19/NOS-108-B/17</v>
      </c>
      <c r="T1028" s="2" t="s">
        <v>29</v>
      </c>
    </row>
    <row r="1029" spans="1:20" ht="38.25" x14ac:dyDescent="0.25">
      <c r="A1029" s="1">
        <v>1025</v>
      </c>
      <c r="B1029" s="1" t="str">
        <f t="shared" si="101"/>
        <v>2017-380</v>
      </c>
      <c r="C1029" s="2" t="s">
        <v>809</v>
      </c>
      <c r="D1029" s="1" t="s">
        <v>170</v>
      </c>
      <c r="E1029" s="3" t="str">
        <f>""</f>
        <v/>
      </c>
      <c r="F1029" s="2" t="s">
        <v>27</v>
      </c>
      <c r="G1029" s="2" t="str">
        <f t="shared" si="102"/>
        <v>AUTOMEHANIKA D.D., KOVINSKA 4, 10000 ZAGREB, OIB: 5223317126</v>
      </c>
      <c r="H1029" s="1" t="str">
        <f t="shared" si="103"/>
        <v>AUTOMEHANIKA D.D., OIB: 5223317126</v>
      </c>
      <c r="I1029" s="1" t="s">
        <v>641</v>
      </c>
      <c r="J1029" s="1" t="s">
        <v>303</v>
      </c>
      <c r="K1029" s="6" t="str">
        <f>"384,34"</f>
        <v>384,34</v>
      </c>
      <c r="L1029" s="6" t="str">
        <f>"96,09"</f>
        <v>96,09</v>
      </c>
      <c r="M1029" s="6" t="str">
        <f>"480,43"</f>
        <v>480,43</v>
      </c>
      <c r="N1029" s="5">
        <v>43628</v>
      </c>
      <c r="O1029" s="7"/>
      <c r="P1029" s="6" t="str">
        <f>"480,42"</f>
        <v>480,42</v>
      </c>
      <c r="Q1029" s="7"/>
      <c r="R1029" s="1"/>
      <c r="S1029" s="1" t="str">
        <f>"40-19/NOS-108-B/17"</f>
        <v>40-19/NOS-108-B/17</v>
      </c>
      <c r="T1029" s="2" t="s">
        <v>29</v>
      </c>
    </row>
    <row r="1030" spans="1:20" ht="38.25" x14ac:dyDescent="0.25">
      <c r="A1030" s="1">
        <v>1026</v>
      </c>
      <c r="B1030" s="1" t="str">
        <f t="shared" si="101"/>
        <v>2017-380</v>
      </c>
      <c r="C1030" s="2" t="s">
        <v>809</v>
      </c>
      <c r="D1030" s="1" t="s">
        <v>170</v>
      </c>
      <c r="E1030" s="3" t="str">
        <f>""</f>
        <v/>
      </c>
      <c r="F1030" s="2" t="s">
        <v>27</v>
      </c>
      <c r="G1030" s="2" t="str">
        <f t="shared" si="102"/>
        <v>AUTOMEHANIKA D.D., KOVINSKA 4, 10000 ZAGREB, OIB: 5223317126</v>
      </c>
      <c r="H1030" s="1" t="str">
        <f t="shared" si="103"/>
        <v>AUTOMEHANIKA D.D., OIB: 5223317126</v>
      </c>
      <c r="I1030" s="1" t="s">
        <v>334</v>
      </c>
      <c r="J1030" s="1" t="s">
        <v>303</v>
      </c>
      <c r="K1030" s="6" t="str">
        <f>"468,98"</f>
        <v>468,98</v>
      </c>
      <c r="L1030" s="6" t="str">
        <f>"117,25"</f>
        <v>117,25</v>
      </c>
      <c r="M1030" s="6" t="str">
        <f>"586,23"</f>
        <v>586,23</v>
      </c>
      <c r="N1030" s="5">
        <v>43617</v>
      </c>
      <c r="O1030" s="7"/>
      <c r="P1030" s="6" t="str">
        <f>"586,22"</f>
        <v>586,22</v>
      </c>
      <c r="Q1030" s="7"/>
      <c r="R1030" s="1"/>
      <c r="S1030" s="1" t="str">
        <f>"41-19/NOS-108-B/17"</f>
        <v>41-19/NOS-108-B/17</v>
      </c>
      <c r="T1030" s="2" t="s">
        <v>33</v>
      </c>
    </row>
    <row r="1031" spans="1:20" ht="38.25" x14ac:dyDescent="0.25">
      <c r="A1031" s="1">
        <v>1027</v>
      </c>
      <c r="B1031" s="1" t="str">
        <f t="shared" si="101"/>
        <v>2017-380</v>
      </c>
      <c r="C1031" s="2" t="s">
        <v>809</v>
      </c>
      <c r="D1031" s="1" t="s">
        <v>170</v>
      </c>
      <c r="E1031" s="3" t="str">
        <f>""</f>
        <v/>
      </c>
      <c r="F1031" s="2" t="s">
        <v>27</v>
      </c>
      <c r="G1031" s="2" t="str">
        <f t="shared" si="102"/>
        <v>AUTOMEHANIKA D.D., KOVINSKA 4, 10000 ZAGREB, OIB: 5223317126</v>
      </c>
      <c r="H1031" s="1" t="str">
        <f t="shared" si="103"/>
        <v>AUTOMEHANIKA D.D., OIB: 5223317126</v>
      </c>
      <c r="I1031" s="1" t="s">
        <v>521</v>
      </c>
      <c r="J1031" s="1" t="s">
        <v>303</v>
      </c>
      <c r="K1031" s="6" t="str">
        <f>"1.293,66"</f>
        <v>1.293,66</v>
      </c>
      <c r="L1031" s="6" t="str">
        <f>"323,42"</f>
        <v>323,42</v>
      </c>
      <c r="M1031" s="6" t="str">
        <f>"1.617,08"</f>
        <v>1.617,08</v>
      </c>
      <c r="N1031" s="5">
        <v>43615</v>
      </c>
      <c r="O1031" s="7"/>
      <c r="P1031" s="6" t="str">
        <f>"1.617,08"</f>
        <v>1.617,08</v>
      </c>
      <c r="Q1031" s="7"/>
      <c r="R1031" s="1"/>
      <c r="S1031" s="1" t="str">
        <f>"42-19/NOS-108-B/17"</f>
        <v>42-19/NOS-108-B/17</v>
      </c>
      <c r="T1031" s="2" t="s">
        <v>33</v>
      </c>
    </row>
    <row r="1032" spans="1:20" ht="38.25" x14ac:dyDescent="0.25">
      <c r="A1032" s="1">
        <v>1028</v>
      </c>
      <c r="B1032" s="1" t="str">
        <f t="shared" si="101"/>
        <v>2017-380</v>
      </c>
      <c r="C1032" s="2" t="s">
        <v>809</v>
      </c>
      <c r="D1032" s="1" t="s">
        <v>170</v>
      </c>
      <c r="E1032" s="3" t="str">
        <f>""</f>
        <v/>
      </c>
      <c r="F1032" s="2" t="s">
        <v>27</v>
      </c>
      <c r="G1032" s="2" t="str">
        <f t="shared" si="102"/>
        <v>AUTOMEHANIKA D.D., KOVINSKA 4, 10000 ZAGREB, OIB: 5223317126</v>
      </c>
      <c r="H1032" s="1" t="str">
        <f t="shared" si="103"/>
        <v>AUTOMEHANIKA D.D., OIB: 5223317126</v>
      </c>
      <c r="I1032" s="1" t="s">
        <v>361</v>
      </c>
      <c r="J1032" s="1" t="s">
        <v>303</v>
      </c>
      <c r="K1032" s="6" t="str">
        <f>"5.348,42"</f>
        <v>5.348,42</v>
      </c>
      <c r="L1032" s="6" t="str">
        <f>"1.337,10"</f>
        <v>1.337,10</v>
      </c>
      <c r="M1032" s="6" t="str">
        <f>"6.685,52"</f>
        <v>6.685,52</v>
      </c>
      <c r="N1032" s="5">
        <v>43621</v>
      </c>
      <c r="O1032" s="7"/>
      <c r="P1032" s="6" t="str">
        <f>"6.685,52"</f>
        <v>6.685,52</v>
      </c>
      <c r="Q1032" s="7"/>
      <c r="R1032" s="1"/>
      <c r="S1032" s="1" t="str">
        <f>"43-19/NOS-108-B/17"</f>
        <v>43-19/NOS-108-B/17</v>
      </c>
      <c r="T1032" s="2" t="s">
        <v>33</v>
      </c>
    </row>
    <row r="1033" spans="1:20" ht="38.25" x14ac:dyDescent="0.25">
      <c r="A1033" s="1">
        <v>1029</v>
      </c>
      <c r="B1033" s="1" t="str">
        <f t="shared" si="101"/>
        <v>2017-380</v>
      </c>
      <c r="C1033" s="2" t="s">
        <v>809</v>
      </c>
      <c r="D1033" s="1" t="s">
        <v>170</v>
      </c>
      <c r="E1033" s="3" t="str">
        <f>""</f>
        <v/>
      </c>
      <c r="F1033" s="2" t="s">
        <v>27</v>
      </c>
      <c r="G1033" s="2" t="str">
        <f t="shared" si="102"/>
        <v>AUTOMEHANIKA D.D., KOVINSKA 4, 10000 ZAGREB, OIB: 5223317126</v>
      </c>
      <c r="H1033" s="1" t="str">
        <f t="shared" si="103"/>
        <v>AUTOMEHANIKA D.D., OIB: 5223317126</v>
      </c>
      <c r="I1033" s="1" t="s">
        <v>475</v>
      </c>
      <c r="J1033" s="1" t="s">
        <v>303</v>
      </c>
      <c r="K1033" s="6" t="str">
        <f>"5.983,82"</f>
        <v>5.983,82</v>
      </c>
      <c r="L1033" s="6" t="str">
        <f>"1.495,96"</f>
        <v>1.495,96</v>
      </c>
      <c r="M1033" s="6" t="str">
        <f>"7.479,78"</f>
        <v>7.479,78</v>
      </c>
      <c r="N1033" s="5">
        <v>43621</v>
      </c>
      <c r="O1033" s="7"/>
      <c r="P1033" s="6" t="str">
        <f>"7.479,78"</f>
        <v>7.479,78</v>
      </c>
      <c r="Q1033" s="7"/>
      <c r="R1033" s="1"/>
      <c r="S1033" s="1" t="str">
        <f>"44-19/NOS-108-B/17"</f>
        <v>44-19/NOS-108-B/17</v>
      </c>
      <c r="T1033" s="2" t="s">
        <v>33</v>
      </c>
    </row>
    <row r="1034" spans="1:20" ht="38.25" x14ac:dyDescent="0.25">
      <c r="A1034" s="1">
        <v>1030</v>
      </c>
      <c r="B1034" s="1" t="str">
        <f t="shared" si="101"/>
        <v>2017-380</v>
      </c>
      <c r="C1034" s="2" t="s">
        <v>809</v>
      </c>
      <c r="D1034" s="1" t="s">
        <v>170</v>
      </c>
      <c r="E1034" s="3" t="str">
        <f>""</f>
        <v/>
      </c>
      <c r="F1034" s="2" t="s">
        <v>27</v>
      </c>
      <c r="G1034" s="2" t="str">
        <f t="shared" si="102"/>
        <v>AUTOMEHANIKA D.D., KOVINSKA 4, 10000 ZAGREB, OIB: 5223317126</v>
      </c>
      <c r="H1034" s="1" t="str">
        <f t="shared" si="103"/>
        <v>AUTOMEHANIKA D.D., OIB: 5223317126</v>
      </c>
      <c r="I1034" s="1" t="s">
        <v>32</v>
      </c>
      <c r="J1034" s="1" t="s">
        <v>303</v>
      </c>
      <c r="K1034" s="6" t="str">
        <f>"1.424,03"</f>
        <v>1.424,03</v>
      </c>
      <c r="L1034" s="6" t="str">
        <f>"356,01"</f>
        <v>356,01</v>
      </c>
      <c r="M1034" s="6" t="str">
        <f>"1.780,04"</f>
        <v>1.780,04</v>
      </c>
      <c r="N1034" s="5">
        <v>43627</v>
      </c>
      <c r="O1034" s="7"/>
      <c r="P1034" s="6" t="str">
        <f>"1.780,04"</f>
        <v>1.780,04</v>
      </c>
      <c r="Q1034" s="7"/>
      <c r="R1034" s="1"/>
      <c r="S1034" s="1" t="str">
        <f>"45-19/NOS-108-B/17"</f>
        <v>45-19/NOS-108-B/17</v>
      </c>
      <c r="T1034" s="2" t="s">
        <v>29</v>
      </c>
    </row>
    <row r="1035" spans="1:20" ht="38.25" x14ac:dyDescent="0.25">
      <c r="A1035" s="1">
        <v>1031</v>
      </c>
      <c r="B1035" s="1" t="str">
        <f t="shared" si="101"/>
        <v>2017-380</v>
      </c>
      <c r="C1035" s="2" t="s">
        <v>809</v>
      </c>
      <c r="D1035" s="1" t="s">
        <v>170</v>
      </c>
      <c r="E1035" s="3" t="str">
        <f>""</f>
        <v/>
      </c>
      <c r="F1035" s="2" t="s">
        <v>27</v>
      </c>
      <c r="G1035" s="2" t="str">
        <f t="shared" si="102"/>
        <v>AUTOMEHANIKA D.D., KOVINSKA 4, 10000 ZAGREB, OIB: 5223317126</v>
      </c>
      <c r="H1035" s="1" t="str">
        <f t="shared" si="103"/>
        <v>AUTOMEHANIKA D.D., OIB: 5223317126</v>
      </c>
      <c r="I1035" s="1" t="s">
        <v>32</v>
      </c>
      <c r="J1035" s="1" t="s">
        <v>303</v>
      </c>
      <c r="K1035" s="6" t="str">
        <f>"426,11"</f>
        <v>426,11</v>
      </c>
      <c r="L1035" s="6" t="str">
        <f>"106,53"</f>
        <v>106,53</v>
      </c>
      <c r="M1035" s="6" t="str">
        <f>"532,63"</f>
        <v>532,63</v>
      </c>
      <c r="N1035" s="5">
        <v>43646</v>
      </c>
      <c r="O1035" s="7"/>
      <c r="P1035" s="6" t="str">
        <f>"532,64"</f>
        <v>532,64</v>
      </c>
      <c r="Q1035" s="7"/>
      <c r="R1035" s="1"/>
      <c r="S1035" s="1" t="str">
        <f>"46-19/NOS-108-B/17"</f>
        <v>46-19/NOS-108-B/17</v>
      </c>
      <c r="T1035" s="2" t="s">
        <v>29</v>
      </c>
    </row>
    <row r="1036" spans="1:20" ht="38.25" x14ac:dyDescent="0.25">
      <c r="A1036" s="1">
        <v>1032</v>
      </c>
      <c r="B1036" s="1" t="str">
        <f t="shared" si="101"/>
        <v>2017-380</v>
      </c>
      <c r="C1036" s="2" t="s">
        <v>809</v>
      </c>
      <c r="D1036" s="1" t="s">
        <v>170</v>
      </c>
      <c r="E1036" s="3" t="str">
        <f>""</f>
        <v/>
      </c>
      <c r="F1036" s="2" t="s">
        <v>27</v>
      </c>
      <c r="G1036" s="2" t="str">
        <f t="shared" si="102"/>
        <v>AUTOMEHANIKA D.D., KOVINSKA 4, 10000 ZAGREB, OIB: 5223317126</v>
      </c>
      <c r="H1036" s="1" t="str">
        <f t="shared" si="103"/>
        <v>AUTOMEHANIKA D.D., OIB: 5223317126</v>
      </c>
      <c r="I1036" s="1" t="s">
        <v>361</v>
      </c>
      <c r="J1036" s="1" t="s">
        <v>303</v>
      </c>
      <c r="K1036" s="6" t="str">
        <f>"900,00"</f>
        <v>900,00</v>
      </c>
      <c r="L1036" s="6" t="str">
        <f>"0,00"</f>
        <v>0,00</v>
      </c>
      <c r="M1036" s="6" t="str">
        <f>"0,00"</f>
        <v>0,00</v>
      </c>
      <c r="N1036" s="1" t="s">
        <v>117</v>
      </c>
      <c r="O1036" s="7"/>
      <c r="P1036" s="6" t="str">
        <f>"0,00"</f>
        <v>0,00</v>
      </c>
      <c r="Q1036" s="7"/>
      <c r="R1036" s="1"/>
      <c r="S1036" s="1" t="str">
        <f>"47-19/NOS-108-B/17"</f>
        <v>47-19/NOS-108-B/17</v>
      </c>
      <c r="T1036" s="2" t="s">
        <v>33</v>
      </c>
    </row>
    <row r="1037" spans="1:20" ht="38.25" x14ac:dyDescent="0.25">
      <c r="A1037" s="1">
        <v>1033</v>
      </c>
      <c r="B1037" s="1" t="str">
        <f t="shared" si="101"/>
        <v>2017-380</v>
      </c>
      <c r="C1037" s="2" t="s">
        <v>809</v>
      </c>
      <c r="D1037" s="1" t="s">
        <v>170</v>
      </c>
      <c r="E1037" s="3" t="str">
        <f>""</f>
        <v/>
      </c>
      <c r="F1037" s="2" t="s">
        <v>27</v>
      </c>
      <c r="G1037" s="2" t="str">
        <f t="shared" si="102"/>
        <v>AUTOMEHANIKA D.D., KOVINSKA 4, 10000 ZAGREB, OIB: 5223317126</v>
      </c>
      <c r="H1037" s="1" t="str">
        <f t="shared" si="103"/>
        <v>AUTOMEHANIKA D.D., OIB: 5223317126</v>
      </c>
      <c r="I1037" s="1" t="s">
        <v>32</v>
      </c>
      <c r="J1037" s="1" t="s">
        <v>303</v>
      </c>
      <c r="K1037" s="6" t="str">
        <f>"150,39"</f>
        <v>150,39</v>
      </c>
      <c r="L1037" s="6" t="str">
        <f>"0,00"</f>
        <v>0,00</v>
      </c>
      <c r="M1037" s="6" t="str">
        <f>"0,00"</f>
        <v>0,00</v>
      </c>
      <c r="N1037" s="1" t="s">
        <v>117</v>
      </c>
      <c r="O1037" s="7"/>
      <c r="P1037" s="6" t="str">
        <f>"0,00"</f>
        <v>0,00</v>
      </c>
      <c r="Q1037" s="7"/>
      <c r="R1037" s="1"/>
      <c r="S1037" s="1" t="str">
        <f>"48-19/NOS-108-B/17"</f>
        <v>48-19/NOS-108-B/17</v>
      </c>
      <c r="T1037" s="2" t="s">
        <v>33</v>
      </c>
    </row>
    <row r="1038" spans="1:20" ht="38.25" x14ac:dyDescent="0.25">
      <c r="A1038" s="1">
        <v>1034</v>
      </c>
      <c r="B1038" s="1" t="str">
        <f t="shared" si="101"/>
        <v>2017-380</v>
      </c>
      <c r="C1038" s="2" t="s">
        <v>809</v>
      </c>
      <c r="D1038" s="1" t="s">
        <v>170</v>
      </c>
      <c r="E1038" s="3" t="str">
        <f>""</f>
        <v/>
      </c>
      <c r="F1038" s="2" t="s">
        <v>27</v>
      </c>
      <c r="G1038" s="2" t="str">
        <f t="shared" si="102"/>
        <v>AUTOMEHANIKA D.D., KOVINSKA 4, 10000 ZAGREB, OIB: 5223317126</v>
      </c>
      <c r="H1038" s="1" t="str">
        <f t="shared" si="103"/>
        <v>AUTOMEHANIKA D.D., OIB: 5223317126</v>
      </c>
      <c r="I1038" s="1" t="s">
        <v>642</v>
      </c>
      <c r="J1038" s="1" t="s">
        <v>303</v>
      </c>
      <c r="K1038" s="6" t="str">
        <f>"376,22"</f>
        <v>376,22</v>
      </c>
      <c r="L1038" s="6" t="str">
        <f>"94,06"</f>
        <v>94,06</v>
      </c>
      <c r="M1038" s="6" t="str">
        <f>"470,28"</f>
        <v>470,28</v>
      </c>
      <c r="N1038" s="5">
        <v>43646</v>
      </c>
      <c r="O1038" s="7"/>
      <c r="P1038" s="6" t="str">
        <f>"470,28"</f>
        <v>470,28</v>
      </c>
      <c r="Q1038" s="7"/>
      <c r="R1038" s="1"/>
      <c r="S1038" s="1" t="str">
        <f>"49-19/NOS-108-B/17"</f>
        <v>49-19/NOS-108-B/17</v>
      </c>
      <c r="T1038" s="2" t="s">
        <v>29</v>
      </c>
    </row>
    <row r="1039" spans="1:20" ht="38.25" x14ac:dyDescent="0.25">
      <c r="A1039" s="1">
        <v>1035</v>
      </c>
      <c r="B1039" s="1" t="str">
        <f t="shared" si="101"/>
        <v>2017-380</v>
      </c>
      <c r="C1039" s="2" t="s">
        <v>809</v>
      </c>
      <c r="D1039" s="1" t="s">
        <v>170</v>
      </c>
      <c r="E1039" s="3" t="str">
        <f>""</f>
        <v/>
      </c>
      <c r="F1039" s="2" t="s">
        <v>27</v>
      </c>
      <c r="G1039" s="2" t="str">
        <f t="shared" si="102"/>
        <v>AUTOMEHANIKA D.D., KOVINSKA 4, 10000 ZAGREB, OIB: 5223317126</v>
      </c>
      <c r="H1039" s="1" t="str">
        <f t="shared" si="103"/>
        <v>AUTOMEHANIKA D.D., OIB: 5223317126</v>
      </c>
      <c r="I1039" s="1" t="s">
        <v>435</v>
      </c>
      <c r="J1039" s="1" t="s">
        <v>303</v>
      </c>
      <c r="K1039" s="6" t="str">
        <f>"44.822,10"</f>
        <v>44.822,10</v>
      </c>
      <c r="L1039" s="6" t="str">
        <f>"11.205,53"</f>
        <v>11.205,53</v>
      </c>
      <c r="M1039" s="6" t="str">
        <f>"56.027,63"</f>
        <v>56.027,63</v>
      </c>
      <c r="N1039" s="5">
        <v>43642</v>
      </c>
      <c r="O1039" s="7"/>
      <c r="P1039" s="6" t="str">
        <f>"56.027,62"</f>
        <v>56.027,62</v>
      </c>
      <c r="Q1039" s="7"/>
      <c r="R1039" s="1"/>
      <c r="S1039" s="1" t="str">
        <f>"50-19/NOS-108-B/17"</f>
        <v>50-19/NOS-108-B/17</v>
      </c>
      <c r="T1039" s="2" t="s">
        <v>33</v>
      </c>
    </row>
    <row r="1040" spans="1:20" ht="38.25" x14ac:dyDescent="0.25">
      <c r="A1040" s="1">
        <v>1036</v>
      </c>
      <c r="B1040" s="1" t="str">
        <f t="shared" si="101"/>
        <v>2017-380</v>
      </c>
      <c r="C1040" s="2" t="s">
        <v>809</v>
      </c>
      <c r="D1040" s="1" t="s">
        <v>170</v>
      </c>
      <c r="E1040" s="3" t="str">
        <f>""</f>
        <v/>
      </c>
      <c r="F1040" s="2" t="s">
        <v>27</v>
      </c>
      <c r="G1040" s="2" t="str">
        <f t="shared" si="102"/>
        <v>AUTOMEHANIKA D.D., KOVINSKA 4, 10000 ZAGREB, OIB: 5223317126</v>
      </c>
      <c r="H1040" s="1" t="str">
        <f t="shared" si="103"/>
        <v>AUTOMEHANIKA D.D., OIB: 5223317126</v>
      </c>
      <c r="I1040" s="1" t="s">
        <v>639</v>
      </c>
      <c r="J1040" s="1" t="s">
        <v>303</v>
      </c>
      <c r="K1040" s="6" t="str">
        <f>"3.657,33"</f>
        <v>3.657,33</v>
      </c>
      <c r="L1040" s="6" t="str">
        <f>"0,00"</f>
        <v>0,00</v>
      </c>
      <c r="M1040" s="6" t="str">
        <f>"0,00"</f>
        <v>0,00</v>
      </c>
      <c r="N1040" s="1" t="s">
        <v>117</v>
      </c>
      <c r="O1040" s="7"/>
      <c r="P1040" s="6" t="str">
        <f>"0,00"</f>
        <v>0,00</v>
      </c>
      <c r="Q1040" s="7"/>
      <c r="R1040" s="1"/>
      <c r="S1040" s="1" t="str">
        <f>"51-19/NOS-108-B/17"</f>
        <v>51-19/NOS-108-B/17</v>
      </c>
      <c r="T1040" s="2" t="s">
        <v>33</v>
      </c>
    </row>
    <row r="1041" spans="1:20" ht="38.25" x14ac:dyDescent="0.25">
      <c r="A1041" s="1">
        <v>1037</v>
      </c>
      <c r="B1041" s="1" t="str">
        <f t="shared" si="101"/>
        <v>2017-380</v>
      </c>
      <c r="C1041" s="2" t="s">
        <v>809</v>
      </c>
      <c r="D1041" s="1" t="s">
        <v>170</v>
      </c>
      <c r="E1041" s="3" t="str">
        <f>""</f>
        <v/>
      </c>
      <c r="F1041" s="2" t="s">
        <v>27</v>
      </c>
      <c r="G1041" s="2" t="str">
        <f t="shared" si="102"/>
        <v>AUTOMEHANIKA D.D., KOVINSKA 4, 10000 ZAGREB, OIB: 5223317126</v>
      </c>
      <c r="H1041" s="1" t="str">
        <f t="shared" si="103"/>
        <v>AUTOMEHANIKA D.D., OIB: 5223317126</v>
      </c>
      <c r="I1041" s="1" t="s">
        <v>320</v>
      </c>
      <c r="J1041" s="1" t="s">
        <v>303</v>
      </c>
      <c r="K1041" s="6" t="str">
        <f>"1.396,34"</f>
        <v>1.396,34</v>
      </c>
      <c r="L1041" s="6" t="str">
        <f>"349,08"</f>
        <v>349,08</v>
      </c>
      <c r="M1041" s="6" t="str">
        <f>"1.745,42"</f>
        <v>1.745,42</v>
      </c>
      <c r="N1041" s="5">
        <v>43672</v>
      </c>
      <c r="O1041" s="7"/>
      <c r="P1041" s="6" t="str">
        <f>"1.745,42"</f>
        <v>1.745,42</v>
      </c>
      <c r="Q1041" s="7"/>
      <c r="R1041" s="1"/>
      <c r="S1041" s="1" t="str">
        <f>"52-19/NOS-108-B/17"</f>
        <v>52-19/NOS-108-B/17</v>
      </c>
      <c r="T1041" s="2" t="s">
        <v>33</v>
      </c>
    </row>
    <row r="1042" spans="1:20" ht="38.25" x14ac:dyDescent="0.25">
      <c r="A1042" s="1">
        <v>1038</v>
      </c>
      <c r="B1042" s="1" t="str">
        <f t="shared" si="101"/>
        <v>2017-380</v>
      </c>
      <c r="C1042" s="2" t="s">
        <v>809</v>
      </c>
      <c r="D1042" s="1" t="s">
        <v>170</v>
      </c>
      <c r="E1042" s="3" t="str">
        <f>""</f>
        <v/>
      </c>
      <c r="F1042" s="2" t="s">
        <v>27</v>
      </c>
      <c r="G1042" s="2" t="str">
        <f t="shared" si="102"/>
        <v>AUTOMEHANIKA D.D., KOVINSKA 4, 10000 ZAGREB, OIB: 5223317126</v>
      </c>
      <c r="H1042" s="1" t="str">
        <f t="shared" si="103"/>
        <v>AUTOMEHANIKA D.D., OIB: 5223317126</v>
      </c>
      <c r="I1042" s="1" t="s">
        <v>402</v>
      </c>
      <c r="J1042" s="1" t="s">
        <v>303</v>
      </c>
      <c r="K1042" s="6" t="str">
        <f>"964,48"</f>
        <v>964,48</v>
      </c>
      <c r="L1042" s="6" t="str">
        <f t="shared" ref="L1042:M1044" si="104">"0,00"</f>
        <v>0,00</v>
      </c>
      <c r="M1042" s="6" t="str">
        <f t="shared" si="104"/>
        <v>0,00</v>
      </c>
      <c r="N1042" s="1" t="s">
        <v>117</v>
      </c>
      <c r="O1042" s="7"/>
      <c r="P1042" s="6" t="str">
        <f>"0,00"</f>
        <v>0,00</v>
      </c>
      <c r="Q1042" s="7"/>
      <c r="R1042" s="1"/>
      <c r="S1042" s="1" t="str">
        <f>"53-19/NOS-108-B/17"</f>
        <v>53-19/NOS-108-B/17</v>
      </c>
      <c r="T1042" s="2" t="s">
        <v>29</v>
      </c>
    </row>
    <row r="1043" spans="1:20" ht="38.25" x14ac:dyDescent="0.25">
      <c r="A1043" s="1">
        <v>1039</v>
      </c>
      <c r="B1043" s="1" t="str">
        <f t="shared" si="101"/>
        <v>2017-380</v>
      </c>
      <c r="C1043" s="2" t="s">
        <v>809</v>
      </c>
      <c r="D1043" s="1" t="s">
        <v>170</v>
      </c>
      <c r="E1043" s="3" t="str">
        <f>""</f>
        <v/>
      </c>
      <c r="F1043" s="2" t="s">
        <v>27</v>
      </c>
      <c r="G1043" s="2" t="str">
        <f t="shared" si="102"/>
        <v>AUTOMEHANIKA D.D., KOVINSKA 4, 10000 ZAGREB, OIB: 5223317126</v>
      </c>
      <c r="H1043" s="1" t="str">
        <f t="shared" si="103"/>
        <v>AUTOMEHANIKA D.D., OIB: 5223317126</v>
      </c>
      <c r="I1043" s="1" t="s">
        <v>402</v>
      </c>
      <c r="J1043" s="1" t="s">
        <v>303</v>
      </c>
      <c r="K1043" s="6" t="str">
        <f>"1.357,92"</f>
        <v>1.357,92</v>
      </c>
      <c r="L1043" s="6" t="str">
        <f t="shared" si="104"/>
        <v>0,00</v>
      </c>
      <c r="M1043" s="6" t="str">
        <f t="shared" si="104"/>
        <v>0,00</v>
      </c>
      <c r="N1043" s="1" t="s">
        <v>117</v>
      </c>
      <c r="O1043" s="7"/>
      <c r="P1043" s="6" t="str">
        <f>"0,00"</f>
        <v>0,00</v>
      </c>
      <c r="Q1043" s="7"/>
      <c r="R1043" s="1"/>
      <c r="S1043" s="1" t="str">
        <f>"54-19/NOS-108-B/17"</f>
        <v>54-19/NOS-108-B/17</v>
      </c>
      <c r="T1043" s="2" t="s">
        <v>29</v>
      </c>
    </row>
    <row r="1044" spans="1:20" ht="38.25" x14ac:dyDescent="0.25">
      <c r="A1044" s="1">
        <v>1040</v>
      </c>
      <c r="B1044" s="1" t="str">
        <f t="shared" si="101"/>
        <v>2017-380</v>
      </c>
      <c r="C1044" s="2" t="s">
        <v>809</v>
      </c>
      <c r="D1044" s="1" t="s">
        <v>170</v>
      </c>
      <c r="E1044" s="3" t="str">
        <f>""</f>
        <v/>
      </c>
      <c r="F1044" s="2" t="s">
        <v>27</v>
      </c>
      <c r="G1044" s="2" t="str">
        <f t="shared" si="102"/>
        <v>AUTOMEHANIKA D.D., KOVINSKA 4, 10000 ZAGREB, OIB: 5223317126</v>
      </c>
      <c r="H1044" s="1" t="str">
        <f t="shared" si="103"/>
        <v>AUTOMEHANIKA D.D., OIB: 5223317126</v>
      </c>
      <c r="I1044" s="1" t="s">
        <v>402</v>
      </c>
      <c r="J1044" s="1" t="s">
        <v>303</v>
      </c>
      <c r="K1044" s="6" t="str">
        <f>"4.367,01"</f>
        <v>4.367,01</v>
      </c>
      <c r="L1044" s="6" t="str">
        <f t="shared" si="104"/>
        <v>0,00</v>
      </c>
      <c r="M1044" s="6" t="str">
        <f t="shared" si="104"/>
        <v>0,00</v>
      </c>
      <c r="N1044" s="1" t="s">
        <v>117</v>
      </c>
      <c r="O1044" s="7"/>
      <c r="P1044" s="6" t="str">
        <f>"0,00"</f>
        <v>0,00</v>
      </c>
      <c r="Q1044" s="7"/>
      <c r="R1044" s="1"/>
      <c r="S1044" s="1" t="str">
        <f>"55-19/NOS-108-B/17"</f>
        <v>55-19/NOS-108-B/17</v>
      </c>
      <c r="T1044" s="2" t="s">
        <v>29</v>
      </c>
    </row>
    <row r="1045" spans="1:20" ht="38.25" x14ac:dyDescent="0.25">
      <c r="A1045" s="1">
        <v>1041</v>
      </c>
      <c r="B1045" s="1" t="str">
        <f t="shared" si="101"/>
        <v>2017-380</v>
      </c>
      <c r="C1045" s="2" t="s">
        <v>809</v>
      </c>
      <c r="D1045" s="1" t="s">
        <v>170</v>
      </c>
      <c r="E1045" s="3" t="str">
        <f>""</f>
        <v/>
      </c>
      <c r="F1045" s="2" t="s">
        <v>27</v>
      </c>
      <c r="G1045" s="2" t="str">
        <f t="shared" si="102"/>
        <v>AUTOMEHANIKA D.D., KOVINSKA 4, 10000 ZAGREB, OIB: 5223317126</v>
      </c>
      <c r="H1045" s="1" t="str">
        <f t="shared" si="103"/>
        <v>AUTOMEHANIKA D.D., OIB: 5223317126</v>
      </c>
      <c r="I1045" s="1" t="s">
        <v>402</v>
      </c>
      <c r="J1045" s="1" t="s">
        <v>303</v>
      </c>
      <c r="K1045" s="6" t="str">
        <f>"5.011,98"</f>
        <v>5.011,98</v>
      </c>
      <c r="L1045" s="6" t="str">
        <f>"1.253,00"</f>
        <v>1.253,00</v>
      </c>
      <c r="M1045" s="6" t="str">
        <f>"6.264,98"</f>
        <v>6.264,98</v>
      </c>
      <c r="N1045" s="5">
        <v>43628</v>
      </c>
      <c r="O1045" s="7"/>
      <c r="P1045" s="6" t="str">
        <f>"6.264,98"</f>
        <v>6.264,98</v>
      </c>
      <c r="Q1045" s="7"/>
      <c r="R1045" s="1"/>
      <c r="S1045" s="1" t="str">
        <f>"56-19/NOS-108-B/17"</f>
        <v>56-19/NOS-108-B/17</v>
      </c>
      <c r="T1045" s="2" t="s">
        <v>29</v>
      </c>
    </row>
    <row r="1046" spans="1:20" ht="38.25" x14ac:dyDescent="0.25">
      <c r="A1046" s="1">
        <v>1042</v>
      </c>
      <c r="B1046" s="1" t="str">
        <f t="shared" si="101"/>
        <v>2017-380</v>
      </c>
      <c r="C1046" s="2" t="s">
        <v>809</v>
      </c>
      <c r="D1046" s="1" t="s">
        <v>170</v>
      </c>
      <c r="E1046" s="3" t="str">
        <f>""</f>
        <v/>
      </c>
      <c r="F1046" s="2" t="s">
        <v>27</v>
      </c>
      <c r="G1046" s="2" t="str">
        <f t="shared" si="102"/>
        <v>AUTOMEHANIKA D.D., KOVINSKA 4, 10000 ZAGREB, OIB: 5223317126</v>
      </c>
      <c r="H1046" s="1" t="str">
        <f t="shared" si="103"/>
        <v>AUTOMEHANIKA D.D., OIB: 5223317126</v>
      </c>
      <c r="I1046" s="1" t="s">
        <v>628</v>
      </c>
      <c r="J1046" s="1" t="s">
        <v>303</v>
      </c>
      <c r="K1046" s="6" t="str">
        <f>"4.514,00"</f>
        <v>4.514,00</v>
      </c>
      <c r="L1046" s="6" t="str">
        <f>"1.128,50"</f>
        <v>1.128,50</v>
      </c>
      <c r="M1046" s="6" t="str">
        <f>"5.642,50"</f>
        <v>5.642,50</v>
      </c>
      <c r="N1046" s="5">
        <v>43633</v>
      </c>
      <c r="O1046" s="7"/>
      <c r="P1046" s="6" t="str">
        <f>"5.642,50"</f>
        <v>5.642,50</v>
      </c>
      <c r="Q1046" s="7"/>
      <c r="R1046" s="1"/>
      <c r="S1046" s="1" t="str">
        <f>"57-19/NOS-108-B/17"</f>
        <v>57-19/NOS-108-B/17</v>
      </c>
      <c r="T1046" s="2" t="s">
        <v>33</v>
      </c>
    </row>
    <row r="1047" spans="1:20" ht="38.25" x14ac:dyDescent="0.25">
      <c r="A1047" s="1">
        <v>1043</v>
      </c>
      <c r="B1047" s="1" t="str">
        <f t="shared" si="101"/>
        <v>2017-380</v>
      </c>
      <c r="C1047" s="2" t="s">
        <v>809</v>
      </c>
      <c r="D1047" s="1" t="s">
        <v>170</v>
      </c>
      <c r="E1047" s="3" t="str">
        <f>""</f>
        <v/>
      </c>
      <c r="F1047" s="2" t="s">
        <v>27</v>
      </c>
      <c r="G1047" s="2" t="str">
        <f t="shared" si="102"/>
        <v>AUTOMEHANIKA D.D., KOVINSKA 4, 10000 ZAGREB, OIB: 5223317126</v>
      </c>
      <c r="H1047" s="1" t="str">
        <f t="shared" si="103"/>
        <v>AUTOMEHANIKA D.D., OIB: 5223317126</v>
      </c>
      <c r="I1047" s="1" t="s">
        <v>414</v>
      </c>
      <c r="J1047" s="1" t="s">
        <v>303</v>
      </c>
      <c r="K1047" s="6" t="str">
        <f>"480,00"</f>
        <v>480,00</v>
      </c>
      <c r="L1047" s="6" t="str">
        <f>"120,00"</f>
        <v>120,00</v>
      </c>
      <c r="M1047" s="6" t="str">
        <f>"600,00"</f>
        <v>600,00</v>
      </c>
      <c r="N1047" s="5">
        <v>43646</v>
      </c>
      <c r="O1047" s="7"/>
      <c r="P1047" s="6" t="str">
        <f>"600,00"</f>
        <v>600,00</v>
      </c>
      <c r="Q1047" s="7"/>
      <c r="R1047" s="1"/>
      <c r="S1047" s="1" t="str">
        <f>"58-19/NOS-108-B/17"</f>
        <v>58-19/NOS-108-B/17</v>
      </c>
      <c r="T1047" s="2" t="s">
        <v>33</v>
      </c>
    </row>
    <row r="1048" spans="1:20" ht="38.25" x14ac:dyDescent="0.25">
      <c r="A1048" s="1">
        <v>1044</v>
      </c>
      <c r="B1048" s="1" t="str">
        <f t="shared" si="101"/>
        <v>2017-380</v>
      </c>
      <c r="C1048" s="2" t="s">
        <v>809</v>
      </c>
      <c r="D1048" s="1" t="s">
        <v>170</v>
      </c>
      <c r="E1048" s="3" t="str">
        <f>""</f>
        <v/>
      </c>
      <c r="F1048" s="2" t="s">
        <v>27</v>
      </c>
      <c r="G1048" s="2" t="str">
        <f t="shared" si="102"/>
        <v>AUTOMEHANIKA D.D., KOVINSKA 4, 10000 ZAGREB, OIB: 5223317126</v>
      </c>
      <c r="H1048" s="1" t="str">
        <f t="shared" si="103"/>
        <v>AUTOMEHANIKA D.D., OIB: 5223317126</v>
      </c>
      <c r="I1048" s="1" t="s">
        <v>579</v>
      </c>
      <c r="J1048" s="1" t="s">
        <v>303</v>
      </c>
      <c r="K1048" s="6" t="str">
        <f>"6.321,70"</f>
        <v>6.321,70</v>
      </c>
      <c r="L1048" s="6" t="str">
        <f>"1.580,43"</f>
        <v>1.580,43</v>
      </c>
      <c r="M1048" s="6" t="str">
        <f>"7.902,13"</f>
        <v>7.902,13</v>
      </c>
      <c r="N1048" s="5">
        <v>43634</v>
      </c>
      <c r="O1048" s="7"/>
      <c r="P1048" s="6" t="str">
        <f>"7.902,12"</f>
        <v>7.902,12</v>
      </c>
      <c r="Q1048" s="7"/>
      <c r="R1048" s="1"/>
      <c r="S1048" s="1" t="str">
        <f>"59-19/NOS-108-B/17"</f>
        <v>59-19/NOS-108-B/17</v>
      </c>
      <c r="T1048" s="2" t="s">
        <v>33</v>
      </c>
    </row>
    <row r="1049" spans="1:20" ht="38.25" x14ac:dyDescent="0.25">
      <c r="A1049" s="1">
        <v>1045</v>
      </c>
      <c r="B1049" s="1" t="str">
        <f t="shared" si="101"/>
        <v>2017-380</v>
      </c>
      <c r="C1049" s="2" t="s">
        <v>809</v>
      </c>
      <c r="D1049" s="1" t="s">
        <v>170</v>
      </c>
      <c r="E1049" s="3" t="str">
        <f>""</f>
        <v/>
      </c>
      <c r="F1049" s="2" t="s">
        <v>27</v>
      </c>
      <c r="G1049" s="2" t="str">
        <f t="shared" si="102"/>
        <v>AUTOMEHANIKA D.D., KOVINSKA 4, 10000 ZAGREB, OIB: 5223317126</v>
      </c>
      <c r="H1049" s="1" t="str">
        <f t="shared" si="103"/>
        <v>AUTOMEHANIKA D.D., OIB: 5223317126</v>
      </c>
      <c r="I1049" s="1" t="s">
        <v>403</v>
      </c>
      <c r="J1049" s="1" t="s">
        <v>303</v>
      </c>
      <c r="K1049" s="6" t="str">
        <f>"104,20"</f>
        <v>104,20</v>
      </c>
      <c r="L1049" s="6" t="str">
        <f>"26,05"</f>
        <v>26,05</v>
      </c>
      <c r="M1049" s="6" t="str">
        <f>"130,25"</f>
        <v>130,25</v>
      </c>
      <c r="N1049" s="5">
        <v>43648</v>
      </c>
      <c r="O1049" s="7"/>
      <c r="P1049" s="6" t="str">
        <f>"130,25"</f>
        <v>130,25</v>
      </c>
      <c r="Q1049" s="7"/>
      <c r="R1049" s="1"/>
      <c r="S1049" s="1" t="str">
        <f>"60-19/NOS-108-B/17"</f>
        <v>60-19/NOS-108-B/17</v>
      </c>
      <c r="T1049" s="2" t="s">
        <v>33</v>
      </c>
    </row>
    <row r="1050" spans="1:20" ht="38.25" x14ac:dyDescent="0.25">
      <c r="A1050" s="1">
        <v>1046</v>
      </c>
      <c r="B1050" s="1" t="str">
        <f t="shared" si="101"/>
        <v>2017-380</v>
      </c>
      <c r="C1050" s="2" t="s">
        <v>809</v>
      </c>
      <c r="D1050" s="1" t="s">
        <v>170</v>
      </c>
      <c r="E1050" s="3" t="str">
        <f>""</f>
        <v/>
      </c>
      <c r="F1050" s="2" t="s">
        <v>27</v>
      </c>
      <c r="G1050" s="2" t="str">
        <f t="shared" si="102"/>
        <v>AUTOMEHANIKA D.D., KOVINSKA 4, 10000 ZAGREB, OIB: 5223317126</v>
      </c>
      <c r="H1050" s="1" t="str">
        <f t="shared" si="103"/>
        <v>AUTOMEHANIKA D.D., OIB: 5223317126</v>
      </c>
      <c r="I1050" s="1" t="s">
        <v>424</v>
      </c>
      <c r="J1050" s="1" t="s">
        <v>303</v>
      </c>
      <c r="K1050" s="6" t="str">
        <f>"2.428,68"</f>
        <v>2.428,68</v>
      </c>
      <c r="L1050" s="6" t="str">
        <f>"587,27"</f>
        <v>587,27</v>
      </c>
      <c r="M1050" s="6" t="str">
        <f>"2.936,33"</f>
        <v>2.936,33</v>
      </c>
      <c r="N1050" s="5">
        <v>43714</v>
      </c>
      <c r="O1050" s="7"/>
      <c r="P1050" s="6" t="str">
        <f>"2.936,32"</f>
        <v>2.936,32</v>
      </c>
      <c r="Q1050" s="7"/>
      <c r="R1050" s="1"/>
      <c r="S1050" s="1" t="str">
        <f>"61-19/NOS-108-B/17"</f>
        <v>61-19/NOS-108-B/17</v>
      </c>
      <c r="T1050" s="2" t="s">
        <v>33</v>
      </c>
    </row>
    <row r="1051" spans="1:20" ht="38.25" x14ac:dyDescent="0.25">
      <c r="A1051" s="1">
        <v>1047</v>
      </c>
      <c r="B1051" s="1" t="str">
        <f t="shared" si="101"/>
        <v>2017-380</v>
      </c>
      <c r="C1051" s="2" t="s">
        <v>809</v>
      </c>
      <c r="D1051" s="1" t="s">
        <v>170</v>
      </c>
      <c r="E1051" s="3" t="str">
        <f>""</f>
        <v/>
      </c>
      <c r="F1051" s="2" t="s">
        <v>27</v>
      </c>
      <c r="G1051" s="2" t="str">
        <f t="shared" si="102"/>
        <v>AUTOMEHANIKA D.D., KOVINSKA 4, 10000 ZAGREB, OIB: 5223317126</v>
      </c>
      <c r="H1051" s="1" t="str">
        <f t="shared" si="103"/>
        <v>AUTOMEHANIKA D.D., OIB: 5223317126</v>
      </c>
      <c r="I1051" s="1" t="s">
        <v>396</v>
      </c>
      <c r="J1051" s="1" t="s">
        <v>303</v>
      </c>
      <c r="K1051" s="6" t="str">
        <f>"2.688,06"</f>
        <v>2.688,06</v>
      </c>
      <c r="L1051" s="6" t="str">
        <f>"0,00"</f>
        <v>0,00</v>
      </c>
      <c r="M1051" s="6" t="str">
        <f>"0,00"</f>
        <v>0,00</v>
      </c>
      <c r="N1051" s="1" t="s">
        <v>117</v>
      </c>
      <c r="O1051" s="7"/>
      <c r="P1051" s="6" t="str">
        <f>"0,00"</f>
        <v>0,00</v>
      </c>
      <c r="Q1051" s="7"/>
      <c r="R1051" s="1"/>
      <c r="S1051" s="1" t="str">
        <f>"62-19/NOS-108-B/17"</f>
        <v>62-19/NOS-108-B/17</v>
      </c>
      <c r="T1051" s="2" t="s">
        <v>29</v>
      </c>
    </row>
    <row r="1052" spans="1:20" ht="38.25" x14ac:dyDescent="0.25">
      <c r="A1052" s="1">
        <v>1048</v>
      </c>
      <c r="B1052" s="1" t="str">
        <f t="shared" si="101"/>
        <v>2017-380</v>
      </c>
      <c r="C1052" s="2" t="s">
        <v>809</v>
      </c>
      <c r="D1052" s="1" t="s">
        <v>170</v>
      </c>
      <c r="E1052" s="3" t="str">
        <f>""</f>
        <v/>
      </c>
      <c r="F1052" s="2" t="s">
        <v>27</v>
      </c>
      <c r="G1052" s="2" t="str">
        <f t="shared" si="102"/>
        <v>AUTOMEHANIKA D.D., KOVINSKA 4, 10000 ZAGREB, OIB: 5223317126</v>
      </c>
      <c r="H1052" s="1" t="str">
        <f t="shared" si="103"/>
        <v>AUTOMEHANIKA D.D., OIB: 5223317126</v>
      </c>
      <c r="I1052" s="1" t="s">
        <v>638</v>
      </c>
      <c r="J1052" s="1" t="s">
        <v>303</v>
      </c>
      <c r="K1052" s="6" t="str">
        <f>"5.035,44"</f>
        <v>5.035,44</v>
      </c>
      <c r="L1052" s="6" t="str">
        <f>"871,04"</f>
        <v>871,04</v>
      </c>
      <c r="M1052" s="6" t="str">
        <f>"4.355,18"</f>
        <v>4.355,18</v>
      </c>
      <c r="N1052" s="5">
        <v>43646</v>
      </c>
      <c r="O1052" s="7"/>
      <c r="P1052" s="6" t="str">
        <f>"4.355,18"</f>
        <v>4.355,18</v>
      </c>
      <c r="Q1052" s="7"/>
      <c r="R1052" s="1"/>
      <c r="S1052" s="1" t="str">
        <f>"63-19/NOS-108-B/17"</f>
        <v>63-19/NOS-108-B/17</v>
      </c>
      <c r="T1052" s="2" t="s">
        <v>33</v>
      </c>
    </row>
    <row r="1053" spans="1:20" ht="38.25" x14ac:dyDescent="0.25">
      <c r="A1053" s="1">
        <v>1049</v>
      </c>
      <c r="B1053" s="1" t="str">
        <f t="shared" si="101"/>
        <v>2017-380</v>
      </c>
      <c r="C1053" s="2" t="s">
        <v>809</v>
      </c>
      <c r="D1053" s="1" t="s">
        <v>170</v>
      </c>
      <c r="E1053" s="3" t="str">
        <f>"2017/S 0F2-0015292"</f>
        <v>2017/S 0F2-0015292</v>
      </c>
      <c r="F1053" s="2" t="s">
        <v>23</v>
      </c>
      <c r="G1053" s="2" t="str">
        <f t="shared" si="102"/>
        <v>AUTOMEHANIKA D.D., KOVINSKA 4, 10000 ZAGREB, OIB: 5223317126</v>
      </c>
      <c r="H1053" s="1" t="str">
        <f t="shared" si="103"/>
        <v>AUTOMEHANIKA D.D., OIB: 5223317126</v>
      </c>
      <c r="I1053" s="1" t="s">
        <v>799</v>
      </c>
      <c r="J1053" s="1" t="s">
        <v>810</v>
      </c>
      <c r="K1053" s="6" t="str">
        <f>"1.050.000,00"</f>
        <v>1.050.000,00</v>
      </c>
      <c r="L1053" s="6" t="str">
        <f>"262.500,00"</f>
        <v>262.500,00</v>
      </c>
      <c r="M1053" s="6" t="str">
        <f>"1.312.500,00"</f>
        <v>1.312.500,00</v>
      </c>
      <c r="N1053" s="7"/>
      <c r="O1053" s="7"/>
      <c r="P1053" s="6" t="str">
        <f>""</f>
        <v/>
      </c>
      <c r="Q1053" s="7"/>
      <c r="R1053" s="1"/>
      <c r="S1053" s="1" t="str">
        <f>"NOS-108-C/17"</f>
        <v>NOS-108-C/17</v>
      </c>
      <c r="T1053" s="2" t="s">
        <v>26</v>
      </c>
    </row>
    <row r="1054" spans="1:20" ht="38.25" x14ac:dyDescent="0.25">
      <c r="A1054" s="1">
        <v>1050</v>
      </c>
      <c r="B1054" s="1" t="str">
        <f t="shared" si="101"/>
        <v>2017-380</v>
      </c>
      <c r="C1054" s="2" t="s">
        <v>809</v>
      </c>
      <c r="D1054" s="1" t="s">
        <v>170</v>
      </c>
      <c r="E1054" s="3" t="str">
        <f>""</f>
        <v/>
      </c>
      <c r="F1054" s="2" t="s">
        <v>27</v>
      </c>
      <c r="G1054" s="2" t="str">
        <f t="shared" si="102"/>
        <v>AUTOMEHANIKA D.D., KOVINSKA 4, 10000 ZAGREB, OIB: 5223317126</v>
      </c>
      <c r="H1054" s="1" t="str">
        <f t="shared" si="103"/>
        <v>AUTOMEHANIKA D.D., OIB: 5223317126</v>
      </c>
      <c r="I1054" s="1" t="s">
        <v>225</v>
      </c>
      <c r="J1054" s="1" t="s">
        <v>303</v>
      </c>
      <c r="K1054" s="6" t="str">
        <f>"451,28"</f>
        <v>451,28</v>
      </c>
      <c r="L1054" s="6" t="str">
        <f>"112,82"</f>
        <v>112,82</v>
      </c>
      <c r="M1054" s="6" t="str">
        <f>"564,10"</f>
        <v>564,10</v>
      </c>
      <c r="N1054" s="5">
        <v>43511</v>
      </c>
      <c r="O1054" s="7"/>
      <c r="P1054" s="6" t="str">
        <f>"564,10"</f>
        <v>564,10</v>
      </c>
      <c r="Q1054" s="7"/>
      <c r="R1054" s="1"/>
      <c r="S1054" s="1" t="str">
        <f>"1-19/NOS-108-C/17"</f>
        <v>1-19/NOS-108-C/17</v>
      </c>
      <c r="T1054" s="2" t="s">
        <v>33</v>
      </c>
    </row>
    <row r="1055" spans="1:20" ht="38.25" x14ac:dyDescent="0.25">
      <c r="A1055" s="1">
        <v>1051</v>
      </c>
      <c r="B1055" s="1" t="str">
        <f t="shared" si="101"/>
        <v>2017-380</v>
      </c>
      <c r="C1055" s="2" t="s">
        <v>809</v>
      </c>
      <c r="D1055" s="1" t="s">
        <v>170</v>
      </c>
      <c r="E1055" s="3" t="str">
        <f>""</f>
        <v/>
      </c>
      <c r="F1055" s="2" t="s">
        <v>27</v>
      </c>
      <c r="G1055" s="2" t="str">
        <f t="shared" si="102"/>
        <v>AUTOMEHANIKA D.D., KOVINSKA 4, 10000 ZAGREB, OIB: 5223317126</v>
      </c>
      <c r="H1055" s="1" t="str">
        <f t="shared" si="103"/>
        <v>AUTOMEHANIKA D.D., OIB: 5223317126</v>
      </c>
      <c r="I1055" s="1" t="s">
        <v>339</v>
      </c>
      <c r="J1055" s="1" t="s">
        <v>303</v>
      </c>
      <c r="K1055" s="6" t="str">
        <f>"3.723,87"</f>
        <v>3.723,87</v>
      </c>
      <c r="L1055" s="6" t="str">
        <f>"930,97"</f>
        <v>930,97</v>
      </c>
      <c r="M1055" s="6" t="str">
        <f>"4.654,84"</f>
        <v>4.654,84</v>
      </c>
      <c r="N1055" s="5">
        <v>43614</v>
      </c>
      <c r="O1055" s="7"/>
      <c r="P1055" s="6" t="str">
        <f>"4.654,84"</f>
        <v>4.654,84</v>
      </c>
      <c r="Q1055" s="7"/>
      <c r="R1055" s="1"/>
      <c r="S1055" s="1" t="str">
        <f>"2-19/NOS-108-C/17"</f>
        <v>2-19/NOS-108-C/17</v>
      </c>
      <c r="T1055" s="2" t="s">
        <v>33</v>
      </c>
    </row>
    <row r="1056" spans="1:20" ht="38.25" x14ac:dyDescent="0.25">
      <c r="A1056" s="1">
        <v>1052</v>
      </c>
      <c r="B1056" s="1" t="str">
        <f t="shared" si="101"/>
        <v>2017-380</v>
      </c>
      <c r="C1056" s="2" t="s">
        <v>809</v>
      </c>
      <c r="D1056" s="1" t="s">
        <v>170</v>
      </c>
      <c r="E1056" s="3" t="str">
        <f>""</f>
        <v/>
      </c>
      <c r="F1056" s="2" t="s">
        <v>27</v>
      </c>
      <c r="G1056" s="2" t="str">
        <f t="shared" si="102"/>
        <v>AUTOMEHANIKA D.D., KOVINSKA 4, 10000 ZAGREB, OIB: 5223317126</v>
      </c>
      <c r="H1056" s="1" t="str">
        <f t="shared" si="103"/>
        <v>AUTOMEHANIKA D.D., OIB: 5223317126</v>
      </c>
      <c r="I1056" s="1" t="s">
        <v>241</v>
      </c>
      <c r="J1056" s="1" t="s">
        <v>303</v>
      </c>
      <c r="K1056" s="6" t="str">
        <f>"521,59"</f>
        <v>521,59</v>
      </c>
      <c r="L1056" s="6" t="str">
        <f>"130,40"</f>
        <v>130,40</v>
      </c>
      <c r="M1056" s="6" t="str">
        <f>"651,99"</f>
        <v>651,99</v>
      </c>
      <c r="N1056" s="5">
        <v>43514</v>
      </c>
      <c r="O1056" s="7"/>
      <c r="P1056" s="6" t="str">
        <f>"651,99"</f>
        <v>651,99</v>
      </c>
      <c r="Q1056" s="7"/>
      <c r="R1056" s="1"/>
      <c r="S1056" s="1" t="str">
        <f>"3-19/NOS-108-C/17"</f>
        <v>3-19/NOS-108-C/17</v>
      </c>
      <c r="T1056" s="2" t="s">
        <v>33</v>
      </c>
    </row>
    <row r="1057" spans="1:20" ht="38.25" x14ac:dyDescent="0.25">
      <c r="A1057" s="1">
        <v>1053</v>
      </c>
      <c r="B1057" s="1" t="str">
        <f t="shared" si="101"/>
        <v>2017-380</v>
      </c>
      <c r="C1057" s="2" t="s">
        <v>809</v>
      </c>
      <c r="D1057" s="1" t="s">
        <v>170</v>
      </c>
      <c r="E1057" s="3" t="str">
        <f>""</f>
        <v/>
      </c>
      <c r="F1057" s="2" t="s">
        <v>27</v>
      </c>
      <c r="G1057" s="2" t="str">
        <f t="shared" si="102"/>
        <v>AUTOMEHANIKA D.D., KOVINSKA 4, 10000 ZAGREB, OIB: 5223317126</v>
      </c>
      <c r="H1057" s="1" t="str">
        <f t="shared" si="103"/>
        <v>AUTOMEHANIKA D.D., OIB: 5223317126</v>
      </c>
      <c r="I1057" s="1" t="s">
        <v>462</v>
      </c>
      <c r="J1057" s="1" t="s">
        <v>303</v>
      </c>
      <c r="K1057" s="6" t="str">
        <f>"20.727,44"</f>
        <v>20.727,44</v>
      </c>
      <c r="L1057" s="6" t="str">
        <f>"5.181,86"</f>
        <v>5.181,86</v>
      </c>
      <c r="M1057" s="6" t="str">
        <f>"25.909,31"</f>
        <v>25.909,31</v>
      </c>
      <c r="N1057" s="5">
        <v>43552</v>
      </c>
      <c r="O1057" s="7"/>
      <c r="P1057" s="6" t="str">
        <f>"25.909,30"</f>
        <v>25.909,30</v>
      </c>
      <c r="Q1057" s="7"/>
      <c r="R1057" s="1"/>
      <c r="S1057" s="1" t="str">
        <f>"4-19/NOS-108-C/17"</f>
        <v>4-19/NOS-108-C/17</v>
      </c>
      <c r="T1057" s="2" t="s">
        <v>33</v>
      </c>
    </row>
    <row r="1058" spans="1:20" ht="38.25" x14ac:dyDescent="0.25">
      <c r="A1058" s="1">
        <v>1054</v>
      </c>
      <c r="B1058" s="1" t="str">
        <f t="shared" si="101"/>
        <v>2017-380</v>
      </c>
      <c r="C1058" s="2" t="s">
        <v>809</v>
      </c>
      <c r="D1058" s="1" t="s">
        <v>170</v>
      </c>
      <c r="E1058" s="3" t="str">
        <f>""</f>
        <v/>
      </c>
      <c r="F1058" s="2" t="s">
        <v>27</v>
      </c>
      <c r="G1058" s="2" t="str">
        <f t="shared" si="102"/>
        <v>AUTOMEHANIKA D.D., KOVINSKA 4, 10000 ZAGREB, OIB: 5223317126</v>
      </c>
      <c r="H1058" s="1" t="str">
        <f t="shared" si="103"/>
        <v>AUTOMEHANIKA D.D., OIB: 5223317126</v>
      </c>
      <c r="I1058" s="1" t="s">
        <v>195</v>
      </c>
      <c r="J1058" s="1" t="s">
        <v>303</v>
      </c>
      <c r="K1058" s="6" t="str">
        <f>"948,38"</f>
        <v>948,38</v>
      </c>
      <c r="L1058" s="6" t="str">
        <f>"237,10"</f>
        <v>237,10</v>
      </c>
      <c r="M1058" s="6" t="str">
        <f>"1.185,48"</f>
        <v>1.185,48</v>
      </c>
      <c r="N1058" s="5">
        <v>43528</v>
      </c>
      <c r="O1058" s="7"/>
      <c r="P1058" s="6" t="str">
        <f>"1.185,48"</f>
        <v>1.185,48</v>
      </c>
      <c r="Q1058" s="7"/>
      <c r="R1058" s="1"/>
      <c r="S1058" s="1" t="str">
        <f>"5-19/NOS-108-C/17"</f>
        <v>5-19/NOS-108-C/17</v>
      </c>
      <c r="T1058" s="2" t="s">
        <v>33</v>
      </c>
    </row>
    <row r="1059" spans="1:20" ht="38.25" x14ac:dyDescent="0.25">
      <c r="A1059" s="1">
        <v>1055</v>
      </c>
      <c r="B1059" s="1" t="str">
        <f t="shared" ref="B1059:B1077" si="105">"2017-380"</f>
        <v>2017-380</v>
      </c>
      <c r="C1059" s="2" t="s">
        <v>809</v>
      </c>
      <c r="D1059" s="1" t="s">
        <v>170</v>
      </c>
      <c r="E1059" s="3" t="str">
        <f>""</f>
        <v/>
      </c>
      <c r="F1059" s="2" t="s">
        <v>27</v>
      </c>
      <c r="G1059" s="2" t="str">
        <f t="shared" ref="G1059:G1075" si="106">CONCATENATE("AUTOMEHANIKA D.D.,"," KOVINSKA 4,"," 10000 ZAGREB,"," OIB: 5223317126")</f>
        <v>AUTOMEHANIKA D.D., KOVINSKA 4, 10000 ZAGREB, OIB: 5223317126</v>
      </c>
      <c r="H1059" s="1" t="str">
        <f t="shared" ref="H1059:H1077" si="107">CONCATENATE("AUTOMEHANIKA D.D.,"," OIB: 5223317126")</f>
        <v>AUTOMEHANIKA D.D., OIB: 5223317126</v>
      </c>
      <c r="I1059" s="1" t="s">
        <v>293</v>
      </c>
      <c r="J1059" s="1" t="s">
        <v>303</v>
      </c>
      <c r="K1059" s="6" t="str">
        <f>"5.173,19"</f>
        <v>5.173,19</v>
      </c>
      <c r="L1059" s="6" t="str">
        <f>"1.019,19"</f>
        <v>1.019,19</v>
      </c>
      <c r="M1059" s="6" t="str">
        <f>"5.095,96"</f>
        <v>5.095,96</v>
      </c>
      <c r="N1059" s="5">
        <v>43542</v>
      </c>
      <c r="O1059" s="7"/>
      <c r="P1059" s="6" t="str">
        <f>"5.095,96"</f>
        <v>5.095,96</v>
      </c>
      <c r="Q1059" s="7"/>
      <c r="R1059" s="1"/>
      <c r="S1059" s="1" t="str">
        <f>"6-19/NOS-108-C/17"</f>
        <v>6-19/NOS-108-C/17</v>
      </c>
      <c r="T1059" s="2" t="s">
        <v>33</v>
      </c>
    </row>
    <row r="1060" spans="1:20" ht="38.25" x14ac:dyDescent="0.25">
      <c r="A1060" s="1">
        <v>1056</v>
      </c>
      <c r="B1060" s="1" t="str">
        <f t="shared" si="105"/>
        <v>2017-380</v>
      </c>
      <c r="C1060" s="2" t="s">
        <v>809</v>
      </c>
      <c r="D1060" s="1" t="s">
        <v>170</v>
      </c>
      <c r="E1060" s="3" t="str">
        <f>""</f>
        <v/>
      </c>
      <c r="F1060" s="2" t="s">
        <v>27</v>
      </c>
      <c r="G1060" s="2" t="str">
        <f t="shared" si="106"/>
        <v>AUTOMEHANIKA D.D., KOVINSKA 4, 10000 ZAGREB, OIB: 5223317126</v>
      </c>
      <c r="H1060" s="1" t="str">
        <f t="shared" si="107"/>
        <v>AUTOMEHANIKA D.D., OIB: 5223317126</v>
      </c>
      <c r="I1060" s="1" t="s">
        <v>297</v>
      </c>
      <c r="J1060" s="1" t="s">
        <v>303</v>
      </c>
      <c r="K1060" s="6" t="str">
        <f>"5.353,38"</f>
        <v>5.353,38</v>
      </c>
      <c r="L1060" s="6" t="str">
        <f>"1.338,34"</f>
        <v>1.338,34</v>
      </c>
      <c r="M1060" s="6" t="str">
        <f>"6.691,72"</f>
        <v>6.691,72</v>
      </c>
      <c r="N1060" s="5">
        <v>43560</v>
      </c>
      <c r="O1060" s="7"/>
      <c r="P1060" s="6" t="str">
        <f>"6.691,72"</f>
        <v>6.691,72</v>
      </c>
      <c r="Q1060" s="7"/>
      <c r="R1060" s="1"/>
      <c r="S1060" s="1" t="str">
        <f>"7-19/NOS-108-C/17"</f>
        <v>7-19/NOS-108-C/17</v>
      </c>
      <c r="T1060" s="2" t="s">
        <v>33</v>
      </c>
    </row>
    <row r="1061" spans="1:20" ht="38.25" x14ac:dyDescent="0.25">
      <c r="A1061" s="1">
        <v>1057</v>
      </c>
      <c r="B1061" s="1" t="str">
        <f t="shared" si="105"/>
        <v>2017-380</v>
      </c>
      <c r="C1061" s="2" t="s">
        <v>809</v>
      </c>
      <c r="D1061" s="1" t="s">
        <v>170</v>
      </c>
      <c r="E1061" s="3" t="str">
        <f>""</f>
        <v/>
      </c>
      <c r="F1061" s="2" t="s">
        <v>27</v>
      </c>
      <c r="G1061" s="2" t="str">
        <f t="shared" si="106"/>
        <v>AUTOMEHANIKA D.D., KOVINSKA 4, 10000 ZAGREB, OIB: 5223317126</v>
      </c>
      <c r="H1061" s="1" t="str">
        <f t="shared" si="107"/>
        <v>AUTOMEHANIKA D.D., OIB: 5223317126</v>
      </c>
      <c r="I1061" s="1" t="s">
        <v>463</v>
      </c>
      <c r="J1061" s="1" t="s">
        <v>303</v>
      </c>
      <c r="K1061" s="6" t="str">
        <f>"900,29"</f>
        <v>900,29</v>
      </c>
      <c r="L1061" s="6" t="str">
        <f>"225,07"</f>
        <v>225,07</v>
      </c>
      <c r="M1061" s="6" t="str">
        <f>"1.125,36"</f>
        <v>1.125,36</v>
      </c>
      <c r="N1061" s="5">
        <v>43614</v>
      </c>
      <c r="O1061" s="7"/>
      <c r="P1061" s="6" t="str">
        <f>"1.125,36"</f>
        <v>1.125,36</v>
      </c>
      <c r="Q1061" s="7"/>
      <c r="R1061" s="1"/>
      <c r="S1061" s="1" t="str">
        <f>"8-19/NOS-108-C/17"</f>
        <v>8-19/NOS-108-C/17</v>
      </c>
      <c r="T1061" s="2" t="s">
        <v>33</v>
      </c>
    </row>
    <row r="1062" spans="1:20" ht="38.25" x14ac:dyDescent="0.25">
      <c r="A1062" s="1">
        <v>1058</v>
      </c>
      <c r="B1062" s="1" t="str">
        <f t="shared" si="105"/>
        <v>2017-380</v>
      </c>
      <c r="C1062" s="2" t="s">
        <v>809</v>
      </c>
      <c r="D1062" s="1" t="s">
        <v>170</v>
      </c>
      <c r="E1062" s="3" t="str">
        <f>""</f>
        <v/>
      </c>
      <c r="F1062" s="2" t="s">
        <v>27</v>
      </c>
      <c r="G1062" s="2" t="str">
        <f t="shared" si="106"/>
        <v>AUTOMEHANIKA D.D., KOVINSKA 4, 10000 ZAGREB, OIB: 5223317126</v>
      </c>
      <c r="H1062" s="1" t="str">
        <f t="shared" si="107"/>
        <v>AUTOMEHANIKA D.D., OIB: 5223317126</v>
      </c>
      <c r="I1062" s="1" t="s">
        <v>340</v>
      </c>
      <c r="J1062" s="1" t="s">
        <v>303</v>
      </c>
      <c r="K1062" s="6" t="str">
        <f>"4.712,92"</f>
        <v>4.712,92</v>
      </c>
      <c r="L1062" s="6" t="str">
        <f>"1.178,23"</f>
        <v>1.178,23</v>
      </c>
      <c r="M1062" s="6" t="str">
        <f>"5.891,15"</f>
        <v>5.891,15</v>
      </c>
      <c r="N1062" s="5">
        <v>43566</v>
      </c>
      <c r="O1062" s="7"/>
      <c r="P1062" s="6" t="str">
        <f>"5.891,15"</f>
        <v>5.891,15</v>
      </c>
      <c r="Q1062" s="7"/>
      <c r="R1062" s="1"/>
      <c r="S1062" s="1" t="str">
        <f>"9-19/NOS-108-C/17"</f>
        <v>9-19/NOS-108-C/17</v>
      </c>
      <c r="T1062" s="2" t="s">
        <v>33</v>
      </c>
    </row>
    <row r="1063" spans="1:20" ht="38.25" x14ac:dyDescent="0.25">
      <c r="A1063" s="1">
        <v>1059</v>
      </c>
      <c r="B1063" s="1" t="str">
        <f t="shared" si="105"/>
        <v>2017-380</v>
      </c>
      <c r="C1063" s="2" t="s">
        <v>809</v>
      </c>
      <c r="D1063" s="1" t="s">
        <v>170</v>
      </c>
      <c r="E1063" s="3" t="str">
        <f>""</f>
        <v/>
      </c>
      <c r="F1063" s="2" t="s">
        <v>27</v>
      </c>
      <c r="G1063" s="2" t="str">
        <f t="shared" si="106"/>
        <v>AUTOMEHANIKA D.D., KOVINSKA 4, 10000 ZAGREB, OIB: 5223317126</v>
      </c>
      <c r="H1063" s="1" t="str">
        <f t="shared" si="107"/>
        <v>AUTOMEHANIKA D.D., OIB: 5223317126</v>
      </c>
      <c r="I1063" s="1" t="s">
        <v>340</v>
      </c>
      <c r="J1063" s="1" t="s">
        <v>303</v>
      </c>
      <c r="K1063" s="6" t="str">
        <f>"2.997,35"</f>
        <v>2.997,35</v>
      </c>
      <c r="L1063" s="6" t="str">
        <f>"749,34"</f>
        <v>749,34</v>
      </c>
      <c r="M1063" s="6" t="str">
        <f>"3.746,69"</f>
        <v>3.746,69</v>
      </c>
      <c r="N1063" s="5">
        <v>43617</v>
      </c>
      <c r="O1063" s="7"/>
      <c r="P1063" s="6" t="str">
        <f>"3.746,69"</f>
        <v>3.746,69</v>
      </c>
      <c r="Q1063" s="7"/>
      <c r="R1063" s="1"/>
      <c r="S1063" s="1" t="str">
        <f>"11-19/NOS-108-C/17"</f>
        <v>11-19/NOS-108-C/17</v>
      </c>
      <c r="T1063" s="2" t="s">
        <v>33</v>
      </c>
    </row>
    <row r="1064" spans="1:20" ht="38.25" x14ac:dyDescent="0.25">
      <c r="A1064" s="1">
        <v>1060</v>
      </c>
      <c r="B1064" s="1" t="str">
        <f t="shared" si="105"/>
        <v>2017-380</v>
      </c>
      <c r="C1064" s="2" t="s">
        <v>809</v>
      </c>
      <c r="D1064" s="1" t="s">
        <v>170</v>
      </c>
      <c r="E1064" s="3" t="str">
        <f>""</f>
        <v/>
      </c>
      <c r="F1064" s="2" t="s">
        <v>27</v>
      </c>
      <c r="G1064" s="2" t="str">
        <f t="shared" si="106"/>
        <v>AUTOMEHANIKA D.D., KOVINSKA 4, 10000 ZAGREB, OIB: 5223317126</v>
      </c>
      <c r="H1064" s="1" t="str">
        <f t="shared" si="107"/>
        <v>AUTOMEHANIKA D.D., OIB: 5223317126</v>
      </c>
      <c r="I1064" s="1" t="s">
        <v>343</v>
      </c>
      <c r="J1064" s="1" t="s">
        <v>303</v>
      </c>
      <c r="K1064" s="6" t="str">
        <f>"1.480,70"</f>
        <v>1.480,70</v>
      </c>
      <c r="L1064" s="6" t="str">
        <f>"370,18"</f>
        <v>370,18</v>
      </c>
      <c r="M1064" s="6" t="str">
        <f>"1.850,88"</f>
        <v>1.850,88</v>
      </c>
      <c r="N1064" s="5">
        <v>43646</v>
      </c>
      <c r="O1064" s="7"/>
      <c r="P1064" s="6" t="str">
        <f>"1.850,88"</f>
        <v>1.850,88</v>
      </c>
      <c r="Q1064" s="7"/>
      <c r="R1064" s="1"/>
      <c r="S1064" s="1" t="str">
        <f>"12-19/NOS-108-C/17"</f>
        <v>12-19/NOS-108-C/17</v>
      </c>
      <c r="T1064" s="2" t="s">
        <v>29</v>
      </c>
    </row>
    <row r="1065" spans="1:20" ht="38.25" x14ac:dyDescent="0.25">
      <c r="A1065" s="1">
        <v>1061</v>
      </c>
      <c r="B1065" s="1" t="str">
        <f t="shared" si="105"/>
        <v>2017-380</v>
      </c>
      <c r="C1065" s="2" t="s">
        <v>809</v>
      </c>
      <c r="D1065" s="1" t="s">
        <v>170</v>
      </c>
      <c r="E1065" s="3" t="str">
        <f>""</f>
        <v/>
      </c>
      <c r="F1065" s="2" t="s">
        <v>27</v>
      </c>
      <c r="G1065" s="2" t="str">
        <f t="shared" si="106"/>
        <v>AUTOMEHANIKA D.D., KOVINSKA 4, 10000 ZAGREB, OIB: 5223317126</v>
      </c>
      <c r="H1065" s="1" t="str">
        <f t="shared" si="107"/>
        <v>AUTOMEHANIKA D.D., OIB: 5223317126</v>
      </c>
      <c r="I1065" s="1" t="s">
        <v>322</v>
      </c>
      <c r="J1065" s="1" t="s">
        <v>303</v>
      </c>
      <c r="K1065" s="6" t="str">
        <f>"1.738,21"</f>
        <v>1.738,21</v>
      </c>
      <c r="L1065" s="6" t="str">
        <f>"434,55"</f>
        <v>434,55</v>
      </c>
      <c r="M1065" s="6" t="str">
        <f>"2.172,76"</f>
        <v>2.172,76</v>
      </c>
      <c r="N1065" s="5">
        <v>43566</v>
      </c>
      <c r="O1065" s="7"/>
      <c r="P1065" s="6" t="str">
        <f>"2.172,76"</f>
        <v>2.172,76</v>
      </c>
      <c r="Q1065" s="7"/>
      <c r="R1065" s="1"/>
      <c r="S1065" s="1" t="str">
        <f>"13-19/NOS-108-C/17"</f>
        <v>13-19/NOS-108-C/17</v>
      </c>
      <c r="T1065" s="2" t="s">
        <v>33</v>
      </c>
    </row>
    <row r="1066" spans="1:20" ht="38.25" x14ac:dyDescent="0.25">
      <c r="A1066" s="1">
        <v>1062</v>
      </c>
      <c r="B1066" s="1" t="str">
        <f t="shared" si="105"/>
        <v>2017-380</v>
      </c>
      <c r="C1066" s="2" t="s">
        <v>809</v>
      </c>
      <c r="D1066" s="1" t="s">
        <v>170</v>
      </c>
      <c r="E1066" s="3" t="str">
        <f>""</f>
        <v/>
      </c>
      <c r="F1066" s="2" t="s">
        <v>27</v>
      </c>
      <c r="G1066" s="2" t="str">
        <f t="shared" si="106"/>
        <v>AUTOMEHANIKA D.D., KOVINSKA 4, 10000 ZAGREB, OIB: 5223317126</v>
      </c>
      <c r="H1066" s="1" t="str">
        <f t="shared" si="107"/>
        <v>AUTOMEHANIKA D.D., OIB: 5223317126</v>
      </c>
      <c r="I1066" s="1" t="s">
        <v>318</v>
      </c>
      <c r="J1066" s="1" t="s">
        <v>303</v>
      </c>
      <c r="K1066" s="6" t="str">
        <f>"4.124,57"</f>
        <v>4.124,57</v>
      </c>
      <c r="L1066" s="6" t="str">
        <f>"1.031,14"</f>
        <v>1.031,14</v>
      </c>
      <c r="M1066" s="6" t="str">
        <f>"5.155,71"</f>
        <v>5.155,71</v>
      </c>
      <c r="N1066" s="5">
        <v>43614</v>
      </c>
      <c r="O1066" s="7"/>
      <c r="P1066" s="6" t="str">
        <f>"5.155,71"</f>
        <v>5.155,71</v>
      </c>
      <c r="Q1066" s="7"/>
      <c r="R1066" s="1"/>
      <c r="S1066" s="1" t="str">
        <f>"14-19/NOS-108-C/17"</f>
        <v>14-19/NOS-108-C/17</v>
      </c>
      <c r="T1066" s="2" t="s">
        <v>33</v>
      </c>
    </row>
    <row r="1067" spans="1:20" ht="38.25" x14ac:dyDescent="0.25">
      <c r="A1067" s="1">
        <v>1063</v>
      </c>
      <c r="B1067" s="1" t="str">
        <f t="shared" si="105"/>
        <v>2017-380</v>
      </c>
      <c r="C1067" s="2" t="s">
        <v>809</v>
      </c>
      <c r="D1067" s="1" t="s">
        <v>170</v>
      </c>
      <c r="E1067" s="3" t="str">
        <f>""</f>
        <v/>
      </c>
      <c r="F1067" s="2" t="s">
        <v>27</v>
      </c>
      <c r="G1067" s="2" t="str">
        <f t="shared" si="106"/>
        <v>AUTOMEHANIKA D.D., KOVINSKA 4, 10000 ZAGREB, OIB: 5223317126</v>
      </c>
      <c r="H1067" s="1" t="str">
        <f t="shared" si="107"/>
        <v>AUTOMEHANIKA D.D., OIB: 5223317126</v>
      </c>
      <c r="I1067" s="1" t="s">
        <v>318</v>
      </c>
      <c r="J1067" s="1" t="s">
        <v>303</v>
      </c>
      <c r="K1067" s="6" t="str">
        <f>"3.985,70"</f>
        <v>3.985,70</v>
      </c>
      <c r="L1067" s="6" t="str">
        <f>"996,43"</f>
        <v>996,43</v>
      </c>
      <c r="M1067" s="6" t="str">
        <f>"4.982,13"</f>
        <v>4.982,13</v>
      </c>
      <c r="N1067" s="5">
        <v>43612</v>
      </c>
      <c r="O1067" s="7"/>
      <c r="P1067" s="6" t="str">
        <f>"4.982,12"</f>
        <v>4.982,12</v>
      </c>
      <c r="Q1067" s="7"/>
      <c r="R1067" s="1"/>
      <c r="S1067" s="1" t="str">
        <f>"15-19/NOS-108-C/17"</f>
        <v>15-19/NOS-108-C/17</v>
      </c>
      <c r="T1067" s="2" t="s">
        <v>33</v>
      </c>
    </row>
    <row r="1068" spans="1:20" ht="38.25" x14ac:dyDescent="0.25">
      <c r="A1068" s="1">
        <v>1064</v>
      </c>
      <c r="B1068" s="1" t="str">
        <f t="shared" si="105"/>
        <v>2017-380</v>
      </c>
      <c r="C1068" s="2" t="s">
        <v>809</v>
      </c>
      <c r="D1068" s="1" t="s">
        <v>170</v>
      </c>
      <c r="E1068" s="3" t="str">
        <f>""</f>
        <v/>
      </c>
      <c r="F1068" s="2" t="s">
        <v>27</v>
      </c>
      <c r="G1068" s="2" t="str">
        <f t="shared" si="106"/>
        <v>AUTOMEHANIKA D.D., KOVINSKA 4, 10000 ZAGREB, OIB: 5223317126</v>
      </c>
      <c r="H1068" s="1" t="str">
        <f t="shared" si="107"/>
        <v>AUTOMEHANIKA D.D., OIB: 5223317126</v>
      </c>
      <c r="I1068" s="1" t="s">
        <v>446</v>
      </c>
      <c r="J1068" s="1" t="s">
        <v>303</v>
      </c>
      <c r="K1068" s="6" t="str">
        <f>"892,54"</f>
        <v>892,54</v>
      </c>
      <c r="L1068" s="6" t="str">
        <f>"223,13"</f>
        <v>223,13</v>
      </c>
      <c r="M1068" s="6" t="str">
        <f>"1.115,67"</f>
        <v>1.115,67</v>
      </c>
      <c r="N1068" s="5">
        <v>43594</v>
      </c>
      <c r="O1068" s="7"/>
      <c r="P1068" s="6" t="str">
        <f>"1.115,68"</f>
        <v>1.115,68</v>
      </c>
      <c r="Q1068" s="7"/>
      <c r="R1068" s="1"/>
      <c r="S1068" s="1" t="str">
        <f>"16-19/NOS-108-C/17"</f>
        <v>16-19/NOS-108-C/17</v>
      </c>
      <c r="T1068" s="2" t="s">
        <v>29</v>
      </c>
    </row>
    <row r="1069" spans="1:20" ht="38.25" x14ac:dyDescent="0.25">
      <c r="A1069" s="1">
        <v>1065</v>
      </c>
      <c r="B1069" s="1" t="str">
        <f t="shared" si="105"/>
        <v>2017-380</v>
      </c>
      <c r="C1069" s="2" t="s">
        <v>809</v>
      </c>
      <c r="D1069" s="1" t="s">
        <v>170</v>
      </c>
      <c r="E1069" s="3" t="str">
        <f>""</f>
        <v/>
      </c>
      <c r="F1069" s="2" t="s">
        <v>27</v>
      </c>
      <c r="G1069" s="2" t="str">
        <f t="shared" si="106"/>
        <v>AUTOMEHANIKA D.D., KOVINSKA 4, 10000 ZAGREB, OIB: 5223317126</v>
      </c>
      <c r="H1069" s="1" t="str">
        <f t="shared" si="107"/>
        <v>AUTOMEHANIKA D.D., OIB: 5223317126</v>
      </c>
      <c r="I1069" s="1" t="s">
        <v>446</v>
      </c>
      <c r="J1069" s="1" t="s">
        <v>303</v>
      </c>
      <c r="K1069" s="6" t="str">
        <f>"2.573,32"</f>
        <v>2.573,32</v>
      </c>
      <c r="L1069" s="6" t="str">
        <f>"643,33"</f>
        <v>643,33</v>
      </c>
      <c r="M1069" s="6" t="str">
        <f>"3.216,65"</f>
        <v>3.216,65</v>
      </c>
      <c r="N1069" s="5">
        <v>43628</v>
      </c>
      <c r="O1069" s="7"/>
      <c r="P1069" s="6" t="str">
        <f>"3.216,65"</f>
        <v>3.216,65</v>
      </c>
      <c r="Q1069" s="7"/>
      <c r="R1069" s="1"/>
      <c r="S1069" s="1" t="str">
        <f>"17-19/NOS-108-C/17"</f>
        <v>17-19/NOS-108-C/17</v>
      </c>
      <c r="T1069" s="2" t="s">
        <v>29</v>
      </c>
    </row>
    <row r="1070" spans="1:20" ht="38.25" x14ac:dyDescent="0.25">
      <c r="A1070" s="1">
        <v>1066</v>
      </c>
      <c r="B1070" s="1" t="str">
        <f t="shared" si="105"/>
        <v>2017-380</v>
      </c>
      <c r="C1070" s="2" t="s">
        <v>809</v>
      </c>
      <c r="D1070" s="1" t="s">
        <v>170</v>
      </c>
      <c r="E1070" s="3" t="str">
        <f>""</f>
        <v/>
      </c>
      <c r="F1070" s="2" t="s">
        <v>27</v>
      </c>
      <c r="G1070" s="2" t="str">
        <f t="shared" si="106"/>
        <v>AUTOMEHANIKA D.D., KOVINSKA 4, 10000 ZAGREB, OIB: 5223317126</v>
      </c>
      <c r="H1070" s="1" t="str">
        <f t="shared" si="107"/>
        <v>AUTOMEHANIKA D.D., OIB: 5223317126</v>
      </c>
      <c r="I1070" s="1" t="s">
        <v>481</v>
      </c>
      <c r="J1070" s="1" t="s">
        <v>303</v>
      </c>
      <c r="K1070" s="6" t="str">
        <f>"223,64"</f>
        <v>223,64</v>
      </c>
      <c r="L1070" s="6" t="str">
        <f>"55,91"</f>
        <v>55,91</v>
      </c>
      <c r="M1070" s="6" t="str">
        <f>"279,55"</f>
        <v>279,55</v>
      </c>
      <c r="N1070" s="5">
        <v>43617</v>
      </c>
      <c r="O1070" s="7"/>
      <c r="P1070" s="6" t="str">
        <f>"279,55"</f>
        <v>279,55</v>
      </c>
      <c r="Q1070" s="7"/>
      <c r="R1070" s="1"/>
      <c r="S1070" s="1" t="str">
        <f>"18-19/NOS-108-C/17"</f>
        <v>18-19/NOS-108-C/17</v>
      </c>
      <c r="T1070" s="2" t="s">
        <v>33</v>
      </c>
    </row>
    <row r="1071" spans="1:20" ht="38.25" x14ac:dyDescent="0.25">
      <c r="A1071" s="1">
        <v>1067</v>
      </c>
      <c r="B1071" s="1" t="str">
        <f t="shared" si="105"/>
        <v>2017-380</v>
      </c>
      <c r="C1071" s="2" t="s">
        <v>809</v>
      </c>
      <c r="D1071" s="1" t="s">
        <v>170</v>
      </c>
      <c r="E1071" s="3" t="str">
        <f>""</f>
        <v/>
      </c>
      <c r="F1071" s="2" t="s">
        <v>27</v>
      </c>
      <c r="G1071" s="2" t="str">
        <f t="shared" si="106"/>
        <v>AUTOMEHANIKA D.D., KOVINSKA 4, 10000 ZAGREB, OIB: 5223317126</v>
      </c>
      <c r="H1071" s="1" t="str">
        <f t="shared" si="107"/>
        <v>AUTOMEHANIKA D.D., OIB: 5223317126</v>
      </c>
      <c r="I1071" s="1" t="s">
        <v>475</v>
      </c>
      <c r="J1071" s="1" t="s">
        <v>303</v>
      </c>
      <c r="K1071" s="6" t="str">
        <f>"833,31"</f>
        <v>833,31</v>
      </c>
      <c r="L1071" s="6" t="str">
        <f>"208,33"</f>
        <v>208,33</v>
      </c>
      <c r="M1071" s="6" t="str">
        <f>"1.041,64"</f>
        <v>1.041,64</v>
      </c>
      <c r="N1071" s="5">
        <v>43621</v>
      </c>
      <c r="O1071" s="7"/>
      <c r="P1071" s="6" t="str">
        <f>"1.041,64"</f>
        <v>1.041,64</v>
      </c>
      <c r="Q1071" s="7"/>
      <c r="R1071" s="1"/>
      <c r="S1071" s="1" t="str">
        <f>"19-19/NOS-108-C/17"</f>
        <v>19-19/NOS-108-C/17</v>
      </c>
      <c r="T1071" s="2" t="s">
        <v>33</v>
      </c>
    </row>
    <row r="1072" spans="1:20" ht="38.25" x14ac:dyDescent="0.25">
      <c r="A1072" s="1">
        <v>1068</v>
      </c>
      <c r="B1072" s="1" t="str">
        <f t="shared" si="105"/>
        <v>2017-380</v>
      </c>
      <c r="C1072" s="2" t="s">
        <v>809</v>
      </c>
      <c r="D1072" s="1" t="s">
        <v>170</v>
      </c>
      <c r="E1072" s="3" t="str">
        <f>""</f>
        <v/>
      </c>
      <c r="F1072" s="2" t="s">
        <v>27</v>
      </c>
      <c r="G1072" s="2" t="str">
        <f t="shared" si="106"/>
        <v>AUTOMEHANIKA D.D., KOVINSKA 4, 10000 ZAGREB, OIB: 5223317126</v>
      </c>
      <c r="H1072" s="1" t="str">
        <f t="shared" si="107"/>
        <v>AUTOMEHANIKA D.D., OIB: 5223317126</v>
      </c>
      <c r="I1072" s="1" t="s">
        <v>317</v>
      </c>
      <c r="J1072" s="1" t="s">
        <v>303</v>
      </c>
      <c r="K1072" s="6" t="str">
        <f>"7.770,24"</f>
        <v>7.770,24</v>
      </c>
      <c r="L1072" s="6" t="str">
        <f>"1.942,56"</f>
        <v>1.942,56</v>
      </c>
      <c r="M1072" s="6" t="str">
        <f>"9.712,80"</f>
        <v>9.712,80</v>
      </c>
      <c r="N1072" s="5">
        <v>43619</v>
      </c>
      <c r="O1072" s="7"/>
      <c r="P1072" s="6" t="str">
        <f>"9.712,80"</f>
        <v>9.712,80</v>
      </c>
      <c r="Q1072" s="7"/>
      <c r="R1072" s="1"/>
      <c r="S1072" s="1" t="str">
        <f>"20-19/NOS-108-C/17"</f>
        <v>20-19/NOS-108-C/17</v>
      </c>
      <c r="T1072" s="2" t="s">
        <v>33</v>
      </c>
    </row>
    <row r="1073" spans="1:20" ht="38.25" x14ac:dyDescent="0.25">
      <c r="A1073" s="1">
        <v>1069</v>
      </c>
      <c r="B1073" s="1" t="str">
        <f t="shared" si="105"/>
        <v>2017-380</v>
      </c>
      <c r="C1073" s="2" t="s">
        <v>809</v>
      </c>
      <c r="D1073" s="1" t="s">
        <v>170</v>
      </c>
      <c r="E1073" s="3" t="str">
        <f>""</f>
        <v/>
      </c>
      <c r="F1073" s="2" t="s">
        <v>27</v>
      </c>
      <c r="G1073" s="2" t="str">
        <f t="shared" si="106"/>
        <v>AUTOMEHANIKA D.D., KOVINSKA 4, 10000 ZAGREB, OIB: 5223317126</v>
      </c>
      <c r="H1073" s="1" t="str">
        <f t="shared" si="107"/>
        <v>AUTOMEHANIKA D.D., OIB: 5223317126</v>
      </c>
      <c r="I1073" s="1" t="s">
        <v>642</v>
      </c>
      <c r="J1073" s="1" t="s">
        <v>303</v>
      </c>
      <c r="K1073" s="6" t="str">
        <f>"654,86"</f>
        <v>654,86</v>
      </c>
      <c r="L1073" s="6" t="str">
        <f>"163,71"</f>
        <v>163,71</v>
      </c>
      <c r="M1073" s="6" t="str">
        <f>"818,57"</f>
        <v>818,57</v>
      </c>
      <c r="N1073" s="5">
        <v>43646</v>
      </c>
      <c r="O1073" s="7"/>
      <c r="P1073" s="6" t="str">
        <f>"818,58"</f>
        <v>818,58</v>
      </c>
      <c r="Q1073" s="7"/>
      <c r="R1073" s="1"/>
      <c r="S1073" s="1" t="str">
        <f>"21-19/NOS-108-C/17"</f>
        <v>21-19/NOS-108-C/17</v>
      </c>
      <c r="T1073" s="2" t="s">
        <v>29</v>
      </c>
    </row>
    <row r="1074" spans="1:20" ht="38.25" x14ac:dyDescent="0.25">
      <c r="A1074" s="1">
        <v>1070</v>
      </c>
      <c r="B1074" s="1" t="str">
        <f t="shared" si="105"/>
        <v>2017-380</v>
      </c>
      <c r="C1074" s="2" t="s">
        <v>809</v>
      </c>
      <c r="D1074" s="1" t="s">
        <v>170</v>
      </c>
      <c r="E1074" s="3" t="str">
        <f>""</f>
        <v/>
      </c>
      <c r="F1074" s="2" t="s">
        <v>27</v>
      </c>
      <c r="G1074" s="2" t="str">
        <f t="shared" si="106"/>
        <v>AUTOMEHANIKA D.D., KOVINSKA 4, 10000 ZAGREB, OIB: 5223317126</v>
      </c>
      <c r="H1074" s="1" t="str">
        <f t="shared" si="107"/>
        <v>AUTOMEHANIKA D.D., OIB: 5223317126</v>
      </c>
      <c r="I1074" s="1" t="s">
        <v>320</v>
      </c>
      <c r="J1074" s="1" t="s">
        <v>303</v>
      </c>
      <c r="K1074" s="6" t="str">
        <f>"535,28"</f>
        <v>535,28</v>
      </c>
      <c r="L1074" s="6" t="str">
        <f>"0,00"</f>
        <v>0,00</v>
      </c>
      <c r="M1074" s="6" t="str">
        <f>"0,00"</f>
        <v>0,00</v>
      </c>
      <c r="N1074" s="1" t="s">
        <v>117</v>
      </c>
      <c r="O1074" s="7"/>
      <c r="P1074" s="6" t="str">
        <f>"0,00"</f>
        <v>0,00</v>
      </c>
      <c r="Q1074" s="7"/>
      <c r="R1074" s="1"/>
      <c r="S1074" s="1" t="str">
        <f>"22-19/NOS-108-C/17"</f>
        <v>22-19/NOS-108-C/17</v>
      </c>
      <c r="T1074" s="2" t="s">
        <v>33</v>
      </c>
    </row>
    <row r="1075" spans="1:20" ht="38.25" x14ac:dyDescent="0.25">
      <c r="A1075" s="1">
        <v>1071</v>
      </c>
      <c r="B1075" s="1" t="str">
        <f t="shared" si="105"/>
        <v>2017-380</v>
      </c>
      <c r="C1075" s="2" t="s">
        <v>809</v>
      </c>
      <c r="D1075" s="1" t="s">
        <v>170</v>
      </c>
      <c r="E1075" s="3" t="str">
        <f>""</f>
        <v/>
      </c>
      <c r="F1075" s="2" t="s">
        <v>27</v>
      </c>
      <c r="G1075" s="2" t="str">
        <f t="shared" si="106"/>
        <v>AUTOMEHANIKA D.D., KOVINSKA 4, 10000 ZAGREB, OIB: 5223317126</v>
      </c>
      <c r="H1075" s="1" t="str">
        <f t="shared" si="107"/>
        <v>AUTOMEHANIKA D.D., OIB: 5223317126</v>
      </c>
      <c r="I1075" s="1" t="s">
        <v>424</v>
      </c>
      <c r="J1075" s="1" t="s">
        <v>303</v>
      </c>
      <c r="K1075" s="6" t="str">
        <f>"3.745,95"</f>
        <v>3.745,95</v>
      </c>
      <c r="L1075" s="6" t="str">
        <f>"936,49"</f>
        <v>936,49</v>
      </c>
      <c r="M1075" s="6" t="str">
        <f>"4.682,44"</f>
        <v>4.682,44</v>
      </c>
      <c r="N1075" s="5">
        <v>43634</v>
      </c>
      <c r="O1075" s="7"/>
      <c r="P1075" s="6" t="str">
        <f>"4.682,44"</f>
        <v>4.682,44</v>
      </c>
      <c r="Q1075" s="7"/>
      <c r="R1075" s="1"/>
      <c r="S1075" s="1" t="str">
        <f>"23-19/NOS-108-C/17"</f>
        <v>23-19/NOS-108-C/17</v>
      </c>
      <c r="T1075" s="2" t="s">
        <v>33</v>
      </c>
    </row>
    <row r="1076" spans="1:20" ht="38.25" x14ac:dyDescent="0.25">
      <c r="A1076" s="1">
        <v>1072</v>
      </c>
      <c r="B1076" s="1" t="str">
        <f t="shared" si="105"/>
        <v>2017-380</v>
      </c>
      <c r="C1076" s="2" t="s">
        <v>809</v>
      </c>
      <c r="D1076" s="1" t="s">
        <v>170</v>
      </c>
      <c r="E1076" s="3" t="str">
        <f>"2017/S 0F2-0015292"</f>
        <v>2017/S 0F2-0015292</v>
      </c>
      <c r="F1076" s="2" t="s">
        <v>23</v>
      </c>
      <c r="G1076" s="2" t="str">
        <f>CONCATENATE("TRGOMETAL D.O.O.,"," KOVINSKA 4,"," 10090 ZAGREB-SUSEDGRAD,"," OIB: 26004523816")</f>
        <v>TRGOMETAL D.O.O., KOVINSKA 4, 10090 ZAGREB-SUSEDGRAD, OIB: 26004523816</v>
      </c>
      <c r="H1076" s="1" t="str">
        <f t="shared" si="107"/>
        <v>AUTOMEHANIKA D.D., OIB: 5223317126</v>
      </c>
      <c r="I1076" s="1" t="s">
        <v>799</v>
      </c>
      <c r="J1076" s="1" t="s">
        <v>810</v>
      </c>
      <c r="K1076" s="6" t="str">
        <f>"700.000,00"</f>
        <v>700.000,00</v>
      </c>
      <c r="L1076" s="6" t="str">
        <f>"175.000,00"</f>
        <v>175.000,00</v>
      </c>
      <c r="M1076" s="6" t="str">
        <f>"875.000,00"</f>
        <v>875.000,00</v>
      </c>
      <c r="N1076" s="7"/>
      <c r="O1076" s="7"/>
      <c r="P1076" s="6" t="str">
        <f>""</f>
        <v/>
      </c>
      <c r="Q1076" s="7"/>
      <c r="R1076" s="1"/>
      <c r="S1076" s="1" t="str">
        <f>"NOS-108-D/17"</f>
        <v>NOS-108-D/17</v>
      </c>
      <c r="T1076" s="2" t="s">
        <v>26</v>
      </c>
    </row>
    <row r="1077" spans="1:20" ht="38.25" x14ac:dyDescent="0.25">
      <c r="A1077" s="1">
        <v>1073</v>
      </c>
      <c r="B1077" s="1" t="str">
        <f t="shared" si="105"/>
        <v>2017-380</v>
      </c>
      <c r="C1077" s="2" t="s">
        <v>809</v>
      </c>
      <c r="D1077" s="1" t="s">
        <v>170</v>
      </c>
      <c r="E1077" s="3" t="str">
        <f>""</f>
        <v/>
      </c>
      <c r="F1077" s="2" t="s">
        <v>27</v>
      </c>
      <c r="G1077" s="2" t="str">
        <f>CONCATENATE("TRGOMETAL D.O.O.,"," KOVINSKA 4,"," 10090 ZAGREB-SUSEDGRAD,"," OIB: 26004523816")</f>
        <v>TRGOMETAL D.O.O., KOVINSKA 4, 10090 ZAGREB-SUSEDGRAD, OIB: 26004523816</v>
      </c>
      <c r="H1077" s="1" t="str">
        <f t="shared" si="107"/>
        <v>AUTOMEHANIKA D.D., OIB: 5223317126</v>
      </c>
      <c r="I1077" s="1" t="s">
        <v>423</v>
      </c>
      <c r="J1077" s="1" t="s">
        <v>303</v>
      </c>
      <c r="K1077" s="6" t="str">
        <f>"171,74"</f>
        <v>171,74</v>
      </c>
      <c r="L1077" s="6" t="str">
        <f>"42,94"</f>
        <v>42,94</v>
      </c>
      <c r="M1077" s="6" t="str">
        <f>"214,68"</f>
        <v>214,68</v>
      </c>
      <c r="N1077" s="5">
        <v>43543</v>
      </c>
      <c r="O1077" s="7"/>
      <c r="P1077" s="6" t="str">
        <f>"214,68"</f>
        <v>214,68</v>
      </c>
      <c r="Q1077" s="7"/>
      <c r="R1077" s="1"/>
      <c r="S1077" s="1" t="str">
        <f>"1-19/NOS-108-D/17"</f>
        <v>1-19/NOS-108-D/17</v>
      </c>
      <c r="T1077" s="2" t="s">
        <v>33</v>
      </c>
    </row>
    <row r="1078" spans="1:20" ht="38.25" x14ac:dyDescent="0.25">
      <c r="A1078" s="1">
        <v>1074</v>
      </c>
      <c r="B1078" s="1" t="str">
        <f>"2017-1938"</f>
        <v>2017-1938</v>
      </c>
      <c r="C1078" s="2" t="s">
        <v>811</v>
      </c>
      <c r="D1078" s="1" t="s">
        <v>812</v>
      </c>
      <c r="E1078" s="3" t="str">
        <f>"2017/S 0F2-0018755"</f>
        <v>2017/S 0F2-0018755</v>
      </c>
      <c r="F1078" s="2" t="s">
        <v>23</v>
      </c>
      <c r="G1078" s="2" t="str">
        <f>CONCATENATE("FDS-TRGOVINA D.O.O.,"," MAJSTORSKA 1G,"," 10000 ZAGREB,"," OIB: 71814187727")</f>
        <v>FDS-TRGOVINA D.O.O., MAJSTORSKA 1G, 10000 ZAGREB, OIB: 71814187727</v>
      </c>
      <c r="H1078" s="4"/>
      <c r="I1078" s="1" t="s">
        <v>783</v>
      </c>
      <c r="J1078" s="1" t="s">
        <v>784</v>
      </c>
      <c r="K1078" s="6" t="str">
        <f>"1.540.000,00"</f>
        <v>1.540.000,00</v>
      </c>
      <c r="L1078" s="6" t="str">
        <f>"385.000,00"</f>
        <v>385.000,00</v>
      </c>
      <c r="M1078" s="6" t="str">
        <f>"1.925.000,00"</f>
        <v>1.925.000,00</v>
      </c>
      <c r="N1078" s="7"/>
      <c r="O1078" s="7"/>
      <c r="P1078" s="6" t="str">
        <f>""</f>
        <v/>
      </c>
      <c r="Q1078" s="7"/>
      <c r="R1078" s="1"/>
      <c r="S1078" s="1" t="str">
        <f>"NOS-109/17"</f>
        <v>NOS-109/17</v>
      </c>
      <c r="T1078" s="2" t="s">
        <v>538</v>
      </c>
    </row>
    <row r="1079" spans="1:20" ht="102" x14ac:dyDescent="0.25">
      <c r="A1079" s="1">
        <v>1075</v>
      </c>
      <c r="B1079" s="1" t="str">
        <f t="shared" ref="B1079:B1089" si="108">"2017-2737"</f>
        <v>2017-2737</v>
      </c>
      <c r="C1079" s="2" t="s">
        <v>813</v>
      </c>
      <c r="D1079" s="1" t="s">
        <v>814</v>
      </c>
      <c r="E1079" s="3" t="str">
        <f>"2017/S 0F2-0016551"</f>
        <v>2017/S 0F2-0016551</v>
      </c>
      <c r="F1079" s="2" t="s">
        <v>23</v>
      </c>
      <c r="G1079" s="2" t="str">
        <f>CONCATENATE("INSAKO D.O.O.,"," PUŽEVA 11,"," 10000 ZAGREB,"," OIB: 39851720584",CHAR(10),"ALCA ZAGREB D.O.O.,"," KOLEDOVČINA 2,"," 10000 ZAGREB,"," OIB: 58353015102",CHAR(10),"KEMOBOJA-DUBRAVA D.O.O.,"," AVENIJA DUBRAVA 37,"," 10000 ZAGREB,"," OIB: 6402157427")</f>
        <v>INSAKO D.O.O., PUŽEVA 11, 10000 ZAGREB, OIB: 39851720584
ALCA ZAGREB D.O.O., KOLEDOVČINA 2, 10000 ZAGREB, OIB: 58353015102
KEMOBOJA-DUBRAVA D.O.O., AVENIJA DUBRAVA 37, 10000 ZAGREB, OIB: 6402157427</v>
      </c>
      <c r="H1079" s="4"/>
      <c r="I1079" s="1" t="s">
        <v>815</v>
      </c>
      <c r="J1079" s="1" t="s">
        <v>816</v>
      </c>
      <c r="K1079" s="6" t="str">
        <f>"1.605.800,00"</f>
        <v>1.605.800,00</v>
      </c>
      <c r="L1079" s="6" t="str">
        <f>"401.450,00"</f>
        <v>401.450,00</v>
      </c>
      <c r="M1079" s="6" t="str">
        <f>"2.007.250,00"</f>
        <v>2.007.250,00</v>
      </c>
      <c r="N1079" s="7"/>
      <c r="O1079" s="7"/>
      <c r="P1079" s="6" t="str">
        <f>""</f>
        <v/>
      </c>
      <c r="Q1079" s="7"/>
      <c r="R1079" s="1"/>
      <c r="S1079" s="1" t="str">
        <f>"NOS-110-A/17"</f>
        <v>NOS-110-A/17</v>
      </c>
      <c r="T1079" s="2" t="s">
        <v>145</v>
      </c>
    </row>
    <row r="1080" spans="1:20" ht="38.25" x14ac:dyDescent="0.25">
      <c r="A1080" s="1">
        <v>1076</v>
      </c>
      <c r="B1080" s="1" t="str">
        <f t="shared" si="108"/>
        <v>2017-2737</v>
      </c>
      <c r="C1080" s="2" t="s">
        <v>813</v>
      </c>
      <c r="D1080" s="1" t="s">
        <v>814</v>
      </c>
      <c r="E1080" s="3" t="str">
        <f>""</f>
        <v/>
      </c>
      <c r="F1080" s="2" t="s">
        <v>27</v>
      </c>
      <c r="G1080" s="2" t="str">
        <f>CONCATENATE("KEMOBOJA-DUBRAVA D.O.O.,"," AVENIJA DUBRAVA 37,"," 10000 ZAGREB,"," OIB: 6402157427")</f>
        <v>KEMOBOJA-DUBRAVA D.O.O., AVENIJA DUBRAVA 37, 10000 ZAGREB, OIB: 6402157427</v>
      </c>
      <c r="H1080" s="4"/>
      <c r="I1080" s="1" t="s">
        <v>392</v>
      </c>
      <c r="J1080" s="1" t="s">
        <v>64</v>
      </c>
      <c r="K1080" s="6" t="str">
        <f>"237.579,86"</f>
        <v>237.579,86</v>
      </c>
      <c r="L1080" s="6" t="str">
        <f>"59.394,97"</f>
        <v>59.394,97</v>
      </c>
      <c r="M1080" s="6" t="str">
        <f>"296.974,83"</f>
        <v>296.974,83</v>
      </c>
      <c r="N1080" s="5">
        <v>43598</v>
      </c>
      <c r="O1080" s="7"/>
      <c r="P1080" s="6" t="str">
        <f>"273.498,58"</f>
        <v>273.498,58</v>
      </c>
      <c r="Q1080" s="7"/>
      <c r="R1080" s="1"/>
      <c r="S1080" s="1" t="str">
        <f>"17-18/NOS-110-A/17"</f>
        <v>17-18/NOS-110-A/17</v>
      </c>
      <c r="T1080" s="2" t="s">
        <v>33</v>
      </c>
    </row>
    <row r="1081" spans="1:20" ht="25.5" x14ac:dyDescent="0.25">
      <c r="A1081" s="1">
        <v>1077</v>
      </c>
      <c r="B1081" s="1" t="str">
        <f t="shared" si="108"/>
        <v>2017-2737</v>
      </c>
      <c r="C1081" s="2" t="s">
        <v>813</v>
      </c>
      <c r="D1081" s="1" t="s">
        <v>814</v>
      </c>
      <c r="E1081" s="3" t="str">
        <f>""</f>
        <v/>
      </c>
      <c r="F1081" s="2" t="s">
        <v>27</v>
      </c>
      <c r="G1081" s="2" t="str">
        <f>CONCATENATE("INSAKO D.O.O.,"," PUŽEVA 11,"," 10000 ZAGREB,"," OIB: 39851720584")</f>
        <v>INSAKO D.O.O., PUŽEVA 11, 10000 ZAGREB, OIB: 39851720584</v>
      </c>
      <c r="H1081" s="4"/>
      <c r="I1081" s="1" t="s">
        <v>203</v>
      </c>
      <c r="J1081" s="1" t="s">
        <v>285</v>
      </c>
      <c r="K1081" s="6" t="str">
        <f>"111.512,50"</f>
        <v>111.512,50</v>
      </c>
      <c r="L1081" s="6" t="str">
        <f>"27.878,13"</f>
        <v>27.878,13</v>
      </c>
      <c r="M1081" s="6" t="str">
        <f>"139.390,63"</f>
        <v>139.390,63</v>
      </c>
      <c r="N1081" s="5">
        <v>43657</v>
      </c>
      <c r="O1081" s="7"/>
      <c r="P1081" s="6" t="str">
        <f>"90.655,94"</f>
        <v>90.655,94</v>
      </c>
      <c r="Q1081" s="7"/>
      <c r="R1081" s="1"/>
      <c r="S1081" s="1" t="str">
        <f>"1-19/NOS-110-A/17"</f>
        <v>1-19/NOS-110-A/17</v>
      </c>
      <c r="T1081" s="2" t="s">
        <v>33</v>
      </c>
    </row>
    <row r="1082" spans="1:20" ht="38.25" x14ac:dyDescent="0.25">
      <c r="A1082" s="1">
        <v>1078</v>
      </c>
      <c r="B1082" s="1" t="str">
        <f t="shared" si="108"/>
        <v>2017-2737</v>
      </c>
      <c r="C1082" s="2" t="s">
        <v>813</v>
      </c>
      <c r="D1082" s="4"/>
      <c r="E1082" s="3" t="str">
        <f>""</f>
        <v/>
      </c>
      <c r="F1082" s="2" t="s">
        <v>27</v>
      </c>
      <c r="G1082" s="2" t="str">
        <f>CONCATENATE("KEMOBOJA-DUBRAVA D.O.O.,"," AVENIJA DUBRAVA 37,"," 10000 ZAGREB,"," OIB: 6402157427")</f>
        <v>KEMOBOJA-DUBRAVA D.O.O., AVENIJA DUBRAVA 37, 10000 ZAGREB, OIB: 6402157427</v>
      </c>
      <c r="H1082" s="4"/>
      <c r="I1082" s="1" t="s">
        <v>394</v>
      </c>
      <c r="J1082" s="1" t="s">
        <v>817</v>
      </c>
      <c r="K1082" s="6" t="str">
        <f>"30.282,14"</f>
        <v>30.282,14</v>
      </c>
      <c r="L1082" s="6" t="str">
        <f>"7.570,54"</f>
        <v>7.570,54</v>
      </c>
      <c r="M1082" s="6" t="str">
        <f>"37.852,68"</f>
        <v>37.852,68</v>
      </c>
      <c r="N1082" s="5">
        <v>43591</v>
      </c>
      <c r="O1082" s="7"/>
      <c r="P1082" s="6" t="str">
        <f>"7.996,70"</f>
        <v>7.996,70</v>
      </c>
      <c r="Q1082" s="7"/>
      <c r="R1082" s="1"/>
      <c r="S1082" s="1" t="str">
        <f>"2-19/NOS-110-A/17"</f>
        <v>2-19/NOS-110-A/17</v>
      </c>
      <c r="T1082" s="2" t="s">
        <v>65</v>
      </c>
    </row>
    <row r="1083" spans="1:20" ht="38.25" x14ac:dyDescent="0.25">
      <c r="A1083" s="1">
        <v>1079</v>
      </c>
      <c r="B1083" s="1" t="str">
        <f t="shared" si="108"/>
        <v>2017-2737</v>
      </c>
      <c r="C1083" s="2" t="s">
        <v>813</v>
      </c>
      <c r="D1083" s="4"/>
      <c r="E1083" s="3" t="str">
        <f>""</f>
        <v/>
      </c>
      <c r="F1083" s="2" t="s">
        <v>27</v>
      </c>
      <c r="G1083" s="2" t="str">
        <f>CONCATENATE("KEMOBOJA-DUBRAVA D.O.O.,"," AVENIJA DUBRAVA 37,"," 10000 ZAGREB,"," OIB: 6402157427")</f>
        <v>KEMOBOJA-DUBRAVA D.O.O., AVENIJA DUBRAVA 37, 10000 ZAGREB, OIB: 6402157427</v>
      </c>
      <c r="H1083" s="4"/>
      <c r="I1083" s="1" t="s">
        <v>44</v>
      </c>
      <c r="J1083" s="1" t="s">
        <v>395</v>
      </c>
      <c r="K1083" s="6" t="str">
        <f>"38.395,75"</f>
        <v>38.395,75</v>
      </c>
      <c r="L1083" s="6" t="str">
        <f>"9.598,94"</f>
        <v>9.598,94</v>
      </c>
      <c r="M1083" s="6" t="str">
        <f>"47.994,69"</f>
        <v>47.994,69</v>
      </c>
      <c r="N1083" s="5">
        <v>43581</v>
      </c>
      <c r="O1083" s="7"/>
      <c r="P1083" s="6" t="str">
        <f>"47.994,69"</f>
        <v>47.994,69</v>
      </c>
      <c r="Q1083" s="7"/>
      <c r="R1083" s="1"/>
      <c r="S1083" s="1" t="str">
        <f>"4-19/NOS-110-A/17"</f>
        <v>4-19/NOS-110-A/17</v>
      </c>
      <c r="T1083" s="2" t="s">
        <v>29</v>
      </c>
    </row>
    <row r="1084" spans="1:20" ht="38.25" x14ac:dyDescent="0.25">
      <c r="A1084" s="1">
        <v>1080</v>
      </c>
      <c r="B1084" s="1" t="str">
        <f t="shared" si="108"/>
        <v>2017-2737</v>
      </c>
      <c r="C1084" s="2" t="s">
        <v>813</v>
      </c>
      <c r="D1084" s="1" t="s">
        <v>814</v>
      </c>
      <c r="E1084" s="3" t="str">
        <f>""</f>
        <v/>
      </c>
      <c r="F1084" s="2" t="s">
        <v>27</v>
      </c>
      <c r="G1084" s="2" t="str">
        <f>CONCATENATE("KEMOBOJA-DUBRAVA D.O.O.,"," AVENIJA DUBRAVA 37,"," 10000 ZAGREB,"," OIB: 6402157427")</f>
        <v>KEMOBOJA-DUBRAVA D.O.O., AVENIJA DUBRAVA 37, 10000 ZAGREB, OIB: 6402157427</v>
      </c>
      <c r="H1084" s="4"/>
      <c r="I1084" s="1" t="s">
        <v>301</v>
      </c>
      <c r="J1084" s="1" t="s">
        <v>492</v>
      </c>
      <c r="K1084" s="6" t="str">
        <f>"1.197,72"</f>
        <v>1.197,72</v>
      </c>
      <c r="L1084" s="6" t="str">
        <f>"299,43"</f>
        <v>299,43</v>
      </c>
      <c r="M1084" s="6" t="str">
        <f>"1.497,15"</f>
        <v>1.497,15</v>
      </c>
      <c r="N1084" s="5">
        <v>43556</v>
      </c>
      <c r="O1084" s="7"/>
      <c r="P1084" s="6" t="str">
        <f>"1.497,15"</f>
        <v>1.497,15</v>
      </c>
      <c r="Q1084" s="7"/>
      <c r="R1084" s="1"/>
      <c r="S1084" s="1" t="str">
        <f>"5-19/NOS-110-A/17"</f>
        <v>5-19/NOS-110-A/17</v>
      </c>
      <c r="T1084" s="2" t="s">
        <v>33</v>
      </c>
    </row>
    <row r="1085" spans="1:20" ht="38.25" x14ac:dyDescent="0.25">
      <c r="A1085" s="1">
        <v>1081</v>
      </c>
      <c r="B1085" s="1" t="str">
        <f t="shared" si="108"/>
        <v>2017-2737</v>
      </c>
      <c r="C1085" s="2" t="s">
        <v>813</v>
      </c>
      <c r="D1085" s="1" t="s">
        <v>814</v>
      </c>
      <c r="E1085" s="3" t="str">
        <f>""</f>
        <v/>
      </c>
      <c r="F1085" s="2" t="s">
        <v>27</v>
      </c>
      <c r="G1085" s="2" t="str">
        <f>CONCATENATE("KEMOBOJA-DUBRAVA D.O.O.,"," AVENIJA DUBRAVA 37,"," 10000 ZAGREB,"," OIB: 6402157427")</f>
        <v>KEMOBOJA-DUBRAVA D.O.O., AVENIJA DUBRAVA 37, 10000 ZAGREB, OIB: 6402157427</v>
      </c>
      <c r="H1085" s="4"/>
      <c r="I1085" s="1" t="s">
        <v>308</v>
      </c>
      <c r="J1085" s="1" t="s">
        <v>492</v>
      </c>
      <c r="K1085" s="6" t="str">
        <f>"1.493,74"</f>
        <v>1.493,74</v>
      </c>
      <c r="L1085" s="6" t="str">
        <f>"373,44"</f>
        <v>373,44</v>
      </c>
      <c r="M1085" s="6" t="str">
        <f>"1.867,18"</f>
        <v>1.867,18</v>
      </c>
      <c r="N1085" s="5">
        <v>43557</v>
      </c>
      <c r="O1085" s="7"/>
      <c r="P1085" s="6" t="str">
        <f>"1.867,18"</f>
        <v>1.867,18</v>
      </c>
      <c r="Q1085" s="7"/>
      <c r="R1085" s="1"/>
      <c r="S1085" s="1" t="str">
        <f>"6-19/NOS-110-A/17"</f>
        <v>6-19/NOS-110-A/17</v>
      </c>
      <c r="T1085" s="2" t="s">
        <v>60</v>
      </c>
    </row>
    <row r="1086" spans="1:20" ht="38.25" x14ac:dyDescent="0.25">
      <c r="A1086" s="1">
        <v>1082</v>
      </c>
      <c r="B1086" s="1" t="str">
        <f t="shared" si="108"/>
        <v>2017-2737</v>
      </c>
      <c r="C1086" s="2" t="s">
        <v>813</v>
      </c>
      <c r="D1086" s="1" t="s">
        <v>814</v>
      </c>
      <c r="E1086" s="3" t="str">
        <f>""</f>
        <v/>
      </c>
      <c r="F1086" s="2" t="s">
        <v>27</v>
      </c>
      <c r="G1086" s="2" t="str">
        <f>CONCATENATE("KEMOBOJA-DUBRAVA D.O.O.,"," AVENIJA DUBRAVA 37,"," 10000 ZAGREB,"," OIB: 6402157427")</f>
        <v>KEMOBOJA-DUBRAVA D.O.O., AVENIJA DUBRAVA 37, 10000 ZAGREB, OIB: 6402157427</v>
      </c>
      <c r="H1086" s="4"/>
      <c r="I1086" s="1" t="s">
        <v>474</v>
      </c>
      <c r="J1086" s="1" t="s">
        <v>140</v>
      </c>
      <c r="K1086" s="6" t="str">
        <f>"4.847,00"</f>
        <v>4.847,00</v>
      </c>
      <c r="L1086" s="6" t="str">
        <f>"1.211,75"</f>
        <v>1.211,75</v>
      </c>
      <c r="M1086" s="6" t="str">
        <f>"6.058,75"</f>
        <v>6.058,75</v>
      </c>
      <c r="N1086" s="5">
        <v>43476</v>
      </c>
      <c r="O1086" s="7"/>
      <c r="P1086" s="6" t="str">
        <f>"6.058,75"</f>
        <v>6.058,75</v>
      </c>
      <c r="Q1086" s="7"/>
      <c r="R1086" s="1"/>
      <c r="S1086" s="1" t="str">
        <f>"20-18/NOS-110-A/17"</f>
        <v>20-18/NOS-110-A/17</v>
      </c>
      <c r="T1086" s="2" t="s">
        <v>167</v>
      </c>
    </row>
    <row r="1087" spans="1:20" ht="102" x14ac:dyDescent="0.25">
      <c r="A1087" s="1">
        <v>1083</v>
      </c>
      <c r="B1087" s="1" t="str">
        <f t="shared" si="108"/>
        <v>2017-2737</v>
      </c>
      <c r="C1087" s="2" t="s">
        <v>813</v>
      </c>
      <c r="D1087" s="1" t="s">
        <v>814</v>
      </c>
      <c r="E1087" s="3" t="str">
        <f>"2017/S 0F2-0016551"</f>
        <v>2017/S 0F2-0016551</v>
      </c>
      <c r="F1087" s="2" t="s">
        <v>23</v>
      </c>
      <c r="G1087" s="2" t="str">
        <f>CONCATENATE("NARODNE NOVINE D.D.,"," OIB: 64546066176",CHAR(10),"INSAKO D.O.O.,"," PUŽEVA 11,"," 10000 ZAGREB,"," OIB: 39851720584",CHAR(10),"ALCA ZAGREB D.O.O.,"," KOLEDOVČINA 2,"," 10000 ZAGREB,"," OIB: 58353015102")</f>
        <v>NARODNE NOVINE D.D., OIB: 64546066176
INSAKO D.O.O., PUŽEVA 11, 10000 ZAGREB, OIB: 39851720584
ALCA ZAGREB D.O.O., KOLEDOVČINA 2, 10000 ZAGREB, OIB: 58353015102</v>
      </c>
      <c r="H1087" s="4"/>
      <c r="I1087" s="1" t="s">
        <v>780</v>
      </c>
      <c r="J1087" s="1" t="s">
        <v>441</v>
      </c>
      <c r="K1087" s="6" t="str">
        <f>"494.200,00"</f>
        <v>494.200,00</v>
      </c>
      <c r="L1087" s="6" t="str">
        <f>"123.550,00"</f>
        <v>123.550,00</v>
      </c>
      <c r="M1087" s="6" t="str">
        <f>"617.750,00"</f>
        <v>617.750,00</v>
      </c>
      <c r="N1087" s="7"/>
      <c r="O1087" s="7"/>
      <c r="P1087" s="6" t="str">
        <f>""</f>
        <v/>
      </c>
      <c r="Q1087" s="7"/>
      <c r="R1087" s="1"/>
      <c r="S1087" s="1" t="str">
        <f>"NOS-110-B/17"</f>
        <v>NOS-110-B/17</v>
      </c>
      <c r="T1087" s="2" t="s">
        <v>145</v>
      </c>
    </row>
    <row r="1088" spans="1:20" ht="25.5" x14ac:dyDescent="0.25">
      <c r="A1088" s="1">
        <v>1084</v>
      </c>
      <c r="B1088" s="1" t="str">
        <f t="shared" si="108"/>
        <v>2017-2737</v>
      </c>
      <c r="C1088" s="2" t="s">
        <v>813</v>
      </c>
      <c r="D1088" s="1" t="s">
        <v>814</v>
      </c>
      <c r="E1088" s="3" t="str">
        <f>""</f>
        <v/>
      </c>
      <c r="F1088" s="2" t="s">
        <v>27</v>
      </c>
      <c r="G1088" s="2" t="str">
        <f>CONCATENATE("NARODNE NOVINE D.D.,"," OIB: 64546066176")</f>
        <v>NARODNE NOVINE D.D., OIB: 64546066176</v>
      </c>
      <c r="H1088" s="4"/>
      <c r="I1088" s="1" t="s">
        <v>115</v>
      </c>
      <c r="J1088" s="1" t="s">
        <v>64</v>
      </c>
      <c r="K1088" s="6" t="str">
        <f>"42.218,73"</f>
        <v>42.218,73</v>
      </c>
      <c r="L1088" s="6" t="str">
        <f>"10.554,68"</f>
        <v>10.554,68</v>
      </c>
      <c r="M1088" s="6" t="str">
        <f>"52.773,41"</f>
        <v>52.773,41</v>
      </c>
      <c r="N1088" s="5">
        <v>43599</v>
      </c>
      <c r="O1088" s="7"/>
      <c r="P1088" s="6" t="str">
        <f>"46.102,91"</f>
        <v>46.102,91</v>
      </c>
      <c r="Q1088" s="7"/>
      <c r="R1088" s="1"/>
      <c r="S1088" s="1" t="str">
        <f>"11-18/NOS-110-B/17"</f>
        <v>11-18/NOS-110-B/17</v>
      </c>
      <c r="T1088" s="2" t="s">
        <v>33</v>
      </c>
    </row>
    <row r="1089" spans="1:20" ht="25.5" x14ac:dyDescent="0.25">
      <c r="A1089" s="1">
        <v>1085</v>
      </c>
      <c r="B1089" s="1" t="str">
        <f t="shared" si="108"/>
        <v>2017-2737</v>
      </c>
      <c r="C1089" s="2" t="s">
        <v>813</v>
      </c>
      <c r="D1089" s="1" t="s">
        <v>814</v>
      </c>
      <c r="E1089" s="3" t="str">
        <f>""</f>
        <v/>
      </c>
      <c r="F1089" s="2" t="s">
        <v>27</v>
      </c>
      <c r="G1089" s="2" t="str">
        <f>CONCATENATE("INSAKO D.O.O.,"," PUŽEVA 11,"," 10000 ZAGREB,"," OIB: 39851720584")</f>
        <v>INSAKO D.O.O., PUŽEVA 11, 10000 ZAGREB, OIB: 39851720584</v>
      </c>
      <c r="H1089" s="4"/>
      <c r="I1089" s="1" t="s">
        <v>398</v>
      </c>
      <c r="J1089" s="1" t="s">
        <v>64</v>
      </c>
      <c r="K1089" s="6" t="str">
        <f>"19.540,00"</f>
        <v>19.540,00</v>
      </c>
      <c r="L1089" s="6" t="str">
        <f>"4.885,00"</f>
        <v>4.885,00</v>
      </c>
      <c r="M1089" s="6" t="str">
        <f>"24.425,00"</f>
        <v>24.425,00</v>
      </c>
      <c r="N1089" s="5">
        <v>43573</v>
      </c>
      <c r="O1089" s="7"/>
      <c r="P1089" s="6" t="str">
        <f>"24.425,00"</f>
        <v>24.425,00</v>
      </c>
      <c r="Q1089" s="7"/>
      <c r="R1089" s="1"/>
      <c r="S1089" s="1" t="str">
        <f>"15-18/NOS-110-B/17"</f>
        <v>15-18/NOS-110-B/17</v>
      </c>
      <c r="T1089" s="2" t="s">
        <v>33</v>
      </c>
    </row>
    <row r="1090" spans="1:20" ht="76.5" x14ac:dyDescent="0.25">
      <c r="A1090" s="1">
        <v>1086</v>
      </c>
      <c r="B1090" s="1" t="str">
        <f>"2017-2341"</f>
        <v>2017-2341</v>
      </c>
      <c r="C1090" s="2" t="s">
        <v>818</v>
      </c>
      <c r="D1090" s="1" t="s">
        <v>819</v>
      </c>
      <c r="E1090" s="3" t="str">
        <f>"2017/S 0F2-0018589"</f>
        <v>2017/S 0F2-0018589</v>
      </c>
      <c r="F1090" s="2" t="s">
        <v>23</v>
      </c>
      <c r="G1090" s="2" t="str">
        <f>CONCATENATE("PISMORAD D.D.,"," III MALEŠNICA 12,"," 10000 ZAGREB,"," OIB: 33260306505",CHAR(10),"PIRIĆ-PROMET D.O.O.,"," KOLAROVA 2,"," 10000 ZAGREB,"," OIB: 17094516543",CHAR(10),"ELICOM D.O.O.,"," ŠTEFANOVEC 138,"," 10000 ZAGREB,"," OIB: 76370234816")</f>
        <v>PISMORAD D.D., III MALEŠNICA 12, 10000 ZAGREB, OIB: 33260306505
PIRIĆ-PROMET D.O.O., KOLAROVA 2, 10000 ZAGREB, OIB: 17094516543
ELICOM D.O.O., ŠTEFANOVEC 138, 10000 ZAGREB, OIB: 76370234816</v>
      </c>
      <c r="H1090" s="4"/>
      <c r="I1090" s="1" t="s">
        <v>563</v>
      </c>
      <c r="J1090" s="1" t="s">
        <v>820</v>
      </c>
      <c r="K1090" s="6" t="str">
        <f>"4.000.000,00"</f>
        <v>4.000.000,00</v>
      </c>
      <c r="L1090" s="6" t="str">
        <f>"1.000.000,00"</f>
        <v>1.000.000,00</v>
      </c>
      <c r="M1090" s="6" t="str">
        <f>"5.000.000,00"</f>
        <v>5.000.000,00</v>
      </c>
      <c r="N1090" s="7"/>
      <c r="O1090" s="7"/>
      <c r="P1090" s="6" t="str">
        <f>""</f>
        <v/>
      </c>
      <c r="Q1090" s="7"/>
      <c r="R1090" s="1"/>
      <c r="S1090" s="1" t="str">
        <f>"NOS-111/17"</f>
        <v>NOS-111/17</v>
      </c>
      <c r="T1090" s="2" t="s">
        <v>65</v>
      </c>
    </row>
    <row r="1091" spans="1:20" ht="51" x14ac:dyDescent="0.25">
      <c r="A1091" s="1">
        <v>1087</v>
      </c>
      <c r="B1091" s="1" t="str">
        <f>"2017-2341"</f>
        <v>2017-2341</v>
      </c>
      <c r="C1091" s="2" t="s">
        <v>818</v>
      </c>
      <c r="D1091" s="4"/>
      <c r="E1091" s="3" t="str">
        <f>""</f>
        <v/>
      </c>
      <c r="F1091" s="2" t="s">
        <v>27</v>
      </c>
      <c r="G1091" s="2" t="str">
        <f>CONCATENATE("PISMORAD D.D.,"," III MALEŠNICA 12,"," 10000 ZAGREB,"," OIB: 33260306505")</f>
        <v>PISMORAD D.D., III MALEŠNICA 12, 10000 ZAGREB, OIB: 33260306505</v>
      </c>
      <c r="H1091" s="4"/>
      <c r="I1091" s="1" t="s">
        <v>351</v>
      </c>
      <c r="J1091" s="1" t="s">
        <v>587</v>
      </c>
      <c r="K1091" s="6" t="str">
        <f>"422.300,00"</f>
        <v>422.300,00</v>
      </c>
      <c r="L1091" s="6" t="str">
        <f>"105.575,00"</f>
        <v>105.575,00</v>
      </c>
      <c r="M1091" s="6" t="str">
        <f>"527.875,00"</f>
        <v>527.875,00</v>
      </c>
      <c r="N1091" s="5">
        <v>43693</v>
      </c>
      <c r="O1091" s="7"/>
      <c r="P1091" s="6" t="str">
        <f>"448.687,50"</f>
        <v>448.687,50</v>
      </c>
      <c r="Q1091" s="7"/>
      <c r="R1091" s="1"/>
      <c r="S1091" s="1" t="str">
        <f>"1-19/NOS-111/17"</f>
        <v>1-19/NOS-111/17</v>
      </c>
      <c r="T1091" s="2" t="s">
        <v>65</v>
      </c>
    </row>
    <row r="1092" spans="1:20" ht="51" x14ac:dyDescent="0.25">
      <c r="A1092" s="1">
        <v>1088</v>
      </c>
      <c r="B1092" s="1" t="str">
        <f>"2017-2341"</f>
        <v>2017-2341</v>
      </c>
      <c r="C1092" s="2" t="s">
        <v>818</v>
      </c>
      <c r="D1092" s="1" t="s">
        <v>819</v>
      </c>
      <c r="E1092" s="3" t="str">
        <f>""</f>
        <v/>
      </c>
      <c r="F1092" s="2" t="s">
        <v>27</v>
      </c>
      <c r="G1092" s="2" t="str">
        <f>CONCATENATE("PISMORAD D.D.,"," III MALEŠNICA 12,"," 10000 ZAGREB,"," OIB: 33260306505")</f>
        <v>PISMORAD D.D., III MALEŠNICA 12, 10000 ZAGREB, OIB: 33260306505</v>
      </c>
      <c r="H1092" s="4"/>
      <c r="I1092" s="1" t="s">
        <v>46</v>
      </c>
      <c r="J1092" s="1" t="s">
        <v>821</v>
      </c>
      <c r="K1092" s="6" t="str">
        <f>"18.800,00"</f>
        <v>18.800,00</v>
      </c>
      <c r="L1092" s="6" t="str">
        <f>"4.700,00"</f>
        <v>4.700,00</v>
      </c>
      <c r="M1092" s="6" t="str">
        <f>"23.500,00"</f>
        <v>23.500,00</v>
      </c>
      <c r="N1092" s="5">
        <v>43633</v>
      </c>
      <c r="O1092" s="7"/>
      <c r="P1092" s="6" t="str">
        <f>"23.500,00"</f>
        <v>23.500,00</v>
      </c>
      <c r="Q1092" s="7"/>
      <c r="R1092" s="1"/>
      <c r="S1092" s="1" t="str">
        <f>"2-19/NOS-111/17"</f>
        <v>2-19/NOS-111/17</v>
      </c>
      <c r="T1092" s="2" t="s">
        <v>65</v>
      </c>
    </row>
    <row r="1093" spans="1:20" ht="63.75" x14ac:dyDescent="0.25">
      <c r="A1093" s="1">
        <v>1089</v>
      </c>
      <c r="B1093" s="1" t="str">
        <f>"2017-490"</f>
        <v>2017-490</v>
      </c>
      <c r="C1093" s="2" t="s">
        <v>822</v>
      </c>
      <c r="D1093" s="1" t="s">
        <v>823</v>
      </c>
      <c r="E1093" s="3" t="str">
        <f>"2017/S 0F2-0012816"</f>
        <v>2017/S 0F2-0012816</v>
      </c>
      <c r="F1093" s="2" t="s">
        <v>23</v>
      </c>
      <c r="G1093" s="2" t="str">
        <f>CONCATENATE("URIHO - ZAGREB,"," AVENIJA MARINA DRŽIĆA 1,"," 10000 ZAGREB,"," OIB: 77931216562",CHAR(10),"SOCIJALNA ZADRUGA HUMANA NOVA ČAKOVEC,"," MIHOVLJANSKA 89,"," 40000 ČAKOVEC,"," OIB: 27711345503")</f>
        <v>URIHO - ZAGREB, AVENIJA MARINA DRŽIĆA 1, 10000 ZAGREB, OIB: 77931216562
SOCIJALNA ZADRUGA HUMANA NOVA ČAKOVEC, MIHOVLJANSKA 89, 40000 ČAKOVEC, OIB: 27711345503</v>
      </c>
      <c r="H1093" s="1" t="str">
        <f>CONCATENATE("VIS PROMOTEX D.O.O.,"," OIB: 9721332065")</f>
        <v>VIS PROMOTEX D.O.O., OIB: 9721332065</v>
      </c>
      <c r="I1093" s="1" t="s">
        <v>389</v>
      </c>
      <c r="J1093" s="1" t="s">
        <v>484</v>
      </c>
      <c r="K1093" s="6" t="str">
        <f>"5.200.000,00"</f>
        <v>5.200.000,00</v>
      </c>
      <c r="L1093" s="6" t="str">
        <f>"1.300.000,00"</f>
        <v>1.300.000,00</v>
      </c>
      <c r="M1093" s="6" t="str">
        <f>"6.500.000,00"</f>
        <v>6.500.000,00</v>
      </c>
      <c r="N1093" s="7"/>
      <c r="O1093" s="7"/>
      <c r="P1093" s="6" t="str">
        <f>""</f>
        <v/>
      </c>
      <c r="Q1093" s="7"/>
      <c r="R1093" s="1"/>
      <c r="S1093" s="1" t="str">
        <f>"NOS-112/17"</f>
        <v>NOS-112/17</v>
      </c>
      <c r="T1093" s="2" t="s">
        <v>65</v>
      </c>
    </row>
    <row r="1094" spans="1:20" ht="38.25" x14ac:dyDescent="0.25">
      <c r="A1094" s="1">
        <v>1090</v>
      </c>
      <c r="B1094" s="1" t="str">
        <f>"2017-490"</f>
        <v>2017-490</v>
      </c>
      <c r="C1094" s="2" t="s">
        <v>822</v>
      </c>
      <c r="D1094" s="4"/>
      <c r="E1094" s="3" t="str">
        <f>""</f>
        <v/>
      </c>
      <c r="F1094" s="2" t="s">
        <v>27</v>
      </c>
      <c r="G1094" s="2" t="str">
        <f>CONCATENATE("URIHO - ZAGREB,"," AVENIJA MARINA DRŽIĆA 1,"," 10000 ZAGREB,"," OIB: 77931216562")</f>
        <v>URIHO - ZAGREB, AVENIJA MARINA DRŽIĆA 1, 10000 ZAGREB, OIB: 77931216562</v>
      </c>
      <c r="H1094" s="4"/>
      <c r="I1094" s="1" t="s">
        <v>824</v>
      </c>
      <c r="J1094" s="1" t="s">
        <v>42</v>
      </c>
      <c r="K1094" s="6" t="str">
        <f>"190.595,00"</f>
        <v>190.595,00</v>
      </c>
      <c r="L1094" s="6" t="str">
        <f>"47.648,75"</f>
        <v>47.648,75</v>
      </c>
      <c r="M1094" s="6" t="str">
        <f>"238.243,75"</f>
        <v>238.243,75</v>
      </c>
      <c r="N1094" s="5">
        <v>43538</v>
      </c>
      <c r="O1094" s="7"/>
      <c r="P1094" s="6" t="str">
        <f>"238.243,75"</f>
        <v>238.243,75</v>
      </c>
      <c r="Q1094" s="7"/>
      <c r="R1094" s="1"/>
      <c r="S1094" s="1" t="str">
        <f>"3-18/NOS-112/17"</f>
        <v>3-18/NOS-112/17</v>
      </c>
      <c r="T1094" s="2" t="s">
        <v>65</v>
      </c>
    </row>
    <row r="1095" spans="1:20" ht="38.25" x14ac:dyDescent="0.25">
      <c r="A1095" s="1">
        <v>1091</v>
      </c>
      <c r="B1095" s="1" t="str">
        <f>"2017-490"</f>
        <v>2017-490</v>
      </c>
      <c r="C1095" s="2" t="s">
        <v>822</v>
      </c>
      <c r="D1095" s="4"/>
      <c r="E1095" s="3" t="str">
        <f>""</f>
        <v/>
      </c>
      <c r="F1095" s="2" t="s">
        <v>27</v>
      </c>
      <c r="G1095" s="2" t="str">
        <f>CONCATENATE("SOCIJALNA ZADRUGA HUMANA NOVA ČAKOVEC,"," MIHOVLJANSKA 89,"," 40000 ČAKOVEC,"," OIB: 27711345503")</f>
        <v>SOCIJALNA ZADRUGA HUMANA NOVA ČAKOVEC, MIHOVLJANSKA 89, 40000 ČAKOVEC, OIB: 27711345503</v>
      </c>
      <c r="H1095" s="4"/>
      <c r="I1095" s="1" t="s">
        <v>670</v>
      </c>
      <c r="J1095" s="1" t="s">
        <v>587</v>
      </c>
      <c r="K1095" s="6" t="str">
        <f>"706.342,00"</f>
        <v>706.342,00</v>
      </c>
      <c r="L1095" s="6" t="str">
        <f>"176.585,50"</f>
        <v>176.585,50</v>
      </c>
      <c r="M1095" s="6" t="str">
        <f>"882.927,50"</f>
        <v>882.927,50</v>
      </c>
      <c r="N1095" s="5">
        <v>43679</v>
      </c>
      <c r="O1095" s="7"/>
      <c r="P1095" s="6" t="str">
        <f>"359.975,00"</f>
        <v>359.975,00</v>
      </c>
      <c r="Q1095" s="7"/>
      <c r="R1095" s="1"/>
      <c r="S1095" s="1" t="str">
        <f>"1-19/NOS-112/17"</f>
        <v>1-19/NOS-112/17</v>
      </c>
      <c r="T1095" s="2" t="s">
        <v>65</v>
      </c>
    </row>
    <row r="1096" spans="1:20" ht="114.75" x14ac:dyDescent="0.25">
      <c r="A1096" s="1">
        <v>1092</v>
      </c>
      <c r="B1096" s="1" t="str">
        <f t="shared" ref="B1096:B1142" si="109">"2017-2479"</f>
        <v>2017-2479</v>
      </c>
      <c r="C1096" s="2" t="s">
        <v>825</v>
      </c>
      <c r="D1096" s="1" t="s">
        <v>826</v>
      </c>
      <c r="E1096" s="3" t="str">
        <f>"2017/S F14-0017428"</f>
        <v>2017/S F14-0017428</v>
      </c>
      <c r="F1096" s="2" t="s">
        <v>23</v>
      </c>
      <c r="G1096" s="2" t="str">
        <f t="shared" ref="G1096:G1105" si="110">CONCATENATE("URIHO - ZAGREB,"," AVENIJA MARINA DRŽIĆA 1,"," 10000 ZAGREB,"," OIB: 77931216562")</f>
        <v>URIHO - ZAGREB, AVENIJA MARINA DRŽIĆA 1, 10000 ZAGREB, OIB: 77931216562</v>
      </c>
      <c r="H1096" s="4"/>
      <c r="I1096" s="1" t="s">
        <v>563</v>
      </c>
      <c r="J1096" s="1" t="s">
        <v>820</v>
      </c>
      <c r="K1096" s="6" t="str">
        <f>"20.276.000,00"</f>
        <v>20.276.000,00</v>
      </c>
      <c r="L1096" s="6" t="str">
        <f>"5.069.000,00"</f>
        <v>5.069.000,00</v>
      </c>
      <c r="M1096" s="6" t="str">
        <f>"25.345.000,00"</f>
        <v>25.345.000,00</v>
      </c>
      <c r="N1096" s="7"/>
      <c r="O1096" s="7"/>
      <c r="P1096" s="6" t="str">
        <f>""</f>
        <v/>
      </c>
      <c r="Q1096" s="7"/>
      <c r="R1096" s="1"/>
      <c r="S1096" s="1" t="str">
        <f>"NOS-113-A/17"</f>
        <v>NOS-113-A/17</v>
      </c>
      <c r="T1096" s="2" t="s">
        <v>281</v>
      </c>
    </row>
    <row r="1097" spans="1:20" ht="25.5" x14ac:dyDescent="0.25">
      <c r="A1097" s="1">
        <v>1093</v>
      </c>
      <c r="B1097" s="1" t="str">
        <f t="shared" si="109"/>
        <v>2017-2479</v>
      </c>
      <c r="C1097" s="2" t="s">
        <v>825</v>
      </c>
      <c r="D1097" s="4"/>
      <c r="E1097" s="3" t="str">
        <f>""</f>
        <v/>
      </c>
      <c r="F1097" s="2" t="s">
        <v>27</v>
      </c>
      <c r="G1097" s="2" t="str">
        <f t="shared" si="110"/>
        <v>URIHO - ZAGREB, AVENIJA MARINA DRŽIĆA 1, 10000 ZAGREB, OIB: 77931216562</v>
      </c>
      <c r="H1097" s="4"/>
      <c r="I1097" s="1" t="s">
        <v>155</v>
      </c>
      <c r="J1097" s="1" t="s">
        <v>42</v>
      </c>
      <c r="K1097" s="6" t="str">
        <f>"9.630,00"</f>
        <v>9.630,00</v>
      </c>
      <c r="L1097" s="6" t="str">
        <f>"2.407,50"</f>
        <v>2.407,50</v>
      </c>
      <c r="M1097" s="6" t="str">
        <f>"12.037,50"</f>
        <v>12.037,50</v>
      </c>
      <c r="N1097" s="5">
        <v>43483</v>
      </c>
      <c r="O1097" s="7"/>
      <c r="P1097" s="6" t="str">
        <f>"12.037,50"</f>
        <v>12.037,50</v>
      </c>
      <c r="Q1097" s="7"/>
      <c r="R1097" s="1"/>
      <c r="S1097" s="1" t="str">
        <f>"8-18/NOS-113-A/17"</f>
        <v>8-18/NOS-113-A/17</v>
      </c>
      <c r="T1097" s="2" t="s">
        <v>29</v>
      </c>
    </row>
    <row r="1098" spans="1:20" ht="25.5" x14ac:dyDescent="0.25">
      <c r="A1098" s="1">
        <v>1094</v>
      </c>
      <c r="B1098" s="1" t="str">
        <f t="shared" si="109"/>
        <v>2017-2479</v>
      </c>
      <c r="C1098" s="2" t="s">
        <v>825</v>
      </c>
      <c r="D1098" s="4"/>
      <c r="E1098" s="3" t="str">
        <f>""</f>
        <v/>
      </c>
      <c r="F1098" s="2" t="s">
        <v>27</v>
      </c>
      <c r="G1098" s="2" t="str">
        <f t="shared" si="110"/>
        <v>URIHO - ZAGREB, AVENIJA MARINA DRŽIĆA 1, 10000 ZAGREB, OIB: 77931216562</v>
      </c>
      <c r="H1098" s="4"/>
      <c r="I1098" s="1" t="s">
        <v>431</v>
      </c>
      <c r="J1098" s="1" t="s">
        <v>28</v>
      </c>
      <c r="K1098" s="6" t="str">
        <f>"368.184,00"</f>
        <v>368.184,00</v>
      </c>
      <c r="L1098" s="6" t="str">
        <f>"92.046,00"</f>
        <v>92.046,00</v>
      </c>
      <c r="M1098" s="6" t="str">
        <f>"460.230,00"</f>
        <v>460.230,00</v>
      </c>
      <c r="N1098" s="5">
        <v>43704</v>
      </c>
      <c r="O1098" s="7"/>
      <c r="P1098" s="6" t="str">
        <f>"275.042,50"</f>
        <v>275.042,50</v>
      </c>
      <c r="Q1098" s="7"/>
      <c r="R1098" s="1"/>
      <c r="S1098" s="1" t="str">
        <f>"4-19/NOS-113-A/17"</f>
        <v>4-19/NOS-113-A/17</v>
      </c>
      <c r="T1098" s="2" t="s">
        <v>29</v>
      </c>
    </row>
    <row r="1099" spans="1:20" ht="25.5" x14ac:dyDescent="0.25">
      <c r="A1099" s="1">
        <v>1095</v>
      </c>
      <c r="B1099" s="1" t="str">
        <f t="shared" si="109"/>
        <v>2017-2479</v>
      </c>
      <c r="C1099" s="2" t="s">
        <v>825</v>
      </c>
      <c r="D1099" s="1" t="s">
        <v>826</v>
      </c>
      <c r="E1099" s="3" t="str">
        <f>""</f>
        <v/>
      </c>
      <c r="F1099" s="2" t="s">
        <v>27</v>
      </c>
      <c r="G1099" s="2" t="str">
        <f t="shared" si="110"/>
        <v>URIHO - ZAGREB, AVENIJA MARINA DRŽIĆA 1, 10000 ZAGREB, OIB: 77931216562</v>
      </c>
      <c r="H1099" s="4"/>
      <c r="I1099" s="1" t="s">
        <v>200</v>
      </c>
      <c r="J1099" s="1" t="s">
        <v>140</v>
      </c>
      <c r="K1099" s="6" t="str">
        <f>"93.375,00"</f>
        <v>93.375,00</v>
      </c>
      <c r="L1099" s="6" t="str">
        <f>"23.343,75"</f>
        <v>23.343,75</v>
      </c>
      <c r="M1099" s="6" t="str">
        <f>"116.718,75"</f>
        <v>116.718,75</v>
      </c>
      <c r="N1099" s="5">
        <v>43600</v>
      </c>
      <c r="O1099" s="7"/>
      <c r="P1099" s="6" t="str">
        <f>"117.287,50"</f>
        <v>117.287,50</v>
      </c>
      <c r="Q1099" s="7"/>
      <c r="R1099" s="1"/>
      <c r="S1099" s="1" t="str">
        <f>"16-18/NOS-113-A/17"</f>
        <v>16-18/NOS-113-A/17</v>
      </c>
      <c r="T1099" s="2" t="s">
        <v>33</v>
      </c>
    </row>
    <row r="1100" spans="1:20" ht="25.5" x14ac:dyDescent="0.25">
      <c r="A1100" s="1">
        <v>1096</v>
      </c>
      <c r="B1100" s="1" t="str">
        <f t="shared" si="109"/>
        <v>2017-2479</v>
      </c>
      <c r="C1100" s="2" t="s">
        <v>825</v>
      </c>
      <c r="D1100" s="1" t="s">
        <v>826</v>
      </c>
      <c r="E1100" s="3" t="str">
        <f>""</f>
        <v/>
      </c>
      <c r="F1100" s="2" t="s">
        <v>27</v>
      </c>
      <c r="G1100" s="2" t="str">
        <f t="shared" si="110"/>
        <v>URIHO - ZAGREB, AVENIJA MARINA DRŽIĆA 1, 10000 ZAGREB, OIB: 77931216562</v>
      </c>
      <c r="H1100" s="4"/>
      <c r="I1100" s="1" t="s">
        <v>264</v>
      </c>
      <c r="J1100" s="1" t="s">
        <v>64</v>
      </c>
      <c r="K1100" s="6" t="str">
        <f>"726.730,00"</f>
        <v>726.730,00</v>
      </c>
      <c r="L1100" s="6" t="str">
        <f>"181.682,50"</f>
        <v>181.682,50</v>
      </c>
      <c r="M1100" s="6" t="str">
        <f>"908.412,50"</f>
        <v>908.412,50</v>
      </c>
      <c r="N1100" s="5">
        <v>43613</v>
      </c>
      <c r="O1100" s="7"/>
      <c r="P1100" s="6" t="str">
        <f>"905.377,50"</f>
        <v>905.377,50</v>
      </c>
      <c r="Q1100" s="7"/>
      <c r="R1100" s="1"/>
      <c r="S1100" s="1" t="str">
        <f>"1-19/NOS-113-A/17"</f>
        <v>1-19/NOS-113-A/17</v>
      </c>
      <c r="T1100" s="2" t="s">
        <v>33</v>
      </c>
    </row>
    <row r="1101" spans="1:20" ht="25.5" x14ac:dyDescent="0.25">
      <c r="A1101" s="1">
        <v>1097</v>
      </c>
      <c r="B1101" s="1" t="str">
        <f t="shared" si="109"/>
        <v>2017-2479</v>
      </c>
      <c r="C1101" s="2" t="s">
        <v>825</v>
      </c>
      <c r="D1101" s="1" t="s">
        <v>826</v>
      </c>
      <c r="E1101" s="3" t="str">
        <f>""</f>
        <v/>
      </c>
      <c r="F1101" s="2" t="s">
        <v>27</v>
      </c>
      <c r="G1101" s="2" t="str">
        <f t="shared" si="110"/>
        <v>URIHO - ZAGREB, AVENIJA MARINA DRŽIĆA 1, 10000 ZAGREB, OIB: 77931216562</v>
      </c>
      <c r="H1101" s="4"/>
      <c r="I1101" s="1" t="s">
        <v>64</v>
      </c>
      <c r="J1101" s="1" t="s">
        <v>355</v>
      </c>
      <c r="K1101" s="6" t="str">
        <f>"223.127,00"</f>
        <v>223.127,00</v>
      </c>
      <c r="L1101" s="6" t="str">
        <f>"55.781,75"</f>
        <v>55.781,75</v>
      </c>
      <c r="M1101" s="6" t="str">
        <f>"278.908,75"</f>
        <v>278.908,75</v>
      </c>
      <c r="N1101" s="5">
        <v>43665</v>
      </c>
      <c r="O1101" s="7"/>
      <c r="P1101" s="6" t="str">
        <f>"278.908,75"</f>
        <v>278.908,75</v>
      </c>
      <c r="Q1101" s="7"/>
      <c r="R1101" s="1"/>
      <c r="S1101" s="1" t="str">
        <f>"2-19/NOS-113-A/17"</f>
        <v>2-19/NOS-113-A/17</v>
      </c>
      <c r="T1101" s="2" t="s">
        <v>33</v>
      </c>
    </row>
    <row r="1102" spans="1:20" ht="25.5" x14ac:dyDescent="0.25">
      <c r="A1102" s="1">
        <v>1098</v>
      </c>
      <c r="B1102" s="1" t="str">
        <f t="shared" si="109"/>
        <v>2017-2479</v>
      </c>
      <c r="C1102" s="2" t="s">
        <v>825</v>
      </c>
      <c r="D1102" s="1" t="s">
        <v>826</v>
      </c>
      <c r="E1102" s="3" t="str">
        <f>""</f>
        <v/>
      </c>
      <c r="F1102" s="2" t="s">
        <v>27</v>
      </c>
      <c r="G1102" s="2" t="str">
        <f t="shared" si="110"/>
        <v>URIHO - ZAGREB, AVENIJA MARINA DRŽIĆA 1, 10000 ZAGREB, OIB: 77931216562</v>
      </c>
      <c r="H1102" s="4"/>
      <c r="I1102" s="1" t="s">
        <v>340</v>
      </c>
      <c r="J1102" s="1" t="s">
        <v>355</v>
      </c>
      <c r="K1102" s="6" t="str">
        <f>"49.058,00"</f>
        <v>49.058,00</v>
      </c>
      <c r="L1102" s="6" t="str">
        <f>"12.264,50"</f>
        <v>12.264,50</v>
      </c>
      <c r="M1102" s="6" t="str">
        <f>"61.322,50"</f>
        <v>61.322,50</v>
      </c>
      <c r="N1102" s="5">
        <v>43619</v>
      </c>
      <c r="O1102" s="7"/>
      <c r="P1102" s="6" t="str">
        <f>"61.322,50"</f>
        <v>61.322,50</v>
      </c>
      <c r="Q1102" s="7"/>
      <c r="R1102" s="1"/>
      <c r="S1102" s="1" t="str">
        <f>"3-19/NOS-113-A/17"</f>
        <v>3-19/NOS-113-A/17</v>
      </c>
      <c r="T1102" s="2" t="s">
        <v>33</v>
      </c>
    </row>
    <row r="1103" spans="1:20" ht="25.5" x14ac:dyDescent="0.25">
      <c r="A1103" s="1">
        <v>1099</v>
      </c>
      <c r="B1103" s="1" t="str">
        <f t="shared" si="109"/>
        <v>2017-2479</v>
      </c>
      <c r="C1103" s="2" t="s">
        <v>825</v>
      </c>
      <c r="D1103" s="1" t="s">
        <v>826</v>
      </c>
      <c r="E1103" s="3" t="str">
        <f>""</f>
        <v/>
      </c>
      <c r="F1103" s="2" t="s">
        <v>27</v>
      </c>
      <c r="G1103" s="2" t="str">
        <f t="shared" si="110"/>
        <v>URIHO - ZAGREB, AVENIJA MARINA DRŽIĆA 1, 10000 ZAGREB, OIB: 77931216562</v>
      </c>
      <c r="H1103" s="4"/>
      <c r="I1103" s="1" t="s">
        <v>639</v>
      </c>
      <c r="J1103" s="1" t="s">
        <v>114</v>
      </c>
      <c r="K1103" s="6" t="str">
        <f>"31.529,00"</f>
        <v>31.529,00</v>
      </c>
      <c r="L1103" s="6" t="str">
        <f>"7.882,25"</f>
        <v>7.882,25</v>
      </c>
      <c r="M1103" s="6" t="str">
        <f>"39.411,25"</f>
        <v>39.411,25</v>
      </c>
      <c r="N1103" s="5">
        <v>43665</v>
      </c>
      <c r="O1103" s="7"/>
      <c r="P1103" s="6" t="str">
        <f>"29.666,25"</f>
        <v>29.666,25</v>
      </c>
      <c r="Q1103" s="7"/>
      <c r="R1103" s="1"/>
      <c r="S1103" s="1" t="str">
        <f>"7-19/NOS-113-A/17"</f>
        <v>7-19/NOS-113-A/17</v>
      </c>
      <c r="T1103" s="2" t="s">
        <v>33</v>
      </c>
    </row>
    <row r="1104" spans="1:20" ht="25.5" x14ac:dyDescent="0.25">
      <c r="A1104" s="1">
        <v>1100</v>
      </c>
      <c r="B1104" s="1" t="str">
        <f t="shared" si="109"/>
        <v>2017-2479</v>
      </c>
      <c r="C1104" s="2" t="s">
        <v>825</v>
      </c>
      <c r="D1104" s="1" t="s">
        <v>826</v>
      </c>
      <c r="E1104" s="3" t="str">
        <f>""</f>
        <v/>
      </c>
      <c r="F1104" s="2" t="s">
        <v>27</v>
      </c>
      <c r="G1104" s="2" t="str">
        <f t="shared" si="110"/>
        <v>URIHO - ZAGREB, AVENIJA MARINA DRŽIĆA 1, 10000 ZAGREB, OIB: 77931216562</v>
      </c>
      <c r="H1104" s="4"/>
      <c r="I1104" s="1" t="s">
        <v>74</v>
      </c>
      <c r="J1104" s="1" t="s">
        <v>37</v>
      </c>
      <c r="K1104" s="6" t="str">
        <f>"15.000,00"</f>
        <v>15.000,00</v>
      </c>
      <c r="L1104" s="6" t="str">
        <f>"3.750,00"</f>
        <v>3.750,00</v>
      </c>
      <c r="M1104" s="6" t="str">
        <f>"18.750,00"</f>
        <v>18.750,00</v>
      </c>
      <c r="N1104" s="5">
        <v>43656</v>
      </c>
      <c r="O1104" s="7"/>
      <c r="P1104" s="6" t="str">
        <f>"18.750,00"</f>
        <v>18.750,00</v>
      </c>
      <c r="Q1104" s="7"/>
      <c r="R1104" s="1"/>
      <c r="S1104" s="1" t="str">
        <f>"8-19/NOS-113-A/17"</f>
        <v>8-19/NOS-113-A/17</v>
      </c>
      <c r="T1104" s="2" t="s">
        <v>33</v>
      </c>
    </row>
    <row r="1105" spans="1:20" ht="25.5" x14ac:dyDescent="0.25">
      <c r="A1105" s="1">
        <v>1101</v>
      </c>
      <c r="B1105" s="1" t="str">
        <f t="shared" si="109"/>
        <v>2017-2479</v>
      </c>
      <c r="C1105" s="2" t="s">
        <v>825</v>
      </c>
      <c r="D1105" s="1" t="s">
        <v>826</v>
      </c>
      <c r="E1105" s="3" t="str">
        <f>""</f>
        <v/>
      </c>
      <c r="F1105" s="2" t="s">
        <v>27</v>
      </c>
      <c r="G1105" s="2" t="str">
        <f t="shared" si="110"/>
        <v>URIHO - ZAGREB, AVENIJA MARINA DRŽIĆA 1, 10000 ZAGREB, OIB: 77931216562</v>
      </c>
      <c r="H1105" s="4"/>
      <c r="I1105" s="1" t="s">
        <v>638</v>
      </c>
      <c r="J1105" s="1" t="s">
        <v>404</v>
      </c>
      <c r="K1105" s="6" t="str">
        <f>"249.536,00"</f>
        <v>249.536,00</v>
      </c>
      <c r="L1105" s="6" t="str">
        <f>"62.384,00"</f>
        <v>62.384,00</v>
      </c>
      <c r="M1105" s="6" t="str">
        <f>"311.920,00"</f>
        <v>311.920,00</v>
      </c>
      <c r="N1105" s="5">
        <v>43658</v>
      </c>
      <c r="O1105" s="7"/>
      <c r="P1105" s="6" t="str">
        <f>"34.427,50"</f>
        <v>34.427,50</v>
      </c>
      <c r="Q1105" s="7"/>
      <c r="R1105" s="1"/>
      <c r="S1105" s="1" t="str">
        <f>"10-19/NOS-113-A/17"</f>
        <v>10-19/NOS-113-A/17</v>
      </c>
      <c r="T1105" s="2" t="s">
        <v>33</v>
      </c>
    </row>
    <row r="1106" spans="1:20" ht="114.75" x14ac:dyDescent="0.25">
      <c r="A1106" s="1">
        <v>1102</v>
      </c>
      <c r="B1106" s="1" t="str">
        <f t="shared" si="109"/>
        <v>2017-2479</v>
      </c>
      <c r="C1106" s="2" t="s">
        <v>825</v>
      </c>
      <c r="D1106" s="1" t="s">
        <v>826</v>
      </c>
      <c r="E1106" s="3" t="str">
        <f>"2017/S F14-0017428"</f>
        <v>2017/S F14-0017428</v>
      </c>
      <c r="F1106" s="2" t="s">
        <v>23</v>
      </c>
      <c r="G1106" s="2" t="str">
        <f>CONCATENATE("TED D.O.O.,"," VRHOVČEV VIJENAC 84,"," 10000 ZAGREB,"," OIB: 22740118957",CHAR(10),"KOM-TRADE D.O.O.,"," ZDENCI BRDOVEČKI,"," ZDENAČKA 90,"," 10291 PRIGORJE BRDOVEČKO,"," OIB: 65743247826",CHAR(10),"BAČELIĆ D.O.O.,"," AVENIJA VEĆESLAVA HOLJEVCA 54,"," 10000 ZAGREB,"," OIB: 6296953584")</f>
        <v>TED D.O.O., VRHOVČEV VIJENAC 84, 10000 ZAGREB, OIB: 22740118957
KOM-TRADE D.O.O., ZDENCI BRDOVEČKI, ZDENAČKA 90, 10291 PRIGORJE BRDOVEČKO, OIB: 65743247826
BAČELIĆ D.O.O., AVENIJA VEĆESLAVA HOLJEVCA 54, 10000 ZAGREB, OIB: 6296953584</v>
      </c>
      <c r="H1106" s="4"/>
      <c r="I1106" s="1" t="s">
        <v>563</v>
      </c>
      <c r="J1106" s="1" t="s">
        <v>820</v>
      </c>
      <c r="K1106" s="6" t="str">
        <f>"12.831.500,00"</f>
        <v>12.831.500,00</v>
      </c>
      <c r="L1106" s="6" t="str">
        <f>"3.207.875,00"</f>
        <v>3.207.875,00</v>
      </c>
      <c r="M1106" s="6" t="str">
        <f>"16.039.375,00"</f>
        <v>16.039.375,00</v>
      </c>
      <c r="N1106" s="7"/>
      <c r="O1106" s="7"/>
      <c r="P1106" s="6" t="str">
        <f>""</f>
        <v/>
      </c>
      <c r="Q1106" s="7"/>
      <c r="R1106" s="1"/>
      <c r="S1106" s="1" t="str">
        <f>"NOS-113-B/17"</f>
        <v>NOS-113-B/17</v>
      </c>
      <c r="T1106" s="2" t="s">
        <v>281</v>
      </c>
    </row>
    <row r="1107" spans="1:20" ht="25.5" x14ac:dyDescent="0.25">
      <c r="A1107" s="1">
        <v>1103</v>
      </c>
      <c r="B1107" s="1" t="str">
        <f t="shared" si="109"/>
        <v>2017-2479</v>
      </c>
      <c r="C1107" s="2" t="s">
        <v>825</v>
      </c>
      <c r="D1107" s="1" t="s">
        <v>826</v>
      </c>
      <c r="E1107" s="3" t="str">
        <f>""</f>
        <v/>
      </c>
      <c r="F1107" s="2" t="s">
        <v>27</v>
      </c>
      <c r="G1107" s="2" t="str">
        <f t="shared" ref="G1107:G1112" si="111">CONCATENATE("TED D.O.O.,"," VRHOVČEV VIJENAC 84,"," 10000 ZAGREB,"," OIB: 22740118957")</f>
        <v>TED D.O.O., VRHOVČEV VIJENAC 84, 10000 ZAGREB, OIB: 22740118957</v>
      </c>
      <c r="H1107" s="4"/>
      <c r="I1107" s="1" t="s">
        <v>200</v>
      </c>
      <c r="J1107" s="1" t="s">
        <v>64</v>
      </c>
      <c r="K1107" s="6" t="str">
        <f>"195.360,00"</f>
        <v>195.360,00</v>
      </c>
      <c r="L1107" s="6" t="str">
        <f>"48.840,00"</f>
        <v>48.840,00</v>
      </c>
      <c r="M1107" s="6" t="str">
        <f>"244.200,00"</f>
        <v>244.200,00</v>
      </c>
      <c r="N1107" s="5">
        <v>43517</v>
      </c>
      <c r="O1107" s="7"/>
      <c r="P1107" s="6" t="str">
        <f>"244.200,00"</f>
        <v>244.200,00</v>
      </c>
      <c r="Q1107" s="7"/>
      <c r="R1107" s="1"/>
      <c r="S1107" s="1" t="str">
        <f>"13-18/NOS-113-B/17"</f>
        <v>13-18/NOS-113-B/17</v>
      </c>
      <c r="T1107" s="2" t="s">
        <v>29</v>
      </c>
    </row>
    <row r="1108" spans="1:20" ht="25.5" x14ac:dyDescent="0.25">
      <c r="A1108" s="1">
        <v>1104</v>
      </c>
      <c r="B1108" s="1" t="str">
        <f t="shared" si="109"/>
        <v>2017-2479</v>
      </c>
      <c r="C1108" s="2" t="s">
        <v>825</v>
      </c>
      <c r="D1108" s="1" t="s">
        <v>826</v>
      </c>
      <c r="E1108" s="3" t="str">
        <f>""</f>
        <v/>
      </c>
      <c r="F1108" s="2" t="s">
        <v>27</v>
      </c>
      <c r="G1108" s="2" t="str">
        <f t="shared" si="111"/>
        <v>TED D.O.O., VRHOVČEV VIJENAC 84, 10000 ZAGREB, OIB: 22740118957</v>
      </c>
      <c r="H1108" s="4"/>
      <c r="I1108" s="1" t="s">
        <v>144</v>
      </c>
      <c r="J1108" s="1" t="s">
        <v>64</v>
      </c>
      <c r="K1108" s="6" t="str">
        <f>"350.993,75"</f>
        <v>350.993,75</v>
      </c>
      <c r="L1108" s="6" t="str">
        <f>"87.748,44"</f>
        <v>87.748,44</v>
      </c>
      <c r="M1108" s="6" t="str">
        <f>"438.742,19"</f>
        <v>438.742,19</v>
      </c>
      <c r="N1108" s="5">
        <v>43599</v>
      </c>
      <c r="O1108" s="7"/>
      <c r="P1108" s="6" t="str">
        <f>"438.742,19"</f>
        <v>438.742,19</v>
      </c>
      <c r="Q1108" s="7"/>
      <c r="R1108" s="1"/>
      <c r="S1108" s="1" t="str">
        <f>"14-18/NOS-113-B/17"</f>
        <v>14-18/NOS-113-B/17</v>
      </c>
      <c r="T1108" s="2" t="s">
        <v>33</v>
      </c>
    </row>
    <row r="1109" spans="1:20" ht="25.5" x14ac:dyDescent="0.25">
      <c r="A1109" s="1">
        <v>1105</v>
      </c>
      <c r="B1109" s="1" t="str">
        <f t="shared" si="109"/>
        <v>2017-2479</v>
      </c>
      <c r="C1109" s="2" t="s">
        <v>825</v>
      </c>
      <c r="D1109" s="4"/>
      <c r="E1109" s="3" t="str">
        <f>""</f>
        <v/>
      </c>
      <c r="F1109" s="2" t="s">
        <v>27</v>
      </c>
      <c r="G1109" s="2" t="str">
        <f t="shared" si="111"/>
        <v>TED D.O.O., VRHOVČEV VIJENAC 84, 10000 ZAGREB, OIB: 22740118957</v>
      </c>
      <c r="H1109" s="4"/>
      <c r="I1109" s="1" t="s">
        <v>329</v>
      </c>
      <c r="J1109" s="1" t="s">
        <v>28</v>
      </c>
      <c r="K1109" s="6" t="str">
        <f>"180.267,00"</f>
        <v>180.267,00</v>
      </c>
      <c r="L1109" s="6" t="str">
        <f>"45.066,75"</f>
        <v>45.066,75</v>
      </c>
      <c r="M1109" s="6" t="str">
        <f>"225.333,75"</f>
        <v>225.333,75</v>
      </c>
      <c r="N1109" s="5">
        <v>43618</v>
      </c>
      <c r="O1109" s="7"/>
      <c r="P1109" s="6" t="str">
        <f>"200.558,75"</f>
        <v>200.558,75</v>
      </c>
      <c r="Q1109" s="7"/>
      <c r="R1109" s="1"/>
      <c r="S1109" s="1" t="str">
        <f>"3-19/NOS-113-B/17"</f>
        <v>3-19/NOS-113-B/17</v>
      </c>
      <c r="T1109" s="2" t="s">
        <v>29</v>
      </c>
    </row>
    <row r="1110" spans="1:20" ht="25.5" x14ac:dyDescent="0.25">
      <c r="A1110" s="1">
        <v>1106</v>
      </c>
      <c r="B1110" s="1" t="str">
        <f t="shared" si="109"/>
        <v>2017-2479</v>
      </c>
      <c r="C1110" s="2" t="s">
        <v>825</v>
      </c>
      <c r="D1110" s="1" t="s">
        <v>826</v>
      </c>
      <c r="E1110" s="3" t="str">
        <f>""</f>
        <v/>
      </c>
      <c r="F1110" s="2" t="s">
        <v>27</v>
      </c>
      <c r="G1110" s="2" t="str">
        <f t="shared" si="111"/>
        <v>TED D.O.O., VRHOVČEV VIJENAC 84, 10000 ZAGREB, OIB: 22740118957</v>
      </c>
      <c r="H1110" s="4"/>
      <c r="I1110" s="1" t="s">
        <v>280</v>
      </c>
      <c r="J1110" s="1" t="s">
        <v>64</v>
      </c>
      <c r="K1110" s="6" t="str">
        <f>"28.209,30"</f>
        <v>28.209,30</v>
      </c>
      <c r="L1110" s="6" t="str">
        <f>"7.052,33"</f>
        <v>7.052,33</v>
      </c>
      <c r="M1110" s="6" t="str">
        <f>"35.261,63"</f>
        <v>35.261,63</v>
      </c>
      <c r="N1110" s="5">
        <v>43544</v>
      </c>
      <c r="O1110" s="7"/>
      <c r="P1110" s="6" t="str">
        <f>"35.261,62"</f>
        <v>35.261,62</v>
      </c>
      <c r="Q1110" s="7"/>
      <c r="R1110" s="1"/>
      <c r="S1110" s="1" t="str">
        <f>"1-19/NOS-113-B/17"</f>
        <v>1-19/NOS-113-B/17</v>
      </c>
      <c r="T1110" s="2" t="s">
        <v>33</v>
      </c>
    </row>
    <row r="1111" spans="1:20" ht="25.5" x14ac:dyDescent="0.25">
      <c r="A1111" s="1">
        <v>1107</v>
      </c>
      <c r="B1111" s="1" t="str">
        <f t="shared" si="109"/>
        <v>2017-2479</v>
      </c>
      <c r="C1111" s="2" t="s">
        <v>825</v>
      </c>
      <c r="D1111" s="1" t="s">
        <v>826</v>
      </c>
      <c r="E1111" s="3" t="str">
        <f>""</f>
        <v/>
      </c>
      <c r="F1111" s="2" t="s">
        <v>27</v>
      </c>
      <c r="G1111" s="2" t="str">
        <f t="shared" si="111"/>
        <v>TED D.O.O., VRHOVČEV VIJENAC 84, 10000 ZAGREB, OIB: 22740118957</v>
      </c>
      <c r="H1111" s="4"/>
      <c r="I1111" s="1" t="s">
        <v>343</v>
      </c>
      <c r="J1111" s="1" t="s">
        <v>355</v>
      </c>
      <c r="K1111" s="6" t="str">
        <f>"24.768,20"</f>
        <v>24.768,20</v>
      </c>
      <c r="L1111" s="6" t="str">
        <f>"6.192,05"</f>
        <v>6.192,05</v>
      </c>
      <c r="M1111" s="6" t="str">
        <f>"30.960,25"</f>
        <v>30.960,25</v>
      </c>
      <c r="N1111" s="5">
        <v>43580</v>
      </c>
      <c r="O1111" s="7"/>
      <c r="P1111" s="6" t="str">
        <f>"30.960,25"</f>
        <v>30.960,25</v>
      </c>
      <c r="Q1111" s="7"/>
      <c r="R1111" s="1"/>
      <c r="S1111" s="1" t="str">
        <f>"2-19/NOS-113-B/17"</f>
        <v>2-19/NOS-113-B/17</v>
      </c>
      <c r="T1111" s="2" t="s">
        <v>33</v>
      </c>
    </row>
    <row r="1112" spans="1:20" ht="25.5" x14ac:dyDescent="0.25">
      <c r="A1112" s="1">
        <v>1108</v>
      </c>
      <c r="B1112" s="1" t="str">
        <f t="shared" si="109"/>
        <v>2017-2479</v>
      </c>
      <c r="C1112" s="2" t="s">
        <v>825</v>
      </c>
      <c r="D1112" s="1" t="s">
        <v>826</v>
      </c>
      <c r="E1112" s="3" t="str">
        <f>""</f>
        <v/>
      </c>
      <c r="F1112" s="2" t="s">
        <v>27</v>
      </c>
      <c r="G1112" s="2" t="str">
        <f t="shared" si="111"/>
        <v>TED D.O.O., VRHOVČEV VIJENAC 84, 10000 ZAGREB, OIB: 22740118957</v>
      </c>
      <c r="H1112" s="4"/>
      <c r="I1112" s="1" t="s">
        <v>639</v>
      </c>
      <c r="J1112" s="1" t="s">
        <v>114</v>
      </c>
      <c r="K1112" s="6" t="str">
        <f>"128.557,00"</f>
        <v>128.557,00</v>
      </c>
      <c r="L1112" s="6" t="str">
        <f>"32.139,25"</f>
        <v>32.139,25</v>
      </c>
      <c r="M1112" s="6" t="str">
        <f>"160.696,25"</f>
        <v>160.696,25</v>
      </c>
      <c r="N1112" s="5">
        <v>43634</v>
      </c>
      <c r="O1112" s="7"/>
      <c r="P1112" s="6" t="str">
        <f>"160.696,25"</f>
        <v>160.696,25</v>
      </c>
      <c r="Q1112" s="7"/>
      <c r="R1112" s="1"/>
      <c r="S1112" s="1" t="str">
        <f>"4-19/NOS-113-B/17"</f>
        <v>4-19/NOS-113-B/17</v>
      </c>
      <c r="T1112" s="2" t="s">
        <v>33</v>
      </c>
    </row>
    <row r="1113" spans="1:20" ht="114.75" x14ac:dyDescent="0.25">
      <c r="A1113" s="1">
        <v>1109</v>
      </c>
      <c r="B1113" s="1" t="str">
        <f t="shared" si="109"/>
        <v>2017-2479</v>
      </c>
      <c r="C1113" s="2" t="s">
        <v>825</v>
      </c>
      <c r="D1113" s="1" t="s">
        <v>826</v>
      </c>
      <c r="E1113" s="3" t="str">
        <f>"2017/S F14-0017428"</f>
        <v>2017/S F14-0017428</v>
      </c>
      <c r="F1113" s="2" t="s">
        <v>23</v>
      </c>
      <c r="G1113" s="2" t="str">
        <f>CONCATENATE("SIGA PRO D.O.O.,"," MEĐIMURSKA 12,"," 42000 VARAŽDIN,"," OIB: 00204195795")</f>
        <v>SIGA PRO D.O.O., MEĐIMURSKA 12, 42000 VARAŽDIN, OIB: 00204195795</v>
      </c>
      <c r="H1113" s="4"/>
      <c r="I1113" s="1" t="s">
        <v>563</v>
      </c>
      <c r="J1113" s="1" t="s">
        <v>820</v>
      </c>
      <c r="K1113" s="6" t="str">
        <f>"450.600,00"</f>
        <v>450.600,00</v>
      </c>
      <c r="L1113" s="6" t="str">
        <f>"112.650,00"</f>
        <v>112.650,00</v>
      </c>
      <c r="M1113" s="6" t="str">
        <f>"563.250,00"</f>
        <v>563.250,00</v>
      </c>
      <c r="N1113" s="7"/>
      <c r="O1113" s="7"/>
      <c r="P1113" s="6" t="str">
        <f>""</f>
        <v/>
      </c>
      <c r="Q1113" s="7"/>
      <c r="R1113" s="1"/>
      <c r="S1113" s="1" t="str">
        <f>"NOS-113-C/17"</f>
        <v>NOS-113-C/17</v>
      </c>
      <c r="T1113" s="2" t="s">
        <v>281</v>
      </c>
    </row>
    <row r="1114" spans="1:20" ht="25.5" x14ac:dyDescent="0.25">
      <c r="A1114" s="1">
        <v>1110</v>
      </c>
      <c r="B1114" s="1" t="str">
        <f t="shared" si="109"/>
        <v>2017-2479</v>
      </c>
      <c r="C1114" s="2" t="s">
        <v>825</v>
      </c>
      <c r="D1114" s="1" t="s">
        <v>826</v>
      </c>
      <c r="E1114" s="3" t="str">
        <f>""</f>
        <v/>
      </c>
      <c r="F1114" s="2" t="s">
        <v>27</v>
      </c>
      <c r="G1114" s="2" t="str">
        <f>CONCATENATE("SIGA PRO D.O.O.,"," MEĐIMURSKA 12,"," 42000 VARAŽDIN,"," OIB: 00204195795")</f>
        <v>SIGA PRO D.O.O., MEĐIMURSKA 12, 42000 VARAŽDIN, OIB: 00204195795</v>
      </c>
      <c r="H1114" s="4"/>
      <c r="I1114" s="1" t="s">
        <v>44</v>
      </c>
      <c r="J1114" s="1" t="s">
        <v>827</v>
      </c>
      <c r="K1114" s="6" t="str">
        <f>"5.000,00"</f>
        <v>5.000,00</v>
      </c>
      <c r="L1114" s="6" t="str">
        <f>"1.250,00"</f>
        <v>1.250,00</v>
      </c>
      <c r="M1114" s="6" t="str">
        <f>"6.250,00"</f>
        <v>6.250,00</v>
      </c>
      <c r="N1114" s="5">
        <v>43578</v>
      </c>
      <c r="O1114" s="7"/>
      <c r="P1114" s="6" t="str">
        <f>"6.250,00"</f>
        <v>6.250,00</v>
      </c>
      <c r="Q1114" s="7"/>
      <c r="R1114" s="1"/>
      <c r="S1114" s="1" t="str">
        <f>"2-19/NOS-113-C/17"</f>
        <v>2-19/NOS-113-C/17</v>
      </c>
      <c r="T1114" s="2" t="s">
        <v>29</v>
      </c>
    </row>
    <row r="1115" spans="1:20" ht="25.5" x14ac:dyDescent="0.25">
      <c r="A1115" s="1">
        <v>1111</v>
      </c>
      <c r="B1115" s="1" t="str">
        <f t="shared" si="109"/>
        <v>2017-2479</v>
      </c>
      <c r="C1115" s="2" t="s">
        <v>825</v>
      </c>
      <c r="D1115" s="1" t="s">
        <v>826</v>
      </c>
      <c r="E1115" s="3" t="str">
        <f>""</f>
        <v/>
      </c>
      <c r="F1115" s="2" t="s">
        <v>27</v>
      </c>
      <c r="G1115" s="2" t="str">
        <f>CONCATENATE("SIGA PRO D.O.O.,"," MEĐIMURSKA 12,"," 42000 VARAŽDIN,"," OIB: 00204195795")</f>
        <v>SIGA PRO D.O.O., MEĐIMURSKA 12, 42000 VARAŽDIN, OIB: 00204195795</v>
      </c>
      <c r="H1115" s="4"/>
      <c r="I1115" s="1" t="s">
        <v>414</v>
      </c>
      <c r="J1115" s="1" t="s">
        <v>114</v>
      </c>
      <c r="K1115" s="6" t="str">
        <f>"2.340,00"</f>
        <v>2.340,00</v>
      </c>
      <c r="L1115" s="6" t="str">
        <f>"585,00"</f>
        <v>585,00</v>
      </c>
      <c r="M1115" s="6" t="str">
        <f>"2.925,00"</f>
        <v>2.925,00</v>
      </c>
      <c r="N1115" s="5">
        <v>43698</v>
      </c>
      <c r="O1115" s="7"/>
      <c r="P1115" s="6" t="str">
        <f>"2.925,00"</f>
        <v>2.925,00</v>
      </c>
      <c r="Q1115" s="7"/>
      <c r="R1115" s="1"/>
      <c r="S1115" s="1" t="str">
        <f>"1-19/NOS-113-C/17"</f>
        <v>1-19/NOS-113-C/17</v>
      </c>
      <c r="T1115" s="2" t="s">
        <v>33</v>
      </c>
    </row>
    <row r="1116" spans="1:20" ht="114.75" x14ac:dyDescent="0.25">
      <c r="A1116" s="1">
        <v>1112</v>
      </c>
      <c r="B1116" s="1" t="str">
        <f t="shared" si="109"/>
        <v>2017-2479</v>
      </c>
      <c r="C1116" s="2" t="s">
        <v>825</v>
      </c>
      <c r="D1116" s="1" t="s">
        <v>826</v>
      </c>
      <c r="E1116" s="3" t="str">
        <f>"2017/S F14-0017428"</f>
        <v>2017/S F14-0017428</v>
      </c>
      <c r="F1116" s="2" t="s">
        <v>23</v>
      </c>
      <c r="G1116" s="2" t="str">
        <f>CONCATENATE("DRÄGER SAFETY D.O.O.,"," AVENIJA VEĆESLAVA HOLJEVCA 40,"," 10010 ZAGREB,"," OIB: 32874587842",CHAR(10),"SIGA PRO D.O.O.,"," MEĐIMURSKA 12,"," 42000 VARAŽDIN,"," OIB: 00204195795")</f>
        <v>DRÄGER SAFETY D.O.O., AVENIJA VEĆESLAVA HOLJEVCA 40, 10010 ZAGREB, OIB: 32874587842
SIGA PRO D.O.O., MEĐIMURSKA 12, 42000 VARAŽDIN, OIB: 00204195795</v>
      </c>
      <c r="H1116" s="4"/>
      <c r="I1116" s="1" t="s">
        <v>563</v>
      </c>
      <c r="J1116" s="1" t="s">
        <v>820</v>
      </c>
      <c r="K1116" s="6" t="str">
        <f>"1.480.000,00"</f>
        <v>1.480.000,00</v>
      </c>
      <c r="L1116" s="6" t="str">
        <f>"370.000,00"</f>
        <v>370.000,00</v>
      </c>
      <c r="M1116" s="6" t="str">
        <f>"1.850.000,00"</f>
        <v>1.850.000,00</v>
      </c>
      <c r="N1116" s="7"/>
      <c r="O1116" s="7"/>
      <c r="P1116" s="6" t="str">
        <f>""</f>
        <v/>
      </c>
      <c r="Q1116" s="7"/>
      <c r="R1116" s="1"/>
      <c r="S1116" s="1" t="str">
        <f>"NOS-113-D/17"</f>
        <v>NOS-113-D/17</v>
      </c>
      <c r="T1116" s="2" t="s">
        <v>281</v>
      </c>
    </row>
    <row r="1117" spans="1:20" ht="25.5" x14ac:dyDescent="0.25">
      <c r="A1117" s="1">
        <v>1113</v>
      </c>
      <c r="B1117" s="1" t="str">
        <f t="shared" si="109"/>
        <v>2017-2479</v>
      </c>
      <c r="C1117" s="2" t="s">
        <v>825</v>
      </c>
      <c r="D1117" s="1" t="s">
        <v>826</v>
      </c>
      <c r="E1117" s="3" t="str">
        <f>""</f>
        <v/>
      </c>
      <c r="F1117" s="2" t="s">
        <v>27</v>
      </c>
      <c r="G1117" s="2" t="str">
        <f>CONCATENATE("SIGA PRO D.O.O.,"," MEĐIMURSKA 12,"," 42000 VARAŽDIN,"," OIB: 00204195795")</f>
        <v>SIGA PRO D.O.O., MEĐIMURSKA 12, 42000 VARAŽDIN, OIB: 00204195795</v>
      </c>
      <c r="H1117" s="4"/>
      <c r="I1117" s="1" t="s">
        <v>302</v>
      </c>
      <c r="J1117" s="1" t="s">
        <v>827</v>
      </c>
      <c r="K1117" s="6" t="str">
        <f>"5.400,00"</f>
        <v>5.400,00</v>
      </c>
      <c r="L1117" s="6" t="str">
        <f>"1.350,00"</f>
        <v>1.350,00</v>
      </c>
      <c r="M1117" s="6" t="str">
        <f>"6.750,00"</f>
        <v>6.750,00</v>
      </c>
      <c r="N1117" s="5">
        <v>43578</v>
      </c>
      <c r="O1117" s="7"/>
      <c r="P1117" s="6" t="str">
        <f>"6.750,00"</f>
        <v>6.750,00</v>
      </c>
      <c r="Q1117" s="7"/>
      <c r="R1117" s="1"/>
      <c r="S1117" s="1" t="str">
        <f>"3-19/NOS-113-D/17"</f>
        <v>3-19/NOS-113-D/17</v>
      </c>
      <c r="T1117" s="2" t="s">
        <v>29</v>
      </c>
    </row>
    <row r="1118" spans="1:20" ht="25.5" x14ac:dyDescent="0.25">
      <c r="A1118" s="1">
        <v>1114</v>
      </c>
      <c r="B1118" s="1" t="str">
        <f t="shared" si="109"/>
        <v>2017-2479</v>
      </c>
      <c r="C1118" s="2" t="s">
        <v>825</v>
      </c>
      <c r="D1118" s="1" t="s">
        <v>826</v>
      </c>
      <c r="E1118" s="3" t="str">
        <f>""</f>
        <v/>
      </c>
      <c r="F1118" s="2" t="s">
        <v>27</v>
      </c>
      <c r="G1118" s="2" t="str">
        <f>CONCATENATE("SIGA PRO D.O.O.,"," MEĐIMURSKA 12,"," 42000 VARAŽDIN,"," OIB: 00204195795")</f>
        <v>SIGA PRO D.O.O., MEĐIMURSKA 12, 42000 VARAŽDIN, OIB: 00204195795</v>
      </c>
      <c r="H1118" s="4"/>
      <c r="I1118" s="1" t="s">
        <v>280</v>
      </c>
      <c r="J1118" s="1" t="s">
        <v>64</v>
      </c>
      <c r="K1118" s="6" t="str">
        <f>"6.120,00"</f>
        <v>6.120,00</v>
      </c>
      <c r="L1118" s="6" t="str">
        <f>"1.530,00"</f>
        <v>1.530,00</v>
      </c>
      <c r="M1118" s="6" t="str">
        <f>"7.650,00"</f>
        <v>7.650,00</v>
      </c>
      <c r="N1118" s="5">
        <v>43578</v>
      </c>
      <c r="O1118" s="7"/>
      <c r="P1118" s="6" t="str">
        <f>"7.650,00"</f>
        <v>7.650,00</v>
      </c>
      <c r="Q1118" s="7"/>
      <c r="R1118" s="1"/>
      <c r="S1118" s="1" t="str">
        <f>"1-19/NOS-113-D/17"</f>
        <v>1-19/NOS-113-D/17</v>
      </c>
      <c r="T1118" s="2" t="s">
        <v>33</v>
      </c>
    </row>
    <row r="1119" spans="1:20" ht="25.5" x14ac:dyDescent="0.25">
      <c r="A1119" s="1">
        <v>1115</v>
      </c>
      <c r="B1119" s="1" t="str">
        <f t="shared" si="109"/>
        <v>2017-2479</v>
      </c>
      <c r="C1119" s="2" t="s">
        <v>825</v>
      </c>
      <c r="D1119" s="1" t="s">
        <v>826</v>
      </c>
      <c r="E1119" s="3" t="str">
        <f>""</f>
        <v/>
      </c>
      <c r="F1119" s="2" t="s">
        <v>27</v>
      </c>
      <c r="G1119" s="2" t="str">
        <f>CONCATENATE("SIGA PRO D.O.O.,"," MEĐIMURSKA 12,"," 42000 VARAŽDIN,"," OIB: 00204195795")</f>
        <v>SIGA PRO D.O.O., MEĐIMURSKA 12, 42000 VARAŽDIN, OIB: 00204195795</v>
      </c>
      <c r="H1119" s="4"/>
      <c r="I1119" s="1" t="s">
        <v>446</v>
      </c>
      <c r="J1119" s="1" t="s">
        <v>355</v>
      </c>
      <c r="K1119" s="6" t="str">
        <f>"3.200,00"</f>
        <v>3.200,00</v>
      </c>
      <c r="L1119" s="6" t="str">
        <f>"800,00"</f>
        <v>800,00</v>
      </c>
      <c r="M1119" s="6" t="str">
        <f>"4.000,00"</f>
        <v>4.000,00</v>
      </c>
      <c r="N1119" s="5">
        <v>43616</v>
      </c>
      <c r="O1119" s="7"/>
      <c r="P1119" s="6" t="str">
        <f>"4.000,00"</f>
        <v>4.000,00</v>
      </c>
      <c r="Q1119" s="7"/>
      <c r="R1119" s="1"/>
      <c r="S1119" s="1" t="str">
        <f>"2-19/NOS-113-D/17"</f>
        <v>2-19/NOS-113-D/17</v>
      </c>
      <c r="T1119" s="2" t="s">
        <v>33</v>
      </c>
    </row>
    <row r="1120" spans="1:20" ht="114.75" x14ac:dyDescent="0.25">
      <c r="A1120" s="1">
        <v>1116</v>
      </c>
      <c r="B1120" s="1" t="str">
        <f t="shared" si="109"/>
        <v>2017-2479</v>
      </c>
      <c r="C1120" s="2" t="s">
        <v>825</v>
      </c>
      <c r="D1120" s="1" t="s">
        <v>826</v>
      </c>
      <c r="E1120" s="3" t="str">
        <f>"2017/S F14-0017428"</f>
        <v>2017/S F14-0017428</v>
      </c>
      <c r="F1120" s="2" t="s">
        <v>23</v>
      </c>
      <c r="G1120" s="2" t="str">
        <f>CONCATENATE("BAČELIĆ D.O.O.,"," AVENIJA VEĆESLAVA HOLJEVCA 54,"," 10000 ZAGREB,"," OIB: 62969535840",CHAR(10),"SIGA PRO D.O.O.,"," MEĐIMURSKA 12,"," 42000 VARAŽDIN,"," OIB: 00204195795")</f>
        <v>BAČELIĆ D.O.O., AVENIJA VEĆESLAVA HOLJEVCA 54, 10000 ZAGREB, OIB: 62969535840
SIGA PRO D.O.O., MEĐIMURSKA 12, 42000 VARAŽDIN, OIB: 00204195795</v>
      </c>
      <c r="H1120" s="4"/>
      <c r="I1120" s="1" t="s">
        <v>563</v>
      </c>
      <c r="J1120" s="1" t="s">
        <v>820</v>
      </c>
      <c r="K1120" s="6" t="str">
        <f>"116.080,00"</f>
        <v>116.080,00</v>
      </c>
      <c r="L1120" s="6" t="str">
        <f>"29.020,00"</f>
        <v>29.020,00</v>
      </c>
      <c r="M1120" s="6" t="str">
        <f>"145.100,00"</f>
        <v>145.100,00</v>
      </c>
      <c r="N1120" s="7"/>
      <c r="O1120" s="7"/>
      <c r="P1120" s="6" t="str">
        <f>""</f>
        <v/>
      </c>
      <c r="Q1120" s="7"/>
      <c r="R1120" s="1"/>
      <c r="S1120" s="1" t="str">
        <f>"NOS-113-E/17"</f>
        <v>NOS-113-E/17</v>
      </c>
      <c r="T1120" s="2" t="s">
        <v>281</v>
      </c>
    </row>
    <row r="1121" spans="1:20" ht="25.5" x14ac:dyDescent="0.25">
      <c r="A1121" s="1">
        <v>1117</v>
      </c>
      <c r="B1121" s="1" t="str">
        <f t="shared" si="109"/>
        <v>2017-2479</v>
      </c>
      <c r="C1121" s="2" t="s">
        <v>825</v>
      </c>
      <c r="D1121" s="1" t="s">
        <v>826</v>
      </c>
      <c r="E1121" s="3" t="str">
        <f>""</f>
        <v/>
      </c>
      <c r="F1121" s="2" t="s">
        <v>27</v>
      </c>
      <c r="G1121" s="2" t="str">
        <f>CONCATENATE("SIGA PRO D.O.O.,"," MEĐIMURSKA 12,"," 42000 VARAŽDIN,"," OIB: 00204195795")</f>
        <v>SIGA PRO D.O.O., MEĐIMURSKA 12, 42000 VARAŽDIN, OIB: 00204195795</v>
      </c>
      <c r="H1121" s="4"/>
      <c r="I1121" s="1" t="s">
        <v>302</v>
      </c>
      <c r="J1121" s="1" t="s">
        <v>827</v>
      </c>
      <c r="K1121" s="6" t="str">
        <f>"6.950,00"</f>
        <v>6.950,00</v>
      </c>
      <c r="L1121" s="6" t="str">
        <f>"1.737,50"</f>
        <v>1.737,50</v>
      </c>
      <c r="M1121" s="6" t="str">
        <f>"8.687,50"</f>
        <v>8.687,50</v>
      </c>
      <c r="N1121" s="5">
        <v>43578</v>
      </c>
      <c r="O1121" s="7"/>
      <c r="P1121" s="6" t="str">
        <f>"8.687,50"</f>
        <v>8.687,50</v>
      </c>
      <c r="Q1121" s="7"/>
      <c r="R1121" s="1"/>
      <c r="S1121" s="1" t="str">
        <f>"3-19/NOS-113-E/17"</f>
        <v>3-19/NOS-113-E/17</v>
      </c>
      <c r="T1121" s="2" t="s">
        <v>29</v>
      </c>
    </row>
    <row r="1122" spans="1:20" ht="25.5" x14ac:dyDescent="0.25">
      <c r="A1122" s="1">
        <v>1118</v>
      </c>
      <c r="B1122" s="1" t="str">
        <f t="shared" si="109"/>
        <v>2017-2479</v>
      </c>
      <c r="C1122" s="2" t="s">
        <v>825</v>
      </c>
      <c r="D1122" s="1" t="s">
        <v>826</v>
      </c>
      <c r="E1122" s="3" t="str">
        <f>""</f>
        <v/>
      </c>
      <c r="F1122" s="2" t="s">
        <v>27</v>
      </c>
      <c r="G1122" s="2" t="str">
        <f>CONCATENATE("SIGA PRO D.O.O.,"," MEĐIMURSKA 12,"," 42000 VARAŽDIN,"," OIB: 00204195795")</f>
        <v>SIGA PRO D.O.O., MEĐIMURSKA 12, 42000 VARAŽDIN, OIB: 00204195795</v>
      </c>
      <c r="H1122" s="4"/>
      <c r="I1122" s="1" t="s">
        <v>280</v>
      </c>
      <c r="J1122" s="1" t="s">
        <v>64</v>
      </c>
      <c r="K1122" s="6" t="str">
        <f>"4.620,00"</f>
        <v>4.620,00</v>
      </c>
      <c r="L1122" s="6" t="str">
        <f>"1.155,00"</f>
        <v>1.155,00</v>
      </c>
      <c r="M1122" s="6" t="str">
        <f>"5.775,00"</f>
        <v>5.775,00</v>
      </c>
      <c r="N1122" s="5">
        <v>43558</v>
      </c>
      <c r="O1122" s="7"/>
      <c r="P1122" s="6" t="str">
        <f>"5.775,00"</f>
        <v>5.775,00</v>
      </c>
      <c r="Q1122" s="7"/>
      <c r="R1122" s="1"/>
      <c r="S1122" s="1" t="str">
        <f>"1-19/NOS-113-E/17"</f>
        <v>1-19/NOS-113-E/17</v>
      </c>
      <c r="T1122" s="2" t="s">
        <v>33</v>
      </c>
    </row>
    <row r="1123" spans="1:20" ht="114.75" x14ac:dyDescent="0.25">
      <c r="A1123" s="1">
        <v>1119</v>
      </c>
      <c r="B1123" s="1" t="str">
        <f t="shared" si="109"/>
        <v>2017-2479</v>
      </c>
      <c r="C1123" s="2" t="s">
        <v>825</v>
      </c>
      <c r="D1123" s="1" t="s">
        <v>826</v>
      </c>
      <c r="E1123" s="3" t="str">
        <f>"2017/S F14-0017428"</f>
        <v>2017/S F14-0017428</v>
      </c>
      <c r="F1123" s="2" t="s">
        <v>23</v>
      </c>
      <c r="G1123" s="2" t="str">
        <f>CONCATENATE("KOM-TRADE D.O.O.,"," ZDENCI BRDOVEČKI,"," ZDENAČKA 90,"," 10291 PRIGORJE BRDOVEČKO,"," OIB: 65743247826",CHAR(10),"SIGA PRO D.O.O.,"," MEĐIMURSKA 12,"," 42000 VARAŽDIN,"," OIB: 00204195795")</f>
        <v>KOM-TRADE D.O.O., ZDENCI BRDOVEČKI, ZDENAČKA 90, 10291 PRIGORJE BRDOVEČKO, OIB: 65743247826
SIGA PRO D.O.O., MEĐIMURSKA 12, 42000 VARAŽDIN, OIB: 00204195795</v>
      </c>
      <c r="H1123" s="4"/>
      <c r="I1123" s="1" t="s">
        <v>563</v>
      </c>
      <c r="J1123" s="1" t="s">
        <v>820</v>
      </c>
      <c r="K1123" s="6" t="str">
        <f>"540.000,00"</f>
        <v>540.000,00</v>
      </c>
      <c r="L1123" s="6" t="str">
        <f>"135.000,00"</f>
        <v>135.000,00</v>
      </c>
      <c r="M1123" s="6" t="str">
        <f>"675.000,00"</f>
        <v>675.000,00</v>
      </c>
      <c r="N1123" s="7"/>
      <c r="O1123" s="7"/>
      <c r="P1123" s="6" t="str">
        <f>""</f>
        <v/>
      </c>
      <c r="Q1123" s="7"/>
      <c r="R1123" s="1"/>
      <c r="S1123" s="1" t="str">
        <f>"NOS-113-G/17"</f>
        <v>NOS-113-G/17</v>
      </c>
      <c r="T1123" s="2" t="s">
        <v>281</v>
      </c>
    </row>
    <row r="1124" spans="1:20" ht="25.5" x14ac:dyDescent="0.25">
      <c r="A1124" s="1">
        <v>1120</v>
      </c>
      <c r="B1124" s="1" t="str">
        <f t="shared" si="109"/>
        <v>2017-2479</v>
      </c>
      <c r="C1124" s="2" t="s">
        <v>825</v>
      </c>
      <c r="D1124" s="1" t="s">
        <v>826</v>
      </c>
      <c r="E1124" s="3" t="str">
        <f>""</f>
        <v/>
      </c>
      <c r="F1124" s="2" t="s">
        <v>27</v>
      </c>
      <c r="G1124" s="2" t="str">
        <f>CONCATENATE("SIGA PRO D.O.O.,"," MEĐIMURSKA 12,"," 42000 VARAŽDIN,"," OIB: 00204195795")</f>
        <v>SIGA PRO D.O.O., MEĐIMURSKA 12, 42000 VARAŽDIN, OIB: 00204195795</v>
      </c>
      <c r="H1124" s="4"/>
      <c r="I1124" s="1" t="s">
        <v>302</v>
      </c>
      <c r="J1124" s="1" t="s">
        <v>827</v>
      </c>
      <c r="K1124" s="6" t="str">
        <f>"4.680,00"</f>
        <v>4.680,00</v>
      </c>
      <c r="L1124" s="6" t="str">
        <f>"1.170,00"</f>
        <v>1.170,00</v>
      </c>
      <c r="M1124" s="6" t="str">
        <f>"5.850,00"</f>
        <v>5.850,00</v>
      </c>
      <c r="N1124" s="5">
        <v>43616</v>
      </c>
      <c r="O1124" s="7"/>
      <c r="P1124" s="6" t="str">
        <f>"5.850,00"</f>
        <v>5.850,00</v>
      </c>
      <c r="Q1124" s="7"/>
      <c r="R1124" s="1"/>
      <c r="S1124" s="1" t="str">
        <f>"3-19/NOS-113-G/17"</f>
        <v>3-19/NOS-113-G/17</v>
      </c>
      <c r="T1124" s="2" t="s">
        <v>29</v>
      </c>
    </row>
    <row r="1125" spans="1:20" ht="25.5" x14ac:dyDescent="0.25">
      <c r="A1125" s="1">
        <v>1121</v>
      </c>
      <c r="B1125" s="1" t="str">
        <f t="shared" si="109"/>
        <v>2017-2479</v>
      </c>
      <c r="C1125" s="2" t="s">
        <v>825</v>
      </c>
      <c r="D1125" s="1" t="s">
        <v>826</v>
      </c>
      <c r="E1125" s="3" t="str">
        <f>""</f>
        <v/>
      </c>
      <c r="F1125" s="2" t="s">
        <v>27</v>
      </c>
      <c r="G1125" s="2" t="str">
        <f>CONCATENATE("SIGA PRO D.O.O.,"," MEĐIMURSKA 12,"," 42000 VARAŽDIN,"," OIB: 00204195795")</f>
        <v>SIGA PRO D.O.O., MEĐIMURSKA 12, 42000 VARAŽDIN, OIB: 00204195795</v>
      </c>
      <c r="H1125" s="4"/>
      <c r="I1125" s="1" t="s">
        <v>280</v>
      </c>
      <c r="J1125" s="1" t="s">
        <v>64</v>
      </c>
      <c r="K1125" s="6" t="str">
        <f>"2.456,00"</f>
        <v>2.456,00</v>
      </c>
      <c r="L1125" s="6" t="str">
        <f>"614,00"</f>
        <v>614,00</v>
      </c>
      <c r="M1125" s="6" t="str">
        <f>"3.070,00"</f>
        <v>3.070,00</v>
      </c>
      <c r="N1125" s="5">
        <v>43558</v>
      </c>
      <c r="O1125" s="7"/>
      <c r="P1125" s="6" t="str">
        <f>"3.070,00"</f>
        <v>3.070,00</v>
      </c>
      <c r="Q1125" s="7"/>
      <c r="R1125" s="1"/>
      <c r="S1125" s="1" t="str">
        <f>"1-19/NOS-113-G/17"</f>
        <v>1-19/NOS-113-G/17</v>
      </c>
      <c r="T1125" s="2" t="s">
        <v>33</v>
      </c>
    </row>
    <row r="1126" spans="1:20" ht="25.5" x14ac:dyDescent="0.25">
      <c r="A1126" s="1">
        <v>1122</v>
      </c>
      <c r="B1126" s="1" t="str">
        <f t="shared" si="109"/>
        <v>2017-2479</v>
      </c>
      <c r="C1126" s="2" t="s">
        <v>825</v>
      </c>
      <c r="D1126" s="1" t="s">
        <v>826</v>
      </c>
      <c r="E1126" s="3" t="str">
        <f>""</f>
        <v/>
      </c>
      <c r="F1126" s="2" t="s">
        <v>27</v>
      </c>
      <c r="G1126" s="2" t="str">
        <f>CONCATENATE("SIGA PRO D.O.O.,"," MEĐIMURSKA 12,"," 42000 VARAŽDIN,"," OIB: 00204195795")</f>
        <v>SIGA PRO D.O.O., MEĐIMURSKA 12, 42000 VARAŽDIN, OIB: 00204195795</v>
      </c>
      <c r="H1126" s="4"/>
      <c r="I1126" s="1" t="s">
        <v>446</v>
      </c>
      <c r="J1126" s="1" t="s">
        <v>355</v>
      </c>
      <c r="K1126" s="6" t="str">
        <f>"1.320,00"</f>
        <v>1.320,00</v>
      </c>
      <c r="L1126" s="6" t="str">
        <f>"330,00"</f>
        <v>330,00</v>
      </c>
      <c r="M1126" s="6" t="str">
        <f>"1.650,00"</f>
        <v>1.650,00</v>
      </c>
      <c r="N1126" s="5">
        <v>43616</v>
      </c>
      <c r="O1126" s="7"/>
      <c r="P1126" s="6" t="str">
        <f>"1.650,00"</f>
        <v>1.650,00</v>
      </c>
      <c r="Q1126" s="7"/>
      <c r="R1126" s="1"/>
      <c r="S1126" s="1" t="str">
        <f>"2-19/NOS-113-G/17"</f>
        <v>2-19/NOS-113-G/17</v>
      </c>
      <c r="T1126" s="2" t="s">
        <v>33</v>
      </c>
    </row>
    <row r="1127" spans="1:20" ht="25.5" x14ac:dyDescent="0.25">
      <c r="A1127" s="1">
        <v>1123</v>
      </c>
      <c r="B1127" s="1" t="str">
        <f t="shared" si="109"/>
        <v>2017-2479</v>
      </c>
      <c r="C1127" s="2" t="s">
        <v>825</v>
      </c>
      <c r="D1127" s="1" t="s">
        <v>826</v>
      </c>
      <c r="E1127" s="3" t="str">
        <f>""</f>
        <v/>
      </c>
      <c r="F1127" s="2" t="s">
        <v>27</v>
      </c>
      <c r="G1127" s="2" t="str">
        <f>CONCATENATE("SIGA PRO D.O.O.,"," MEĐIMURSKA 12,"," 42000 VARAŽDIN,"," OIB: 00204195795")</f>
        <v>SIGA PRO D.O.O., MEĐIMURSKA 12, 42000 VARAŽDIN, OIB: 00204195795</v>
      </c>
      <c r="H1127" s="4"/>
      <c r="I1127" s="1" t="s">
        <v>74</v>
      </c>
      <c r="J1127" s="1" t="s">
        <v>37</v>
      </c>
      <c r="K1127" s="6" t="str">
        <f>"5.550,00"</f>
        <v>5.550,00</v>
      </c>
      <c r="L1127" s="6" t="str">
        <f>"1.387,50"</f>
        <v>1.387,50</v>
      </c>
      <c r="M1127" s="6" t="str">
        <f>"6.937,50"</f>
        <v>6.937,50</v>
      </c>
      <c r="N1127" s="5">
        <v>43642</v>
      </c>
      <c r="O1127" s="7"/>
      <c r="P1127" s="6" t="str">
        <f>"6.937,50"</f>
        <v>6.937,50</v>
      </c>
      <c r="Q1127" s="7"/>
      <c r="R1127" s="1"/>
      <c r="S1127" s="1" t="str">
        <f>"4-19/NOS-113-G/17"</f>
        <v>4-19/NOS-113-G/17</v>
      </c>
      <c r="T1127" s="2" t="s">
        <v>33</v>
      </c>
    </row>
    <row r="1128" spans="1:20" ht="114.75" x14ac:dyDescent="0.25">
      <c r="A1128" s="1">
        <v>1124</v>
      </c>
      <c r="B1128" s="1" t="str">
        <f t="shared" si="109"/>
        <v>2017-2479</v>
      </c>
      <c r="C1128" s="2" t="s">
        <v>825</v>
      </c>
      <c r="D1128" s="1" t="s">
        <v>826</v>
      </c>
      <c r="E1128" s="3" t="str">
        <f>"2017/S F14-0017428"</f>
        <v>2017/S F14-0017428</v>
      </c>
      <c r="F1128" s="2" t="s">
        <v>23</v>
      </c>
      <c r="G1128" s="2" t="str">
        <f>CONCATENATE("KOM-TRADE D.O.O.,"," ZDENCI BRDOVEČKI,"," ZDENAČKA 90,"," 10291 PRIGORJE BRDOVEČKO,"," OIB: 65743247826",CHAR(10),"SIGA PRO D.O.O.,"," MEĐIMURSKA 12,"," 42000 VARAŽDIN,"," OIB: 00204195795")</f>
        <v>KOM-TRADE D.O.O., ZDENCI BRDOVEČKI, ZDENAČKA 90, 10291 PRIGORJE BRDOVEČKO, OIB: 65743247826
SIGA PRO D.O.O., MEĐIMURSKA 12, 42000 VARAŽDIN, OIB: 00204195795</v>
      </c>
      <c r="H1128" s="4"/>
      <c r="I1128" s="1" t="s">
        <v>563</v>
      </c>
      <c r="J1128" s="1" t="s">
        <v>820</v>
      </c>
      <c r="K1128" s="6" t="str">
        <f>"870.000,00"</f>
        <v>870.000,00</v>
      </c>
      <c r="L1128" s="6" t="str">
        <f>"217.500,00"</f>
        <v>217.500,00</v>
      </c>
      <c r="M1128" s="6" t="str">
        <f>"1.087.500,00"</f>
        <v>1.087.500,00</v>
      </c>
      <c r="N1128" s="7"/>
      <c r="O1128" s="7"/>
      <c r="P1128" s="6" t="str">
        <f>""</f>
        <v/>
      </c>
      <c r="Q1128" s="7"/>
      <c r="R1128" s="1"/>
      <c r="S1128" s="1" t="str">
        <f>"NOS-113-H/17"</f>
        <v>NOS-113-H/17</v>
      </c>
      <c r="T1128" s="2" t="s">
        <v>281</v>
      </c>
    </row>
    <row r="1129" spans="1:20" ht="38.25" x14ac:dyDescent="0.25">
      <c r="A1129" s="1">
        <v>1125</v>
      </c>
      <c r="B1129" s="1" t="str">
        <f t="shared" si="109"/>
        <v>2017-2479</v>
      </c>
      <c r="C1129" s="2" t="s">
        <v>825</v>
      </c>
      <c r="D1129" s="4"/>
      <c r="E1129" s="3" t="str">
        <f>""</f>
        <v/>
      </c>
      <c r="F1129" s="2" t="s">
        <v>27</v>
      </c>
      <c r="G1129" s="2" t="str">
        <f>CONCATENATE("KOM-TRADE D.O.O.,"," ZDENCI BRDOVEČKI,"," ZDENAČKA 90,"," 10291 PRIGORJE BRDOVEČKO,"," OIB: 65743247826")</f>
        <v>KOM-TRADE D.O.O., ZDENCI BRDOVEČKI, ZDENAČKA 90, 10291 PRIGORJE BRDOVEČKO, OIB: 65743247826</v>
      </c>
      <c r="H1129" s="4"/>
      <c r="I1129" s="1" t="s">
        <v>431</v>
      </c>
      <c r="J1129" s="1" t="s">
        <v>28</v>
      </c>
      <c r="K1129" s="6" t="str">
        <f>"26.090,00"</f>
        <v>26.090,00</v>
      </c>
      <c r="L1129" s="6" t="str">
        <f>"6.522,50"</f>
        <v>6.522,50</v>
      </c>
      <c r="M1129" s="6" t="str">
        <f>"32.612,50"</f>
        <v>32.612,50</v>
      </c>
      <c r="N1129" s="5">
        <v>43601</v>
      </c>
      <c r="O1129" s="7"/>
      <c r="P1129" s="6" t="str">
        <f>"32.612,50"</f>
        <v>32.612,50</v>
      </c>
      <c r="Q1129" s="7"/>
      <c r="R1129" s="1"/>
      <c r="S1129" s="1" t="str">
        <f>"2-19/NOS-113-H/17"</f>
        <v>2-19/NOS-113-H/17</v>
      </c>
      <c r="T1129" s="2" t="s">
        <v>29</v>
      </c>
    </row>
    <row r="1130" spans="1:20" ht="114.75" x14ac:dyDescent="0.25">
      <c r="A1130" s="1">
        <v>1126</v>
      </c>
      <c r="B1130" s="1" t="str">
        <f t="shared" si="109"/>
        <v>2017-2479</v>
      </c>
      <c r="C1130" s="2" t="s">
        <v>825</v>
      </c>
      <c r="D1130" s="1" t="s">
        <v>826</v>
      </c>
      <c r="E1130" s="3" t="str">
        <f>"2017/S F14-0017428"</f>
        <v>2017/S F14-0017428</v>
      </c>
      <c r="F1130" s="2" t="s">
        <v>23</v>
      </c>
      <c r="G1130" s="2" t="str">
        <f>CONCATENATE("DOMENA DEA D.O.O.,"," TOMISLAVOVA 3,"," 10000 ZAGREB,"," OIB: 93639623152")</f>
        <v>DOMENA DEA D.O.O., TOMISLAVOVA 3, 10000 ZAGREB, OIB: 93639623152</v>
      </c>
      <c r="H1130" s="4"/>
      <c r="I1130" s="1" t="s">
        <v>563</v>
      </c>
      <c r="J1130" s="1" t="s">
        <v>820</v>
      </c>
      <c r="K1130" s="6" t="str">
        <f>"12.780.000,00"</f>
        <v>12.780.000,00</v>
      </c>
      <c r="L1130" s="6" t="str">
        <f>"3.195.000,00"</f>
        <v>3.195.000,00</v>
      </c>
      <c r="M1130" s="6" t="str">
        <f>"15.975.000,00"</f>
        <v>15.975.000,00</v>
      </c>
      <c r="N1130" s="7"/>
      <c r="O1130" s="7"/>
      <c r="P1130" s="6" t="str">
        <f>""</f>
        <v/>
      </c>
      <c r="Q1130" s="7"/>
      <c r="R1130" s="1"/>
      <c r="S1130" s="1" t="str">
        <f>"NOS-113-I/17"</f>
        <v>NOS-113-I/17</v>
      </c>
      <c r="T1130" s="2" t="s">
        <v>281</v>
      </c>
    </row>
    <row r="1131" spans="1:20" ht="25.5" x14ac:dyDescent="0.25">
      <c r="A1131" s="1">
        <v>1127</v>
      </c>
      <c r="B1131" s="1" t="str">
        <f t="shared" si="109"/>
        <v>2017-2479</v>
      </c>
      <c r="C1131" s="2" t="s">
        <v>825</v>
      </c>
      <c r="D1131" s="1" t="s">
        <v>826</v>
      </c>
      <c r="E1131" s="3" t="str">
        <f>""</f>
        <v/>
      </c>
      <c r="F1131" s="2" t="s">
        <v>27</v>
      </c>
      <c r="G1131" s="2" t="str">
        <f>CONCATENATE("DOMENA DEA D.O.O.,"," TOMISLAVOVA 3,"," 10000 ZAGREB,"," OIB: 93639623152")</f>
        <v>DOMENA DEA D.O.O., TOMISLAVOVA 3, 10000 ZAGREB, OIB: 93639623152</v>
      </c>
      <c r="H1131" s="4"/>
      <c r="I1131" s="1" t="s">
        <v>200</v>
      </c>
      <c r="J1131" s="1" t="s">
        <v>140</v>
      </c>
      <c r="K1131" s="6" t="str">
        <f>"67.943,00"</f>
        <v>67.943,00</v>
      </c>
      <c r="L1131" s="6" t="str">
        <f>"16.985,75"</f>
        <v>16.985,75</v>
      </c>
      <c r="M1131" s="6" t="str">
        <f>"84.928,75"</f>
        <v>84.928,75</v>
      </c>
      <c r="N1131" s="5">
        <v>43487</v>
      </c>
      <c r="O1131" s="7"/>
      <c r="P1131" s="6" t="str">
        <f>"84.928,75"</f>
        <v>84.928,75</v>
      </c>
      <c r="Q1131" s="7"/>
      <c r="R1131" s="1"/>
      <c r="S1131" s="1" t="str">
        <f>"10-18/NOS-113-I/17"</f>
        <v>10-18/NOS-113-I/17</v>
      </c>
      <c r="T1131" s="2" t="s">
        <v>33</v>
      </c>
    </row>
    <row r="1132" spans="1:20" ht="25.5" x14ac:dyDescent="0.25">
      <c r="A1132" s="1">
        <v>1128</v>
      </c>
      <c r="B1132" s="1" t="str">
        <f t="shared" si="109"/>
        <v>2017-2479</v>
      </c>
      <c r="C1132" s="2" t="s">
        <v>825</v>
      </c>
      <c r="D1132" s="1" t="s">
        <v>826</v>
      </c>
      <c r="E1132" s="3" t="str">
        <f>""</f>
        <v/>
      </c>
      <c r="F1132" s="2" t="s">
        <v>27</v>
      </c>
      <c r="G1132" s="2" t="str">
        <f>CONCATENATE("DOMENA DEA D.O.O.,"," TOMISLAVOVA 3,"," 10000 ZAGREB,"," OIB: 93639623152")</f>
        <v>DOMENA DEA D.O.O., TOMISLAVOVA 3, 10000 ZAGREB, OIB: 93639623152</v>
      </c>
      <c r="H1132" s="4"/>
      <c r="I1132" s="1" t="s">
        <v>71</v>
      </c>
      <c r="J1132" s="1" t="s">
        <v>64</v>
      </c>
      <c r="K1132" s="6" t="str">
        <f>"1.767.960,00"</f>
        <v>1.767.960,00</v>
      </c>
      <c r="L1132" s="6" t="str">
        <f>"441.990,00"</f>
        <v>441.990,00</v>
      </c>
      <c r="M1132" s="6" t="str">
        <f>"2.209.950,00"</f>
        <v>2.209.950,00</v>
      </c>
      <c r="N1132" s="5">
        <v>43571</v>
      </c>
      <c r="O1132" s="7"/>
      <c r="P1132" s="6" t="str">
        <f>"2.209.950,00"</f>
        <v>2.209.950,00</v>
      </c>
      <c r="Q1132" s="7"/>
      <c r="R1132" s="1"/>
      <c r="S1132" s="1" t="str">
        <f>"1-19/NOS-113-I/17"</f>
        <v>1-19/NOS-113-I/17</v>
      </c>
      <c r="T1132" s="2" t="s">
        <v>33</v>
      </c>
    </row>
    <row r="1133" spans="1:20" ht="25.5" x14ac:dyDescent="0.25">
      <c r="A1133" s="1">
        <v>1129</v>
      </c>
      <c r="B1133" s="1" t="str">
        <f t="shared" si="109"/>
        <v>2017-2479</v>
      </c>
      <c r="C1133" s="2" t="s">
        <v>825</v>
      </c>
      <c r="D1133" s="1" t="s">
        <v>826</v>
      </c>
      <c r="E1133" s="3" t="str">
        <f>""</f>
        <v/>
      </c>
      <c r="F1133" s="2" t="s">
        <v>27</v>
      </c>
      <c r="G1133" s="2" t="str">
        <f>CONCATENATE("DOMENA DEA D.O.O.,"," TOMISLAVOVA 3,"," 10000 ZAGREB,"," OIB: 93639623152")</f>
        <v>DOMENA DEA D.O.O., TOMISLAVOVA 3, 10000 ZAGREB, OIB: 93639623152</v>
      </c>
      <c r="H1133" s="4"/>
      <c r="I1133" s="1" t="s">
        <v>642</v>
      </c>
      <c r="J1133" s="1" t="s">
        <v>37</v>
      </c>
      <c r="K1133" s="6" t="str">
        <f>"17.329,00"</f>
        <v>17.329,00</v>
      </c>
      <c r="L1133" s="6" t="str">
        <f>"4.332,25"</f>
        <v>4.332,25</v>
      </c>
      <c r="M1133" s="6" t="str">
        <f>"21.661,25"</f>
        <v>21.661,25</v>
      </c>
      <c r="N1133" s="5">
        <v>43635</v>
      </c>
      <c r="O1133" s="7"/>
      <c r="P1133" s="6" t="str">
        <f>"21.661,25"</f>
        <v>21.661,25</v>
      </c>
      <c r="Q1133" s="7"/>
      <c r="R1133" s="1"/>
      <c r="S1133" s="1" t="str">
        <f>"2-19/NOS-113-I/17"</f>
        <v>2-19/NOS-113-I/17</v>
      </c>
      <c r="T1133" s="2" t="s">
        <v>33</v>
      </c>
    </row>
    <row r="1134" spans="1:20" ht="114.75" x14ac:dyDescent="0.25">
      <c r="A1134" s="1">
        <v>1130</v>
      </c>
      <c r="B1134" s="1" t="str">
        <f t="shared" si="109"/>
        <v>2017-2479</v>
      </c>
      <c r="C1134" s="2" t="s">
        <v>825</v>
      </c>
      <c r="D1134" s="1" t="s">
        <v>826</v>
      </c>
      <c r="E1134" s="3" t="str">
        <f>"2017/S F14-0017428"</f>
        <v>2017/S F14-0017428</v>
      </c>
      <c r="F1134" s="2" t="s">
        <v>23</v>
      </c>
      <c r="G1134" s="2" t="str">
        <f t="shared" ref="G1134:G1142" si="112">CONCATENATE("URIHO - ZAGREB,"," AVENIJA MARINA DRŽIĆA 1,"," 10000 ZAGREB,"," OIB: 77931216562")</f>
        <v>URIHO - ZAGREB, AVENIJA MARINA DRŽIĆA 1, 10000 ZAGREB, OIB: 77931216562</v>
      </c>
      <c r="H1134" s="4"/>
      <c r="I1134" s="1" t="s">
        <v>563</v>
      </c>
      <c r="J1134" s="1" t="s">
        <v>820</v>
      </c>
      <c r="K1134" s="6" t="str">
        <f>"45.677.820,00"</f>
        <v>45.677.820,00</v>
      </c>
      <c r="L1134" s="6" t="str">
        <f>"11.419.455,00"</f>
        <v>11.419.455,00</v>
      </c>
      <c r="M1134" s="6" t="str">
        <f>"57.097.275,00"</f>
        <v>57.097.275,00</v>
      </c>
      <c r="N1134" s="7"/>
      <c r="O1134" s="7"/>
      <c r="P1134" s="6" t="str">
        <f>""</f>
        <v/>
      </c>
      <c r="Q1134" s="7"/>
      <c r="R1134" s="1"/>
      <c r="S1134" s="1" t="str">
        <f>"NOS-113-J/17"</f>
        <v>NOS-113-J/17</v>
      </c>
      <c r="T1134" s="2" t="s">
        <v>281</v>
      </c>
    </row>
    <row r="1135" spans="1:20" ht="25.5" x14ac:dyDescent="0.25">
      <c r="A1135" s="1">
        <v>1131</v>
      </c>
      <c r="B1135" s="1" t="str">
        <f t="shared" si="109"/>
        <v>2017-2479</v>
      </c>
      <c r="C1135" s="2" t="s">
        <v>825</v>
      </c>
      <c r="D1135" s="4"/>
      <c r="E1135" s="3" t="str">
        <f>""</f>
        <v/>
      </c>
      <c r="F1135" s="2" t="s">
        <v>27</v>
      </c>
      <c r="G1135" s="2" t="str">
        <f t="shared" si="112"/>
        <v>URIHO - ZAGREB, AVENIJA MARINA DRŽIĆA 1, 10000 ZAGREB, OIB: 77931216562</v>
      </c>
      <c r="H1135" s="4"/>
      <c r="I1135" s="1" t="s">
        <v>155</v>
      </c>
      <c r="J1135" s="1" t="s">
        <v>42</v>
      </c>
      <c r="K1135" s="6" t="str">
        <f>"508.065,00"</f>
        <v>508.065,00</v>
      </c>
      <c r="L1135" s="6" t="str">
        <f>"127.016,25"</f>
        <v>127.016,25</v>
      </c>
      <c r="M1135" s="6" t="str">
        <f>"635.081,25"</f>
        <v>635.081,25</v>
      </c>
      <c r="N1135" s="5">
        <v>43462</v>
      </c>
      <c r="O1135" s="7"/>
      <c r="P1135" s="6" t="str">
        <f>"635.081,25"</f>
        <v>635.081,25</v>
      </c>
      <c r="Q1135" s="7"/>
      <c r="R1135" s="1"/>
      <c r="S1135" s="1" t="str">
        <f>"23-18/NOS-113-J/17"</f>
        <v>23-18/NOS-113-J/17</v>
      </c>
      <c r="T1135" s="2" t="s">
        <v>29</v>
      </c>
    </row>
    <row r="1136" spans="1:20" ht="25.5" x14ac:dyDescent="0.25">
      <c r="A1136" s="1">
        <v>1132</v>
      </c>
      <c r="B1136" s="1" t="str">
        <f t="shared" si="109"/>
        <v>2017-2479</v>
      </c>
      <c r="C1136" s="2" t="s">
        <v>825</v>
      </c>
      <c r="D1136" s="4"/>
      <c r="E1136" s="3" t="str">
        <f>""</f>
        <v/>
      </c>
      <c r="F1136" s="2" t="s">
        <v>27</v>
      </c>
      <c r="G1136" s="2" t="str">
        <f t="shared" si="112"/>
        <v>URIHO - ZAGREB, AVENIJA MARINA DRŽIĆA 1, 10000 ZAGREB, OIB: 77931216562</v>
      </c>
      <c r="H1136" s="4"/>
      <c r="I1136" s="1" t="s">
        <v>431</v>
      </c>
      <c r="J1136" s="1" t="s">
        <v>28</v>
      </c>
      <c r="K1136" s="6" t="str">
        <f>"739.000,00"</f>
        <v>739.000,00</v>
      </c>
      <c r="L1136" s="6" t="str">
        <f>"184.750,00"</f>
        <v>184.750,00</v>
      </c>
      <c r="M1136" s="6" t="str">
        <f>"923.750,00"</f>
        <v>923.750,00</v>
      </c>
      <c r="N1136" s="5">
        <v>43665</v>
      </c>
      <c r="O1136" s="7"/>
      <c r="P1136" s="6" t="str">
        <f>"923.750,00"</f>
        <v>923.750,00</v>
      </c>
      <c r="Q1136" s="7"/>
      <c r="R1136" s="1"/>
      <c r="S1136" s="1" t="str">
        <f>"3-19/NOS-113-J/17"</f>
        <v>3-19/NOS-113-J/17</v>
      </c>
      <c r="T1136" s="2" t="s">
        <v>29</v>
      </c>
    </row>
    <row r="1137" spans="1:20" ht="25.5" x14ac:dyDescent="0.25">
      <c r="A1137" s="1">
        <v>1133</v>
      </c>
      <c r="B1137" s="1" t="str">
        <f t="shared" si="109"/>
        <v>2017-2479</v>
      </c>
      <c r="C1137" s="2" t="s">
        <v>825</v>
      </c>
      <c r="D1137" s="1" t="s">
        <v>826</v>
      </c>
      <c r="E1137" s="3" t="str">
        <f>""</f>
        <v/>
      </c>
      <c r="F1137" s="2" t="s">
        <v>27</v>
      </c>
      <c r="G1137" s="2" t="str">
        <f t="shared" si="112"/>
        <v>URIHO - ZAGREB, AVENIJA MARINA DRŽIĆA 1, 10000 ZAGREB, OIB: 77931216562</v>
      </c>
      <c r="H1137" s="4"/>
      <c r="I1137" s="1" t="s">
        <v>424</v>
      </c>
      <c r="J1137" s="1" t="s">
        <v>827</v>
      </c>
      <c r="K1137" s="6" t="str">
        <f>"352.750,00"</f>
        <v>352.750,00</v>
      </c>
      <c r="L1137" s="6" t="str">
        <f>"83.512,50"</f>
        <v>83.512,50</v>
      </c>
      <c r="M1137" s="6" t="str">
        <f>"417.562,50"</f>
        <v>417.562,50</v>
      </c>
      <c r="N1137" s="5">
        <v>43686</v>
      </c>
      <c r="O1137" s="7"/>
      <c r="P1137" s="6" t="str">
        <f>"417.562,50"</f>
        <v>417.562,50</v>
      </c>
      <c r="Q1137" s="7"/>
      <c r="R1137" s="1"/>
      <c r="S1137" s="1" t="str">
        <f>"7-19/NOS-113-J/17"</f>
        <v>7-19/NOS-113-J/17</v>
      </c>
      <c r="T1137" s="2" t="s">
        <v>33</v>
      </c>
    </row>
    <row r="1138" spans="1:20" ht="25.5" x14ac:dyDescent="0.25">
      <c r="A1138" s="1">
        <v>1134</v>
      </c>
      <c r="B1138" s="1" t="str">
        <f t="shared" si="109"/>
        <v>2017-2479</v>
      </c>
      <c r="C1138" s="2" t="s">
        <v>825</v>
      </c>
      <c r="D1138" s="1" t="s">
        <v>826</v>
      </c>
      <c r="E1138" s="3" t="str">
        <f>""</f>
        <v/>
      </c>
      <c r="F1138" s="2" t="s">
        <v>27</v>
      </c>
      <c r="G1138" s="2" t="str">
        <f t="shared" si="112"/>
        <v>URIHO - ZAGREB, AVENIJA MARINA DRŽIĆA 1, 10000 ZAGREB, OIB: 77931216562</v>
      </c>
      <c r="H1138" s="4"/>
      <c r="I1138" s="1" t="s">
        <v>200</v>
      </c>
      <c r="J1138" s="1" t="s">
        <v>140</v>
      </c>
      <c r="K1138" s="6" t="str">
        <f>"5.530,00"</f>
        <v>5.530,00</v>
      </c>
      <c r="L1138" s="6" t="str">
        <f>"1.382,50"</f>
        <v>1.382,50</v>
      </c>
      <c r="M1138" s="6" t="str">
        <f>"6.912,50"</f>
        <v>6.912,50</v>
      </c>
      <c r="N1138" s="5">
        <v>43496</v>
      </c>
      <c r="O1138" s="7"/>
      <c r="P1138" s="6" t="str">
        <f>"6.912,50"</f>
        <v>6.912,50</v>
      </c>
      <c r="Q1138" s="7"/>
      <c r="R1138" s="1"/>
      <c r="S1138" s="1" t="str">
        <f>"28-18/NOS-113-J/17"</f>
        <v>28-18/NOS-113-J/17</v>
      </c>
      <c r="T1138" s="2" t="s">
        <v>33</v>
      </c>
    </row>
    <row r="1139" spans="1:20" ht="25.5" x14ac:dyDescent="0.25">
      <c r="A1139" s="1">
        <v>1135</v>
      </c>
      <c r="B1139" s="1" t="str">
        <f t="shared" si="109"/>
        <v>2017-2479</v>
      </c>
      <c r="C1139" s="2" t="s">
        <v>825</v>
      </c>
      <c r="D1139" s="1" t="s">
        <v>826</v>
      </c>
      <c r="E1139" s="3" t="str">
        <f>""</f>
        <v/>
      </c>
      <c r="F1139" s="2" t="s">
        <v>27</v>
      </c>
      <c r="G1139" s="2" t="str">
        <f t="shared" si="112"/>
        <v>URIHO - ZAGREB, AVENIJA MARINA DRŽIĆA 1, 10000 ZAGREB, OIB: 77931216562</v>
      </c>
      <c r="H1139" s="4"/>
      <c r="I1139" s="1" t="s">
        <v>204</v>
      </c>
      <c r="J1139" s="1" t="s">
        <v>64</v>
      </c>
      <c r="K1139" s="6" t="str">
        <f>"1.099.975,00"</f>
        <v>1.099.975,00</v>
      </c>
      <c r="L1139" s="6" t="str">
        <f>"274.993,75"</f>
        <v>274.993,75</v>
      </c>
      <c r="M1139" s="6" t="str">
        <f>"1.374.968,75"</f>
        <v>1.374.968,75</v>
      </c>
      <c r="N1139" s="5">
        <v>43644</v>
      </c>
      <c r="O1139" s="7"/>
      <c r="P1139" s="6" t="str">
        <f>"1.369.673,75"</f>
        <v>1.369.673,75</v>
      </c>
      <c r="Q1139" s="7"/>
      <c r="R1139" s="1"/>
      <c r="S1139" s="1" t="str">
        <f>"1-19/NOS-113-J/17"</f>
        <v>1-19/NOS-113-J/17</v>
      </c>
      <c r="T1139" s="2" t="s">
        <v>33</v>
      </c>
    </row>
    <row r="1140" spans="1:20" ht="25.5" x14ac:dyDescent="0.25">
      <c r="A1140" s="1">
        <v>1136</v>
      </c>
      <c r="B1140" s="1" t="str">
        <f t="shared" si="109"/>
        <v>2017-2479</v>
      </c>
      <c r="C1140" s="2" t="s">
        <v>825</v>
      </c>
      <c r="D1140" s="1" t="s">
        <v>826</v>
      </c>
      <c r="E1140" s="3" t="str">
        <f>""</f>
        <v/>
      </c>
      <c r="F1140" s="2" t="s">
        <v>27</v>
      </c>
      <c r="G1140" s="2" t="str">
        <f t="shared" si="112"/>
        <v>URIHO - ZAGREB, AVENIJA MARINA DRŽIĆA 1, 10000 ZAGREB, OIB: 77931216562</v>
      </c>
      <c r="H1140" s="4"/>
      <c r="I1140" s="1" t="s">
        <v>220</v>
      </c>
      <c r="J1140" s="1" t="s">
        <v>355</v>
      </c>
      <c r="K1140" s="6" t="str">
        <f>"183.950,00"</f>
        <v>183.950,00</v>
      </c>
      <c r="L1140" s="6" t="str">
        <f>"45.987,50"</f>
        <v>45.987,50</v>
      </c>
      <c r="M1140" s="6" t="str">
        <f>"229.937,50"</f>
        <v>229.937,50</v>
      </c>
      <c r="N1140" s="5">
        <v>43585</v>
      </c>
      <c r="O1140" s="7"/>
      <c r="P1140" s="6" t="str">
        <f>"229.937,50"</f>
        <v>229.937,50</v>
      </c>
      <c r="Q1140" s="7"/>
      <c r="R1140" s="1"/>
      <c r="S1140" s="1" t="str">
        <f>"2-19/NOS-113-J/17"</f>
        <v>2-19/NOS-113-J/17</v>
      </c>
      <c r="T1140" s="2" t="s">
        <v>33</v>
      </c>
    </row>
    <row r="1141" spans="1:20" ht="25.5" x14ac:dyDescent="0.25">
      <c r="A1141" s="1">
        <v>1137</v>
      </c>
      <c r="B1141" s="1" t="str">
        <f t="shared" si="109"/>
        <v>2017-2479</v>
      </c>
      <c r="C1141" s="2" t="s">
        <v>825</v>
      </c>
      <c r="D1141" s="1" t="s">
        <v>826</v>
      </c>
      <c r="E1141" s="3" t="str">
        <f>""</f>
        <v/>
      </c>
      <c r="F1141" s="2" t="s">
        <v>27</v>
      </c>
      <c r="G1141" s="2" t="str">
        <f t="shared" si="112"/>
        <v>URIHO - ZAGREB, AVENIJA MARINA DRŽIĆA 1, 10000 ZAGREB, OIB: 77931216562</v>
      </c>
      <c r="H1141" s="4"/>
      <c r="I1141" s="1" t="s">
        <v>321</v>
      </c>
      <c r="J1141" s="1" t="s">
        <v>73</v>
      </c>
      <c r="K1141" s="6" t="str">
        <f>"438.956,00"</f>
        <v>438.956,00</v>
      </c>
      <c r="L1141" s="6" t="str">
        <f>"109.739,00"</f>
        <v>109.739,00</v>
      </c>
      <c r="M1141" s="6" t="str">
        <f>"548.695,00"</f>
        <v>548.695,00</v>
      </c>
      <c r="N1141" s="5">
        <v>43615</v>
      </c>
      <c r="O1141" s="7"/>
      <c r="P1141" s="6" t="str">
        <f>"548.695,00"</f>
        <v>548.695,00</v>
      </c>
      <c r="Q1141" s="7"/>
      <c r="R1141" s="1"/>
      <c r="S1141" s="1" t="str">
        <f>"4-19/NOS-113-J/17"</f>
        <v>4-19/NOS-113-J/17</v>
      </c>
      <c r="T1141" s="2" t="s">
        <v>33</v>
      </c>
    </row>
    <row r="1142" spans="1:20" ht="25.5" x14ac:dyDescent="0.25">
      <c r="A1142" s="1">
        <v>1138</v>
      </c>
      <c r="B1142" s="1" t="str">
        <f t="shared" si="109"/>
        <v>2017-2479</v>
      </c>
      <c r="C1142" s="2" t="s">
        <v>825</v>
      </c>
      <c r="D1142" s="1" t="s">
        <v>826</v>
      </c>
      <c r="E1142" s="3" t="str">
        <f>""</f>
        <v/>
      </c>
      <c r="F1142" s="2" t="s">
        <v>27</v>
      </c>
      <c r="G1142" s="2" t="str">
        <f t="shared" si="112"/>
        <v>URIHO - ZAGREB, AVENIJA MARINA DRŽIĆA 1, 10000 ZAGREB, OIB: 77931216562</v>
      </c>
      <c r="H1142" s="4"/>
      <c r="I1142" s="1" t="s">
        <v>639</v>
      </c>
      <c r="J1142" s="1" t="s">
        <v>114</v>
      </c>
      <c r="K1142" s="6" t="str">
        <f>"176.690,00"</f>
        <v>176.690,00</v>
      </c>
      <c r="L1142" s="6" t="str">
        <f>"44.172,50"</f>
        <v>44.172,50</v>
      </c>
      <c r="M1142" s="6" t="str">
        <f>"220.862,50"</f>
        <v>220.862,50</v>
      </c>
      <c r="N1142" s="5">
        <v>43671</v>
      </c>
      <c r="O1142" s="7"/>
      <c r="P1142" s="6" t="str">
        <f>"220.862,50"</f>
        <v>220.862,50</v>
      </c>
      <c r="Q1142" s="7"/>
      <c r="R1142" s="1"/>
      <c r="S1142" s="1" t="str">
        <f>"5-19/NOS-113-J/17"</f>
        <v>5-19/NOS-113-J/17</v>
      </c>
      <c r="T1142" s="2" t="s">
        <v>33</v>
      </c>
    </row>
    <row r="1143" spans="1:20" ht="51" x14ac:dyDescent="0.25">
      <c r="A1143" s="1">
        <v>1139</v>
      </c>
      <c r="B1143" s="1" t="str">
        <f t="shared" ref="B1143:B1149" si="113">"2017-2786"</f>
        <v>2017-2786</v>
      </c>
      <c r="C1143" s="2" t="s">
        <v>828</v>
      </c>
      <c r="D1143" s="1" t="s">
        <v>192</v>
      </c>
      <c r="E1143" s="3" t="str">
        <f>"2017/S 0F2-0019926"</f>
        <v>2017/S 0F2-0019926</v>
      </c>
      <c r="F1143" s="2" t="s">
        <v>23</v>
      </c>
      <c r="G1143" s="2" t="str">
        <f t="shared" ref="G1143:G1149" si="114">CONCATENATE("RO-TEHNOLOGIJA D.O.O.,"," NOVA CESTA 86,"," 51410 OPATIJA,"," OIB: 94757004774")</f>
        <v>RO-TEHNOLOGIJA D.O.O., NOVA CESTA 86, 51410 OPATIJA, OIB: 94757004774</v>
      </c>
      <c r="H1143" s="4"/>
      <c r="I1143" s="1" t="s">
        <v>799</v>
      </c>
      <c r="J1143" s="1" t="s">
        <v>810</v>
      </c>
      <c r="K1143" s="6" t="str">
        <f>"5.000.000,00"</f>
        <v>5.000.000,00</v>
      </c>
      <c r="L1143" s="6" t="str">
        <f>"1.250.000,00"</f>
        <v>1.250.000,00</v>
      </c>
      <c r="M1143" s="6" t="str">
        <f>"6.250.000,00"</f>
        <v>6.250.000,00</v>
      </c>
      <c r="N1143" s="7"/>
      <c r="O1143" s="7"/>
      <c r="P1143" s="6" t="str">
        <f>""</f>
        <v/>
      </c>
      <c r="Q1143" s="7"/>
      <c r="R1143" s="1"/>
      <c r="S1143" s="1" t="str">
        <f>"NOS-114/17"</f>
        <v>NOS-114/17</v>
      </c>
      <c r="T1143" s="2" t="s">
        <v>33</v>
      </c>
    </row>
    <row r="1144" spans="1:20" ht="51" x14ac:dyDescent="0.25">
      <c r="A1144" s="1">
        <v>1140</v>
      </c>
      <c r="B1144" s="1" t="str">
        <f t="shared" si="113"/>
        <v>2017-2786</v>
      </c>
      <c r="C1144" s="2" t="s">
        <v>828</v>
      </c>
      <c r="D1144" s="1" t="s">
        <v>192</v>
      </c>
      <c r="E1144" s="3" t="str">
        <f>""</f>
        <v/>
      </c>
      <c r="F1144" s="2" t="s">
        <v>27</v>
      </c>
      <c r="G1144" s="2" t="str">
        <f t="shared" si="114"/>
        <v>RO-TEHNOLOGIJA D.O.O., NOVA CESTA 86, 51410 OPATIJA, OIB: 94757004774</v>
      </c>
      <c r="H1144" s="4"/>
      <c r="I1144" s="1" t="s">
        <v>574</v>
      </c>
      <c r="J1144" s="1" t="s">
        <v>121</v>
      </c>
      <c r="K1144" s="6" t="str">
        <f>"170.097,20"</f>
        <v>170.097,20</v>
      </c>
      <c r="L1144" s="6" t="str">
        <f>"42.524,30"</f>
        <v>42.524,30</v>
      </c>
      <c r="M1144" s="6" t="str">
        <f>"212.621,50"</f>
        <v>212.621,50</v>
      </c>
      <c r="N1144" s="5">
        <v>43637</v>
      </c>
      <c r="O1144" s="7"/>
      <c r="P1144" s="6" t="str">
        <f>"212.621,50"</f>
        <v>212.621,50</v>
      </c>
      <c r="Q1144" s="7"/>
      <c r="R1144" s="1"/>
      <c r="S1144" s="1" t="str">
        <f>"1-19/NOS-114/17"</f>
        <v>1-19/NOS-114/17</v>
      </c>
      <c r="T1144" s="2" t="s">
        <v>33</v>
      </c>
    </row>
    <row r="1145" spans="1:20" ht="51" x14ac:dyDescent="0.25">
      <c r="A1145" s="1">
        <v>1141</v>
      </c>
      <c r="B1145" s="1" t="str">
        <f t="shared" si="113"/>
        <v>2017-2786</v>
      </c>
      <c r="C1145" s="2" t="s">
        <v>828</v>
      </c>
      <c r="D1145" s="1" t="s">
        <v>192</v>
      </c>
      <c r="E1145" s="3" t="str">
        <f>""</f>
        <v/>
      </c>
      <c r="F1145" s="2" t="s">
        <v>27</v>
      </c>
      <c r="G1145" s="2" t="str">
        <f t="shared" si="114"/>
        <v>RO-TEHNOLOGIJA D.O.O., NOVA CESTA 86, 51410 OPATIJA, OIB: 94757004774</v>
      </c>
      <c r="H1145" s="4"/>
      <c r="I1145" s="1" t="s">
        <v>481</v>
      </c>
      <c r="J1145" s="1" t="s">
        <v>469</v>
      </c>
      <c r="K1145" s="6" t="str">
        <f>"43.007,10"</f>
        <v>43.007,10</v>
      </c>
      <c r="L1145" s="6" t="str">
        <f>"10.751,78"</f>
        <v>10.751,78</v>
      </c>
      <c r="M1145" s="6" t="str">
        <f>"53.758,88"</f>
        <v>53.758,88</v>
      </c>
      <c r="N1145" s="5">
        <v>43614</v>
      </c>
      <c r="O1145" s="7"/>
      <c r="P1145" s="6" t="str">
        <f>"53.758,88"</f>
        <v>53.758,88</v>
      </c>
      <c r="Q1145" s="7"/>
      <c r="R1145" s="1"/>
      <c r="S1145" s="1" t="str">
        <f>"4-19/NOS-114/17"</f>
        <v>4-19/NOS-114/17</v>
      </c>
      <c r="T1145" s="2" t="s">
        <v>33</v>
      </c>
    </row>
    <row r="1146" spans="1:20" ht="51" x14ac:dyDescent="0.25">
      <c r="A1146" s="1">
        <v>1142</v>
      </c>
      <c r="B1146" s="1" t="str">
        <f t="shared" si="113"/>
        <v>2017-2786</v>
      </c>
      <c r="C1146" s="2" t="s">
        <v>828</v>
      </c>
      <c r="D1146" s="1" t="s">
        <v>192</v>
      </c>
      <c r="E1146" s="3" t="str">
        <f>""</f>
        <v/>
      </c>
      <c r="F1146" s="2" t="s">
        <v>27</v>
      </c>
      <c r="G1146" s="2" t="str">
        <f t="shared" si="114"/>
        <v>RO-TEHNOLOGIJA D.O.O., NOVA CESTA 86, 51410 OPATIJA, OIB: 94757004774</v>
      </c>
      <c r="H1146" s="4"/>
      <c r="I1146" s="1" t="s">
        <v>73</v>
      </c>
      <c r="J1146" s="1" t="s">
        <v>303</v>
      </c>
      <c r="K1146" s="6" t="str">
        <f>"812,20"</f>
        <v>812,20</v>
      </c>
      <c r="L1146" s="6" t="str">
        <f>"203,05"</f>
        <v>203,05</v>
      </c>
      <c r="M1146" s="6" t="str">
        <f>"1.015,25"</f>
        <v>1.015,25</v>
      </c>
      <c r="N1146" s="5">
        <v>43644</v>
      </c>
      <c r="O1146" s="7"/>
      <c r="P1146" s="6" t="str">
        <f>"1.015,25"</f>
        <v>1.015,25</v>
      </c>
      <c r="Q1146" s="7"/>
      <c r="R1146" s="1"/>
      <c r="S1146" s="1" t="str">
        <f>"6-19/NOS-114/17"</f>
        <v>6-19/NOS-114/17</v>
      </c>
      <c r="T1146" s="2" t="s">
        <v>33</v>
      </c>
    </row>
    <row r="1147" spans="1:20" ht="51" x14ac:dyDescent="0.25">
      <c r="A1147" s="1">
        <v>1143</v>
      </c>
      <c r="B1147" s="1" t="str">
        <f t="shared" si="113"/>
        <v>2017-2786</v>
      </c>
      <c r="C1147" s="2" t="s">
        <v>828</v>
      </c>
      <c r="D1147" s="1" t="s">
        <v>192</v>
      </c>
      <c r="E1147" s="3" t="str">
        <f>""</f>
        <v/>
      </c>
      <c r="F1147" s="2" t="s">
        <v>27</v>
      </c>
      <c r="G1147" s="2" t="str">
        <f t="shared" si="114"/>
        <v>RO-TEHNOLOGIJA D.O.O., NOVA CESTA 86, 51410 OPATIJA, OIB: 94757004774</v>
      </c>
      <c r="H1147" s="4"/>
      <c r="I1147" s="1" t="s">
        <v>74</v>
      </c>
      <c r="J1147" s="1" t="s">
        <v>492</v>
      </c>
      <c r="K1147" s="6" t="str">
        <f>"159.300,00"</f>
        <v>159.300,00</v>
      </c>
      <c r="L1147" s="6" t="str">
        <f>"0,00"</f>
        <v>0,00</v>
      </c>
      <c r="M1147" s="6" t="str">
        <f>"0,00"</f>
        <v>0,00</v>
      </c>
      <c r="N1147" s="1" t="s">
        <v>117</v>
      </c>
      <c r="O1147" s="7"/>
      <c r="P1147" s="6" t="str">
        <f>"0,00"</f>
        <v>0,00</v>
      </c>
      <c r="Q1147" s="7"/>
      <c r="R1147" s="1"/>
      <c r="S1147" s="1" t="str">
        <f>"7-19/NOS-114/17"</f>
        <v>7-19/NOS-114/17</v>
      </c>
      <c r="T1147" s="2" t="s">
        <v>33</v>
      </c>
    </row>
    <row r="1148" spans="1:20" ht="51" x14ac:dyDescent="0.25">
      <c r="A1148" s="1">
        <v>1144</v>
      </c>
      <c r="B1148" s="1" t="str">
        <f t="shared" si="113"/>
        <v>2017-2786</v>
      </c>
      <c r="C1148" s="2" t="s">
        <v>828</v>
      </c>
      <c r="D1148" s="1" t="s">
        <v>192</v>
      </c>
      <c r="E1148" s="3" t="str">
        <f>""</f>
        <v/>
      </c>
      <c r="F1148" s="2" t="s">
        <v>27</v>
      </c>
      <c r="G1148" s="2" t="str">
        <f t="shared" si="114"/>
        <v>RO-TEHNOLOGIJA D.O.O., NOVA CESTA 86, 51410 OPATIJA, OIB: 94757004774</v>
      </c>
      <c r="H1148" s="4"/>
      <c r="I1148" s="1" t="s">
        <v>402</v>
      </c>
      <c r="J1148" s="1" t="s">
        <v>303</v>
      </c>
      <c r="K1148" s="6" t="str">
        <f>"2.981,40"</f>
        <v>2.981,40</v>
      </c>
      <c r="L1148" s="6" t="str">
        <f>"745,35"</f>
        <v>745,35</v>
      </c>
      <c r="M1148" s="6" t="str">
        <f>"3.726,75"</f>
        <v>3.726,75</v>
      </c>
      <c r="N1148" s="5">
        <v>43634</v>
      </c>
      <c r="O1148" s="7"/>
      <c r="P1148" s="6" t="str">
        <f>"3.726,75"</f>
        <v>3.726,75</v>
      </c>
      <c r="Q1148" s="7"/>
      <c r="R1148" s="1"/>
      <c r="S1148" s="1" t="str">
        <f>"8-19/NOS-114/17"</f>
        <v>8-19/NOS-114/17</v>
      </c>
      <c r="T1148" s="2" t="s">
        <v>33</v>
      </c>
    </row>
    <row r="1149" spans="1:20" ht="51" x14ac:dyDescent="0.25">
      <c r="A1149" s="1">
        <v>1145</v>
      </c>
      <c r="B1149" s="1" t="str">
        <f t="shared" si="113"/>
        <v>2017-2786</v>
      </c>
      <c r="C1149" s="2" t="s">
        <v>828</v>
      </c>
      <c r="D1149" s="1" t="s">
        <v>192</v>
      </c>
      <c r="E1149" s="3" t="str">
        <f>""</f>
        <v/>
      </c>
      <c r="F1149" s="2" t="s">
        <v>27</v>
      </c>
      <c r="G1149" s="2" t="str">
        <f t="shared" si="114"/>
        <v>RO-TEHNOLOGIJA D.O.O., NOVA CESTA 86, 51410 OPATIJA, OIB: 94757004774</v>
      </c>
      <c r="H1149" s="4"/>
      <c r="I1149" s="1" t="s">
        <v>638</v>
      </c>
      <c r="J1149" s="1" t="s">
        <v>436</v>
      </c>
      <c r="K1149" s="6" t="str">
        <f>"175.476,60"</f>
        <v>175.476,60</v>
      </c>
      <c r="L1149" s="6" t="str">
        <f>"43.869,15"</f>
        <v>43.869,15</v>
      </c>
      <c r="M1149" s="6" t="str">
        <f>"219.345,75"</f>
        <v>219.345,75</v>
      </c>
      <c r="N1149" s="5">
        <v>43678</v>
      </c>
      <c r="O1149" s="7"/>
      <c r="P1149" s="6" t="str">
        <f>"219.345,75"</f>
        <v>219.345,75</v>
      </c>
      <c r="Q1149" s="7"/>
      <c r="R1149" s="1"/>
      <c r="S1149" s="1" t="str">
        <f>"9-19/NOS-114/17"</f>
        <v>9-19/NOS-114/17</v>
      </c>
      <c r="T1149" s="2" t="s">
        <v>33</v>
      </c>
    </row>
    <row r="1150" spans="1:20" ht="63.75" x14ac:dyDescent="0.25">
      <c r="A1150" s="1">
        <v>1146</v>
      </c>
      <c r="B1150" s="1" t="str">
        <f>"2017-393"</f>
        <v>2017-393</v>
      </c>
      <c r="C1150" s="2" t="s">
        <v>829</v>
      </c>
      <c r="D1150" s="1" t="s">
        <v>136</v>
      </c>
      <c r="E1150" s="3" t="str">
        <f>""</f>
        <v/>
      </c>
      <c r="F1150" s="2" t="s">
        <v>23</v>
      </c>
      <c r="G1150" s="2" t="str">
        <f>CONCATENATE("FUČKAN D.O.O.,"," BLAŽEVDOL,"," FUČKANI 5,"," 10380 SVETI IVAN ZELINA,"," OIB: 63851106916",CHAR(10),"BETON-LUČKO RBG D.O.O.,"," PUŠKARIĆEVA 1B,"," 10250 LUČKO,"," OIB: 3801245143")</f>
        <v>FUČKAN D.O.O., BLAŽEVDOL, FUČKANI 5, 10380 SVETI IVAN ZELINA, OIB: 63851106916
BETON-LUČKO RBG D.O.O., PUŠKARIĆEVA 1B, 10250 LUČKO, OIB: 3801245143</v>
      </c>
      <c r="H1150" s="4"/>
      <c r="I1150" s="1" t="s">
        <v>563</v>
      </c>
      <c r="J1150" s="1" t="s">
        <v>830</v>
      </c>
      <c r="K1150" s="6" t="str">
        <f>"1.200.000,00"</f>
        <v>1.200.000,00</v>
      </c>
      <c r="L1150" s="6" t="str">
        <f>"300.000,00"</f>
        <v>300.000,00</v>
      </c>
      <c r="M1150" s="6" t="str">
        <f>"1.500.000,00"</f>
        <v>1.500.000,00</v>
      </c>
      <c r="N1150" s="7"/>
      <c r="O1150" s="7"/>
      <c r="P1150" s="6" t="str">
        <f>""</f>
        <v/>
      </c>
      <c r="Q1150" s="7"/>
      <c r="R1150" s="1"/>
      <c r="S1150" s="1" t="str">
        <f>"NOS-115-A/17"</f>
        <v>NOS-115-A/17</v>
      </c>
      <c r="T1150" s="2" t="s">
        <v>33</v>
      </c>
    </row>
    <row r="1151" spans="1:20" ht="38.25" x14ac:dyDescent="0.25">
      <c r="A1151" s="1">
        <v>1147</v>
      </c>
      <c r="B1151" s="1" t="str">
        <f>"2017-393"</f>
        <v>2017-393</v>
      </c>
      <c r="C1151" s="2" t="s">
        <v>829</v>
      </c>
      <c r="D1151" s="1" t="s">
        <v>136</v>
      </c>
      <c r="E1151" s="3" t="str">
        <f>""</f>
        <v/>
      </c>
      <c r="F1151" s="2" t="s">
        <v>27</v>
      </c>
      <c r="G1151" s="2" t="str">
        <f>CONCATENATE("FUČKAN D.O.O.,"," BLAŽEVDOL,"," FUČKANI 5,"," 10380 SVETI IVAN ZELINA,"," OIB: 63851106916")</f>
        <v>FUČKAN D.O.O., BLAŽEVDOL, FUČKANI 5, 10380 SVETI IVAN ZELINA, OIB: 63851106916</v>
      </c>
      <c r="H1151" s="4"/>
      <c r="I1151" s="1" t="s">
        <v>521</v>
      </c>
      <c r="J1151" s="1" t="s">
        <v>436</v>
      </c>
      <c r="K1151" s="6" t="str">
        <f>"9.211,20"</f>
        <v>9.211,20</v>
      </c>
      <c r="L1151" s="6" t="str">
        <f>"2.302,80"</f>
        <v>2.302,80</v>
      </c>
      <c r="M1151" s="6" t="str">
        <f>"11.514,00"</f>
        <v>11.514,00</v>
      </c>
      <c r="N1151" s="5">
        <v>43613</v>
      </c>
      <c r="O1151" s="7"/>
      <c r="P1151" s="6" t="str">
        <f>"11.514,00"</f>
        <v>11.514,00</v>
      </c>
      <c r="Q1151" s="7"/>
      <c r="R1151" s="1"/>
      <c r="S1151" s="1" t="str">
        <f>"1-19/NOS-115-A/17"</f>
        <v>1-19/NOS-115-A/17</v>
      </c>
      <c r="T1151" s="2" t="s">
        <v>33</v>
      </c>
    </row>
    <row r="1152" spans="1:20" ht="25.5" x14ac:dyDescent="0.25">
      <c r="A1152" s="1">
        <v>1148</v>
      </c>
      <c r="B1152" s="1" t="str">
        <f>"2017-393"</f>
        <v>2017-393</v>
      </c>
      <c r="C1152" s="2" t="s">
        <v>829</v>
      </c>
      <c r="D1152" s="1" t="s">
        <v>136</v>
      </c>
      <c r="E1152" s="3" t="str">
        <f>""</f>
        <v/>
      </c>
      <c r="F1152" s="2" t="s">
        <v>23</v>
      </c>
      <c r="G1152" s="2" t="str">
        <f>CONCATENATE("BETON-LUČKO RBG D.O.O.,"," PUŠKARIĆEVA 1B,"," 10250 LUČKO,"," OIB: 3801245143")</f>
        <v>BETON-LUČKO RBG D.O.O., PUŠKARIĆEVA 1B, 10250 LUČKO, OIB: 3801245143</v>
      </c>
      <c r="H1152" s="4"/>
      <c r="I1152" s="1" t="s">
        <v>563</v>
      </c>
      <c r="J1152" s="1" t="s">
        <v>830</v>
      </c>
      <c r="K1152" s="6" t="str">
        <f>"300.000,00"</f>
        <v>300.000,00</v>
      </c>
      <c r="L1152" s="6" t="str">
        <f>"75.000,00"</f>
        <v>75.000,00</v>
      </c>
      <c r="M1152" s="6" t="str">
        <f>"375.000,00"</f>
        <v>375.000,00</v>
      </c>
      <c r="N1152" s="7"/>
      <c r="O1152" s="7"/>
      <c r="P1152" s="6" t="str">
        <f>""</f>
        <v/>
      </c>
      <c r="Q1152" s="7"/>
      <c r="R1152" s="1"/>
      <c r="S1152" s="1" t="str">
        <f>"NOS-115-B/17"</f>
        <v>NOS-115-B/17</v>
      </c>
      <c r="T1152" s="2" t="s">
        <v>33</v>
      </c>
    </row>
    <row r="1153" spans="1:20" ht="38.25" x14ac:dyDescent="0.25">
      <c r="A1153" s="1">
        <v>1149</v>
      </c>
      <c r="B1153" s="1" t="str">
        <f>"2017-2494"</f>
        <v>2017-2494</v>
      </c>
      <c r="C1153" s="2" t="s">
        <v>831</v>
      </c>
      <c r="D1153" s="1" t="s">
        <v>832</v>
      </c>
      <c r="E1153" s="3" t="str">
        <f>"2017/S 0F2-0022084"</f>
        <v>2017/S 0F2-0022084</v>
      </c>
      <c r="F1153" s="2" t="s">
        <v>23</v>
      </c>
      <c r="G1153" s="2" t="str">
        <f>CONCATENATE("AQUA INŽENJERING D.O.O,"," ZAGREBAČKA ULICA 15,"," 10360 SESVETE,"," OIB: 73980898845")</f>
        <v>AQUA INŽENJERING D.O.O, ZAGREBAČKA ULICA 15, 10360 SESVETE, OIB: 73980898845</v>
      </c>
      <c r="H1153" s="4"/>
      <c r="I1153" s="1" t="s">
        <v>833</v>
      </c>
      <c r="J1153" s="1" t="s">
        <v>834</v>
      </c>
      <c r="K1153" s="6" t="str">
        <f>"1.400.000,00"</f>
        <v>1.400.000,00</v>
      </c>
      <c r="L1153" s="6" t="str">
        <f>"350.000,00"</f>
        <v>350.000,00</v>
      </c>
      <c r="M1153" s="6" t="str">
        <f>"1.750.000,00"</f>
        <v>1.750.000,00</v>
      </c>
      <c r="N1153" s="7"/>
      <c r="O1153" s="7"/>
      <c r="P1153" s="6" t="str">
        <f>""</f>
        <v/>
      </c>
      <c r="Q1153" s="7"/>
      <c r="R1153" s="1"/>
      <c r="S1153" s="1" t="str">
        <f>"NOS-116/17"</f>
        <v>NOS-116/17</v>
      </c>
      <c r="T1153" s="2" t="s">
        <v>29</v>
      </c>
    </row>
    <row r="1154" spans="1:20" ht="114.75" x14ac:dyDescent="0.25">
      <c r="A1154" s="1">
        <v>1150</v>
      </c>
      <c r="B1154" s="1" t="str">
        <f t="shared" ref="B1154:B1160" si="115">"2017-2818"</f>
        <v>2017-2818</v>
      </c>
      <c r="C1154" s="2" t="s">
        <v>835</v>
      </c>
      <c r="D1154" s="1" t="s">
        <v>836</v>
      </c>
      <c r="E1154" s="3" t="str">
        <f>"2018/S 0F3-0003012"</f>
        <v>2018/S 0F3-0003012</v>
      </c>
      <c r="F1154" s="2" t="s">
        <v>23</v>
      </c>
      <c r="G1154" s="2" t="str">
        <f t="shared" ref="G1154:G1160" si="116">CONCATENATE("ADRIA ZAPOSLENICI D.O.O.,"," HEINZELOVA 53/A,"," 10000 ZAGREB,"," OIB: 45462110557")</f>
        <v>ADRIA ZAPOSLENICI D.O.O., HEINZELOVA 53/A, 10000 ZAGREB, OIB: 45462110557</v>
      </c>
      <c r="H1154" s="4"/>
      <c r="I1154" s="1" t="s">
        <v>837</v>
      </c>
      <c r="J1154" s="1" t="s">
        <v>838</v>
      </c>
      <c r="K1154" s="6" t="str">
        <f>"117.100.000,00"</f>
        <v>117.100.000,00</v>
      </c>
      <c r="L1154" s="6" t="str">
        <f>"29.275.000,00"</f>
        <v>29.275.000,00</v>
      </c>
      <c r="M1154" s="6" t="str">
        <f>"146.375.000,00"</f>
        <v>146.375.000,00</v>
      </c>
      <c r="N1154" s="7"/>
      <c r="O1154" s="7"/>
      <c r="P1154" s="6" t="str">
        <f>""</f>
        <v/>
      </c>
      <c r="Q1154" s="7"/>
      <c r="R1154" s="1"/>
      <c r="S1154" s="1" t="str">
        <f>"NOS-117/17"</f>
        <v>NOS-117/17</v>
      </c>
      <c r="T1154" s="2" t="s">
        <v>281</v>
      </c>
    </row>
    <row r="1155" spans="1:20" ht="38.25" x14ac:dyDescent="0.25">
      <c r="A1155" s="1">
        <v>1151</v>
      </c>
      <c r="B1155" s="1" t="str">
        <f t="shared" si="115"/>
        <v>2017-2818</v>
      </c>
      <c r="C1155" s="2" t="s">
        <v>835</v>
      </c>
      <c r="D1155" s="1" t="s">
        <v>836</v>
      </c>
      <c r="E1155" s="3" t="str">
        <f>""</f>
        <v/>
      </c>
      <c r="F1155" s="2" t="s">
        <v>27</v>
      </c>
      <c r="G1155" s="2" t="str">
        <f t="shared" si="116"/>
        <v>ADRIA ZAPOSLENICI D.O.O., HEINZELOVA 53/A, 10000 ZAGREB, OIB: 45462110557</v>
      </c>
      <c r="H1155" s="4"/>
      <c r="I1155" s="1" t="s">
        <v>839</v>
      </c>
      <c r="J1155" s="1" t="s">
        <v>40</v>
      </c>
      <c r="K1155" s="6" t="str">
        <f>"2.400.000,00"</f>
        <v>2.400.000,00</v>
      </c>
      <c r="L1155" s="6" t="str">
        <f>"600.000,00"</f>
        <v>600.000,00</v>
      </c>
      <c r="M1155" s="6" t="str">
        <f>"3.000.000,00"</f>
        <v>3.000.000,00</v>
      </c>
      <c r="N1155" s="5">
        <v>43449</v>
      </c>
      <c r="O1155" s="7"/>
      <c r="P1155" s="6" t="str">
        <f>"3.000.000,00"</f>
        <v>3.000.000,00</v>
      </c>
      <c r="Q1155" s="7"/>
      <c r="R1155" s="1"/>
      <c r="S1155" s="1" t="str">
        <f>"1-18/NOS-117/17"</f>
        <v>1-18/NOS-117/17</v>
      </c>
      <c r="T1155" s="2" t="s">
        <v>65</v>
      </c>
    </row>
    <row r="1156" spans="1:20" ht="25.5" x14ac:dyDescent="0.25">
      <c r="A1156" s="1">
        <v>1152</v>
      </c>
      <c r="B1156" s="1" t="str">
        <f t="shared" si="115"/>
        <v>2017-2818</v>
      </c>
      <c r="C1156" s="2" t="s">
        <v>835</v>
      </c>
      <c r="D1156" s="4"/>
      <c r="E1156" s="3" t="str">
        <f>""</f>
        <v/>
      </c>
      <c r="F1156" s="2" t="s">
        <v>27</v>
      </c>
      <c r="G1156" s="2" t="str">
        <f t="shared" si="116"/>
        <v>ADRIA ZAPOSLENICI D.O.O., HEINZELOVA 53/A, 10000 ZAGREB, OIB: 45462110557</v>
      </c>
      <c r="H1156" s="4"/>
      <c r="I1156" s="1" t="s">
        <v>840</v>
      </c>
      <c r="J1156" s="1" t="s">
        <v>71</v>
      </c>
      <c r="K1156" s="6" t="str">
        <f>"3.186.100,50"</f>
        <v>3.186.100,50</v>
      </c>
      <c r="L1156" s="6" t="str">
        <f>"796.525,13"</f>
        <v>796.525,13</v>
      </c>
      <c r="M1156" s="6" t="str">
        <f>"3.982.625,63"</f>
        <v>3.982.625,63</v>
      </c>
      <c r="N1156" s="1" t="s">
        <v>117</v>
      </c>
      <c r="O1156" s="7"/>
      <c r="P1156" s="6" t="str">
        <f>""</f>
        <v/>
      </c>
      <c r="Q1156" s="7"/>
      <c r="R1156" s="1"/>
      <c r="S1156" s="1" t="str">
        <f>"4-18/NOS-117/17"</f>
        <v>4-18/NOS-117/17</v>
      </c>
      <c r="T1156" s="2" t="s">
        <v>29</v>
      </c>
    </row>
    <row r="1157" spans="1:20" ht="25.5" x14ac:dyDescent="0.25">
      <c r="A1157" s="1">
        <v>1153</v>
      </c>
      <c r="B1157" s="1" t="str">
        <f t="shared" si="115"/>
        <v>2017-2818</v>
      </c>
      <c r="C1157" s="2" t="s">
        <v>835</v>
      </c>
      <c r="D1157" s="1" t="s">
        <v>836</v>
      </c>
      <c r="E1157" s="3" t="str">
        <f>""</f>
        <v/>
      </c>
      <c r="F1157" s="2" t="s">
        <v>27</v>
      </c>
      <c r="G1157" s="2" t="str">
        <f t="shared" si="116"/>
        <v>ADRIA ZAPOSLENICI D.O.O., HEINZELOVA 53/A, 10000 ZAGREB, OIB: 45462110557</v>
      </c>
      <c r="H1157" s="4"/>
      <c r="I1157" s="1" t="s">
        <v>841</v>
      </c>
      <c r="J1157" s="1" t="s">
        <v>53</v>
      </c>
      <c r="K1157" s="6" t="str">
        <f>"23.942.757,73"</f>
        <v>23.942.757,73</v>
      </c>
      <c r="L1157" s="6" t="str">
        <f>"5.985.689,43"</f>
        <v>5.985.689,43</v>
      </c>
      <c r="M1157" s="6" t="str">
        <f>"29.928.447,16"</f>
        <v>29.928.447,16</v>
      </c>
      <c r="N1157" s="5">
        <v>43685</v>
      </c>
      <c r="O1157" s="7"/>
      <c r="P1157" s="6" t="str">
        <f>"14.156.487,34"</f>
        <v>14.156.487,34</v>
      </c>
      <c r="Q1157" s="7"/>
      <c r="R1157" s="1"/>
      <c r="S1157" s="1" t="str">
        <f>"7-18/NOS-117/17"</f>
        <v>7-18/NOS-117/17</v>
      </c>
      <c r="T1157" s="2" t="s">
        <v>33</v>
      </c>
    </row>
    <row r="1158" spans="1:20" ht="25.5" x14ac:dyDescent="0.25">
      <c r="A1158" s="1">
        <v>1154</v>
      </c>
      <c r="B1158" s="1" t="str">
        <f t="shared" si="115"/>
        <v>2017-2818</v>
      </c>
      <c r="C1158" s="2" t="s">
        <v>835</v>
      </c>
      <c r="D1158" s="4"/>
      <c r="E1158" s="3" t="str">
        <f>""</f>
        <v/>
      </c>
      <c r="F1158" s="2" t="s">
        <v>27</v>
      </c>
      <c r="G1158" s="2" t="str">
        <f t="shared" si="116"/>
        <v>ADRIA ZAPOSLENICI D.O.O., HEINZELOVA 53/A, 10000 ZAGREB, OIB: 45462110557</v>
      </c>
      <c r="H1158" s="4"/>
      <c r="I1158" s="1" t="s">
        <v>842</v>
      </c>
      <c r="J1158" s="1" t="s">
        <v>45</v>
      </c>
      <c r="K1158" s="6" t="str">
        <f>"734.784,90"</f>
        <v>734.784,90</v>
      </c>
      <c r="L1158" s="6" t="str">
        <f>"183.696,23"</f>
        <v>183.696,23</v>
      </c>
      <c r="M1158" s="6" t="str">
        <f>"918.481,13"</f>
        <v>918.481,13</v>
      </c>
      <c r="N1158" s="5">
        <v>43830</v>
      </c>
      <c r="O1158" s="7"/>
      <c r="P1158" s="6" t="str">
        <f>"827.724,39"</f>
        <v>827.724,39</v>
      </c>
      <c r="Q1158" s="7"/>
      <c r="R1158" s="1"/>
      <c r="S1158" s="1" t="str">
        <f>"9-18/NOS-117/17"</f>
        <v>9-18/NOS-117/17</v>
      </c>
      <c r="T1158" s="2" t="s">
        <v>60</v>
      </c>
    </row>
    <row r="1159" spans="1:20" ht="38.25" x14ac:dyDescent="0.25">
      <c r="A1159" s="1">
        <v>1155</v>
      </c>
      <c r="B1159" s="1" t="str">
        <f t="shared" si="115"/>
        <v>2017-2818</v>
      </c>
      <c r="C1159" s="2" t="s">
        <v>835</v>
      </c>
      <c r="D1159" s="1" t="s">
        <v>836</v>
      </c>
      <c r="E1159" s="3" t="str">
        <f>""</f>
        <v/>
      </c>
      <c r="F1159" s="2" t="s">
        <v>27</v>
      </c>
      <c r="G1159" s="2" t="str">
        <f t="shared" si="116"/>
        <v>ADRIA ZAPOSLENICI D.O.O., HEINZELOVA 53/A, 10000 ZAGREB, OIB: 45462110557</v>
      </c>
      <c r="H1159" s="4"/>
      <c r="I1159" s="1" t="s">
        <v>172</v>
      </c>
      <c r="J1159" s="1" t="s">
        <v>45</v>
      </c>
      <c r="K1159" s="6" t="str">
        <f>"4.776.610,00"</f>
        <v>4.776.610,00</v>
      </c>
      <c r="L1159" s="6" t="str">
        <f>"1.194.152,50"</f>
        <v>1.194.152,50</v>
      </c>
      <c r="M1159" s="6" t="str">
        <f>"5.970.762,50"</f>
        <v>5.970.762,50</v>
      </c>
      <c r="N1159" s="5">
        <v>43677</v>
      </c>
      <c r="O1159" s="7"/>
      <c r="P1159" s="6" t="str">
        <f>"3.319.235,04"</f>
        <v>3.319.235,04</v>
      </c>
      <c r="Q1159" s="7"/>
      <c r="R1159" s="1"/>
      <c r="S1159" s="1" t="str">
        <f>"10-18/NOS-117/17"</f>
        <v>10-18/NOS-117/17</v>
      </c>
      <c r="T1159" s="2" t="s">
        <v>65</v>
      </c>
    </row>
    <row r="1160" spans="1:20" ht="25.5" x14ac:dyDescent="0.25">
      <c r="A1160" s="1">
        <v>1156</v>
      </c>
      <c r="B1160" s="1" t="str">
        <f t="shared" si="115"/>
        <v>2017-2818</v>
      </c>
      <c r="C1160" s="2" t="s">
        <v>835</v>
      </c>
      <c r="D1160" s="1" t="s">
        <v>836</v>
      </c>
      <c r="E1160" s="3" t="str">
        <f>""</f>
        <v/>
      </c>
      <c r="F1160" s="2" t="s">
        <v>27</v>
      </c>
      <c r="G1160" s="2" t="str">
        <f t="shared" si="116"/>
        <v>ADRIA ZAPOSLENICI D.O.O., HEINZELOVA 53/A, 10000 ZAGREB, OIB: 45462110557</v>
      </c>
      <c r="H1160" s="4"/>
      <c r="I1160" s="1" t="s">
        <v>46</v>
      </c>
      <c r="J1160" s="1" t="s">
        <v>516</v>
      </c>
      <c r="K1160" s="6" t="str">
        <f>"22.082.976,80"</f>
        <v>22.082.976,80</v>
      </c>
      <c r="L1160" s="6" t="str">
        <f>"5.520.744,20"</f>
        <v>5.520.744,20</v>
      </c>
      <c r="M1160" s="6" t="str">
        <f>"27.603.721,00"</f>
        <v>27.603.721,00</v>
      </c>
      <c r="N1160" s="5">
        <v>43719</v>
      </c>
      <c r="O1160" s="7"/>
      <c r="P1160" s="6" t="str">
        <f>"4.823.206,66"</f>
        <v>4.823.206,66</v>
      </c>
      <c r="Q1160" s="7"/>
      <c r="R1160" s="1"/>
      <c r="S1160" s="1" t="str">
        <f>"1-19/NOS-117/17"</f>
        <v>1-19/NOS-117/17</v>
      </c>
      <c r="T1160" s="2" t="s">
        <v>33</v>
      </c>
    </row>
    <row r="1161" spans="1:20" ht="51" x14ac:dyDescent="0.25">
      <c r="A1161" s="1">
        <v>1157</v>
      </c>
      <c r="B1161" s="1" t="str">
        <f t="shared" ref="B1161:B1167" si="117">"2017-2481"</f>
        <v>2017-2481</v>
      </c>
      <c r="C1161" s="2" t="s">
        <v>843</v>
      </c>
      <c r="D1161" s="1" t="s">
        <v>844</v>
      </c>
      <c r="E1161" s="3" t="str">
        <f>"2017/S 0F2-0017325"</f>
        <v>2017/S 0F2-0017325</v>
      </c>
      <c r="F1161" s="2" t="s">
        <v>23</v>
      </c>
      <c r="G1161" s="2" t="str">
        <f>CONCATENATE("KOM-EKO D.O.O.,"," RADNIČKA CESTA 228,"," 10000 ZAGREB,"," OIB: 27859052647",CHAR(10),"RIJEKATANK D. O. O.,"," BARTOLA KAŠIĆA,"," 51000 RIJEKA,"," OIB: 9446593785")</f>
        <v>KOM-EKO D.O.O., RADNIČKA CESTA 228, 10000 ZAGREB, OIB: 27859052647
RIJEKATANK D. O. O., BARTOLA KAŠIĆA, 51000 RIJEKA, OIB: 9446593785</v>
      </c>
      <c r="H1161" s="4"/>
      <c r="I1161" s="1" t="s">
        <v>837</v>
      </c>
      <c r="J1161" s="1" t="s">
        <v>845</v>
      </c>
      <c r="K1161" s="6" t="str">
        <f>"1.500.000,00"</f>
        <v>1.500.000,00</v>
      </c>
      <c r="L1161" s="6" t="str">
        <f>"375.000,00"</f>
        <v>375.000,00</v>
      </c>
      <c r="M1161" s="6" t="str">
        <f>"1.875.000,00"</f>
        <v>1.875.000,00</v>
      </c>
      <c r="N1161" s="7"/>
      <c r="O1161" s="7"/>
      <c r="P1161" s="6" t="str">
        <f>""</f>
        <v/>
      </c>
      <c r="Q1161" s="7"/>
      <c r="R1161" s="1"/>
      <c r="S1161" s="1" t="str">
        <f>"NOS-118-A/17"</f>
        <v>NOS-118-A/17</v>
      </c>
      <c r="T1161" s="2" t="s">
        <v>33</v>
      </c>
    </row>
    <row r="1162" spans="1:20" ht="25.5" x14ac:dyDescent="0.25">
      <c r="A1162" s="1">
        <v>1158</v>
      </c>
      <c r="B1162" s="1" t="str">
        <f t="shared" si="117"/>
        <v>2017-2481</v>
      </c>
      <c r="C1162" s="2" t="s">
        <v>843</v>
      </c>
      <c r="D1162" s="1" t="s">
        <v>844</v>
      </c>
      <c r="E1162" s="3" t="str">
        <f>""</f>
        <v/>
      </c>
      <c r="F1162" s="2" t="s">
        <v>27</v>
      </c>
      <c r="G1162" s="2" t="str">
        <f>CONCATENATE("KOM-EKO D.O.O.,"," RADNIČKA CESTA 228,"," 10000 ZAGREB,"," OIB: 27859052647")</f>
        <v>KOM-EKO D.O.O., RADNIČKA CESTA 228, 10000 ZAGREB, OIB: 27859052647</v>
      </c>
      <c r="H1162" s="4"/>
      <c r="I1162" s="1" t="s">
        <v>446</v>
      </c>
      <c r="J1162" s="1" t="s">
        <v>121</v>
      </c>
      <c r="K1162" s="6" t="str">
        <f>"23.592,25"</f>
        <v>23.592,25</v>
      </c>
      <c r="L1162" s="6" t="str">
        <f>"0,00"</f>
        <v>0,00</v>
      </c>
      <c r="M1162" s="6" t="str">
        <f>"0,00"</f>
        <v>0,00</v>
      </c>
      <c r="N1162" s="1" t="s">
        <v>117</v>
      </c>
      <c r="O1162" s="7"/>
      <c r="P1162" s="6" t="str">
        <f>"0,00"</f>
        <v>0,00</v>
      </c>
      <c r="Q1162" s="7"/>
      <c r="R1162" s="1"/>
      <c r="S1162" s="1" t="str">
        <f>"1-19/NOS-118-A/17"</f>
        <v>1-19/NOS-118-A/17</v>
      </c>
      <c r="T1162" s="2" t="s">
        <v>33</v>
      </c>
    </row>
    <row r="1163" spans="1:20" ht="25.5" x14ac:dyDescent="0.25">
      <c r="A1163" s="1">
        <v>1159</v>
      </c>
      <c r="B1163" s="1" t="str">
        <f t="shared" si="117"/>
        <v>2017-2481</v>
      </c>
      <c r="C1163" s="2" t="s">
        <v>843</v>
      </c>
      <c r="D1163" s="1" t="s">
        <v>844</v>
      </c>
      <c r="E1163" s="3" t="str">
        <f>""</f>
        <v/>
      </c>
      <c r="F1163" s="2" t="s">
        <v>27</v>
      </c>
      <c r="G1163" s="2" t="str">
        <f>CONCATENATE("KOM-EKO D.O.O.,"," RADNIČKA CESTA 228,"," 10000 ZAGREB,"," OIB: 27859052647")</f>
        <v>KOM-EKO D.O.O., RADNIČKA CESTA 228, 10000 ZAGREB, OIB: 27859052647</v>
      </c>
      <c r="H1163" s="4"/>
      <c r="I1163" s="1" t="s">
        <v>494</v>
      </c>
      <c r="J1163" s="1" t="s">
        <v>251</v>
      </c>
      <c r="K1163" s="6" t="str">
        <f>"19.812,00"</f>
        <v>19.812,00</v>
      </c>
      <c r="L1163" s="6" t="str">
        <f>"4.953,00"</f>
        <v>4.953,00</v>
      </c>
      <c r="M1163" s="6" t="str">
        <f>"24.765,00"</f>
        <v>24.765,00</v>
      </c>
      <c r="N1163" s="5">
        <v>43566</v>
      </c>
      <c r="O1163" s="7"/>
      <c r="P1163" s="6" t="str">
        <f>"24.765,00"</f>
        <v>24.765,00</v>
      </c>
      <c r="Q1163" s="7"/>
      <c r="R1163" s="1"/>
      <c r="S1163" s="1" t="str">
        <f>"2-19/NOS-118-A/17"</f>
        <v>2-19/NOS-118-A/17</v>
      </c>
      <c r="T1163" s="2" t="s">
        <v>33</v>
      </c>
    </row>
    <row r="1164" spans="1:20" ht="25.5" x14ac:dyDescent="0.25">
      <c r="A1164" s="1">
        <v>1160</v>
      </c>
      <c r="B1164" s="1" t="str">
        <f t="shared" si="117"/>
        <v>2017-2481</v>
      </c>
      <c r="C1164" s="2" t="s">
        <v>843</v>
      </c>
      <c r="D1164" s="1" t="s">
        <v>844</v>
      </c>
      <c r="E1164" s="3" t="str">
        <f>""</f>
        <v/>
      </c>
      <c r="F1164" s="2" t="s">
        <v>27</v>
      </c>
      <c r="G1164" s="2" t="str">
        <f>CONCATENATE("KOM-EKO D.O.O.,"," RADNIČKA CESTA 228,"," 10000 ZAGREB,"," OIB: 27859052647")</f>
        <v>KOM-EKO D.O.O., RADNIČKA CESTA 228, 10000 ZAGREB, OIB: 27859052647</v>
      </c>
      <c r="H1164" s="4"/>
      <c r="I1164" s="1" t="s">
        <v>361</v>
      </c>
      <c r="J1164" s="1" t="s">
        <v>121</v>
      </c>
      <c r="K1164" s="6" t="str">
        <f>"510,00"</f>
        <v>510,00</v>
      </c>
      <c r="L1164" s="6" t="str">
        <f>"0,00"</f>
        <v>0,00</v>
      </c>
      <c r="M1164" s="6" t="str">
        <f>"0,00"</f>
        <v>0,00</v>
      </c>
      <c r="N1164" s="1" t="s">
        <v>117</v>
      </c>
      <c r="O1164" s="7"/>
      <c r="P1164" s="6" t="str">
        <f>"0,00"</f>
        <v>0,00</v>
      </c>
      <c r="Q1164" s="7"/>
      <c r="R1164" s="1"/>
      <c r="S1164" s="1" t="str">
        <f>"3-19/NOS-118-A/17"</f>
        <v>3-19/NOS-118-A/17</v>
      </c>
      <c r="T1164" s="2" t="s">
        <v>33</v>
      </c>
    </row>
    <row r="1165" spans="1:20" ht="25.5" x14ac:dyDescent="0.25">
      <c r="A1165" s="1">
        <v>1161</v>
      </c>
      <c r="B1165" s="1" t="str">
        <f t="shared" si="117"/>
        <v>2017-2481</v>
      </c>
      <c r="C1165" s="2" t="s">
        <v>843</v>
      </c>
      <c r="D1165" s="1" t="s">
        <v>844</v>
      </c>
      <c r="E1165" s="3" t="str">
        <f>""</f>
        <v/>
      </c>
      <c r="F1165" s="2" t="s">
        <v>27</v>
      </c>
      <c r="G1165" s="2" t="str">
        <f>CONCATENATE("KOM-EKO D.O.O.,"," RADNIČKA CESTA 228,"," 10000 ZAGREB,"," OIB: 27859052647")</f>
        <v>KOM-EKO D.O.O., RADNIČKA CESTA 228, 10000 ZAGREB, OIB: 27859052647</v>
      </c>
      <c r="H1165" s="4"/>
      <c r="I1165" s="1" t="s">
        <v>374</v>
      </c>
      <c r="J1165" s="1" t="s">
        <v>242</v>
      </c>
      <c r="K1165" s="6" t="str">
        <f>"860,00"</f>
        <v>860,00</v>
      </c>
      <c r="L1165" s="6" t="str">
        <f>"215,00"</f>
        <v>215,00</v>
      </c>
      <c r="M1165" s="6" t="str">
        <f>"1.075,00"</f>
        <v>1.075,00</v>
      </c>
      <c r="N1165" s="5">
        <v>43630</v>
      </c>
      <c r="O1165" s="7"/>
      <c r="P1165" s="6" t="str">
        <f>"1.075,00"</f>
        <v>1.075,00</v>
      </c>
      <c r="Q1165" s="7"/>
      <c r="R1165" s="1"/>
      <c r="S1165" s="1" t="str">
        <f>"4-19/NOS-118-A/17"</f>
        <v>4-19/NOS-118-A/17</v>
      </c>
      <c r="T1165" s="2" t="s">
        <v>33</v>
      </c>
    </row>
    <row r="1166" spans="1:20" ht="25.5" x14ac:dyDescent="0.25">
      <c r="A1166" s="1">
        <v>1162</v>
      </c>
      <c r="B1166" s="1" t="str">
        <f t="shared" si="117"/>
        <v>2017-2481</v>
      </c>
      <c r="C1166" s="2" t="s">
        <v>843</v>
      </c>
      <c r="D1166" s="1" t="s">
        <v>844</v>
      </c>
      <c r="E1166" s="3" t="str">
        <f>""</f>
        <v/>
      </c>
      <c r="F1166" s="2" t="s">
        <v>27</v>
      </c>
      <c r="G1166" s="2" t="str">
        <f>CONCATENATE("KOM-EKO D.O.O.,"," RADNIČKA CESTA 228,"," 10000 ZAGREB,"," OIB: 27859052647")</f>
        <v>KOM-EKO D.O.O., RADNIČKA CESTA 228, 10000 ZAGREB, OIB: 27859052647</v>
      </c>
      <c r="H1166" s="4"/>
      <c r="I1166" s="1" t="s">
        <v>579</v>
      </c>
      <c r="J1166" s="1" t="s">
        <v>47</v>
      </c>
      <c r="K1166" s="6" t="str">
        <f>"7.200,00"</f>
        <v>7.200,00</v>
      </c>
      <c r="L1166" s="6" t="str">
        <f>"1.800,00"</f>
        <v>1.800,00</v>
      </c>
      <c r="M1166" s="6" t="str">
        <f>"9.000,00"</f>
        <v>9.000,00</v>
      </c>
      <c r="N1166" s="5">
        <v>43630</v>
      </c>
      <c r="O1166" s="7"/>
      <c r="P1166" s="6" t="str">
        <f>"9.000,00"</f>
        <v>9.000,00</v>
      </c>
      <c r="Q1166" s="7"/>
      <c r="R1166" s="1"/>
      <c r="S1166" s="1" t="str">
        <f>"5-19/NOS-118-A/17"</f>
        <v>5-19/NOS-118-A/17</v>
      </c>
      <c r="T1166" s="2" t="s">
        <v>33</v>
      </c>
    </row>
    <row r="1167" spans="1:20" ht="51" x14ac:dyDescent="0.25">
      <c r="A1167" s="1">
        <v>1163</v>
      </c>
      <c r="B1167" s="1" t="str">
        <f t="shared" si="117"/>
        <v>2017-2481</v>
      </c>
      <c r="C1167" s="2" t="s">
        <v>843</v>
      </c>
      <c r="D1167" s="1" t="s">
        <v>844</v>
      </c>
      <c r="E1167" s="3" t="str">
        <f>"2017/S 0F2-0017325"</f>
        <v>2017/S 0F2-0017325</v>
      </c>
      <c r="F1167" s="2" t="s">
        <v>23</v>
      </c>
      <c r="G1167" s="2" t="str">
        <f>CONCATENATE("EKO-FLOR PLUS D.O.O.,"," MOKRICE 180C,"," 49243 OROSLAVJE,"," OIB: 50730247993",CHAR(10),"RIJEKATANK D. O. O.,"," BARTOLA KAŠIĆA,"," 51000 RIJEKA,"," OIB: 9446593785")</f>
        <v>EKO-FLOR PLUS D.O.O., MOKRICE 180C, 49243 OROSLAVJE, OIB: 50730247993
RIJEKATANK D. O. O., BARTOLA KAŠIĆA, 51000 RIJEKA, OIB: 9446593785</v>
      </c>
      <c r="H1167" s="4"/>
      <c r="I1167" s="1" t="s">
        <v>837</v>
      </c>
      <c r="J1167" s="1" t="s">
        <v>845</v>
      </c>
      <c r="K1167" s="6" t="str">
        <f>"1.000.000,00"</f>
        <v>1.000.000,00</v>
      </c>
      <c r="L1167" s="6" t="str">
        <f>"250.000,00"</f>
        <v>250.000,00</v>
      </c>
      <c r="M1167" s="6" t="str">
        <f>"1.250.000,00"</f>
        <v>1.250.000,00</v>
      </c>
      <c r="N1167" s="7"/>
      <c r="O1167" s="7"/>
      <c r="P1167" s="6" t="str">
        <f>""</f>
        <v/>
      </c>
      <c r="Q1167" s="7"/>
      <c r="R1167" s="1"/>
      <c r="S1167" s="1" t="str">
        <f>"NOS-118-B/17"</f>
        <v>NOS-118-B/17</v>
      </c>
      <c r="T1167" s="2" t="s">
        <v>33</v>
      </c>
    </row>
    <row r="1168" spans="1:20" ht="89.25" x14ac:dyDescent="0.25">
      <c r="A1168" s="1">
        <v>1164</v>
      </c>
      <c r="B1168" s="1" t="str">
        <f t="shared" ref="B1168:B1174" si="118">"2017-423"</f>
        <v>2017-423</v>
      </c>
      <c r="C1168" s="2" t="s">
        <v>846</v>
      </c>
      <c r="D1168" s="1" t="s">
        <v>844</v>
      </c>
      <c r="E1168" s="3" t="str">
        <f>"2017/S 0F2-0019139"</f>
        <v>2017/S 0F2-0019139</v>
      </c>
      <c r="F1168" s="2" t="s">
        <v>23</v>
      </c>
      <c r="G1168" s="2" t="str">
        <f>CONCATENATE("MC ČIŠĆENJE D.O.O.,"," NIKOLE TESLE 17,"," 44000 SISAK,"," OIB: 17783496119",CHAR(10),"KEMIS-TERMOCLEAN D.O.O.,"," SLAVONSKA AVENIJA 26/4,"," 10000 ZAGREB,"," OIB: 47719259482",CHAR(10),"AEKS D.O.O.,"," OMLADINSKA 45,"," 10310 IVANIĆ-GRAD,"," OIB: 64811851682")</f>
        <v>MC ČIŠĆENJE D.O.O., NIKOLE TESLE 17, 44000 SISAK, OIB: 17783496119
KEMIS-TERMOCLEAN D.O.O., SLAVONSKA AVENIJA 26/4, 10000 ZAGREB, OIB: 47719259482
AEKS D.O.O., OMLADINSKA 45, 10310 IVANIĆ-GRAD, OIB: 64811851682</v>
      </c>
      <c r="H1168" s="4"/>
      <c r="I1168" s="1" t="s">
        <v>837</v>
      </c>
      <c r="J1168" s="1" t="s">
        <v>845</v>
      </c>
      <c r="K1168" s="6" t="str">
        <f>"2.670.000,00"</f>
        <v>2.670.000,00</v>
      </c>
      <c r="L1168" s="6" t="str">
        <f>"667.500,00"</f>
        <v>667.500,00</v>
      </c>
      <c r="M1168" s="6" t="str">
        <f>"3.337.500,00"</f>
        <v>3.337.500,00</v>
      </c>
      <c r="N1168" s="7"/>
      <c r="O1168" s="7"/>
      <c r="P1168" s="6" t="str">
        <f>""</f>
        <v/>
      </c>
      <c r="Q1168" s="7"/>
      <c r="R1168" s="1"/>
      <c r="S1168" s="1" t="str">
        <f>"NOS-119/17"</f>
        <v>NOS-119/17</v>
      </c>
      <c r="T1168" s="2" t="s">
        <v>33</v>
      </c>
    </row>
    <row r="1169" spans="1:20" ht="25.5" x14ac:dyDescent="0.25">
      <c r="A1169" s="1">
        <v>1165</v>
      </c>
      <c r="B1169" s="1" t="str">
        <f t="shared" si="118"/>
        <v>2017-423</v>
      </c>
      <c r="C1169" s="2" t="s">
        <v>846</v>
      </c>
      <c r="D1169" s="4"/>
      <c r="E1169" s="3" t="str">
        <f>""</f>
        <v/>
      </c>
      <c r="F1169" s="2" t="s">
        <v>27</v>
      </c>
      <c r="G1169" s="2" t="str">
        <f t="shared" ref="G1169:G1174" si="119">CONCATENATE("MC ČIŠĆENJE D.O.O.,"," NIKOLE TESLE 17,"," 44000 SISAK,"," OIB: 17783496119")</f>
        <v>MC ČIŠĆENJE D.O.O., NIKOLE TESLE 17, 44000 SISAK, OIB: 17783496119</v>
      </c>
      <c r="H1169" s="4"/>
      <c r="I1169" s="1" t="s">
        <v>267</v>
      </c>
      <c r="J1169" s="1" t="s">
        <v>64</v>
      </c>
      <c r="K1169" s="6" t="str">
        <f>"160.000,00"</f>
        <v>160.000,00</v>
      </c>
      <c r="L1169" s="6" t="str">
        <f>"40.000,00"</f>
        <v>40.000,00</v>
      </c>
      <c r="M1169" s="6" t="str">
        <f>"200.000,00"</f>
        <v>200.000,00</v>
      </c>
      <c r="N1169" s="5">
        <v>43552</v>
      </c>
      <c r="O1169" s="7"/>
      <c r="P1169" s="6" t="str">
        <f>"78.325,00"</f>
        <v>78.325,00</v>
      </c>
      <c r="Q1169" s="7"/>
      <c r="R1169" s="1"/>
      <c r="S1169" s="1" t="str">
        <f>"19-18/NOS-119/17"</f>
        <v>19-18/NOS-119/17</v>
      </c>
      <c r="T1169" s="2" t="s">
        <v>33</v>
      </c>
    </row>
    <row r="1170" spans="1:20" ht="25.5" x14ac:dyDescent="0.25">
      <c r="A1170" s="1">
        <v>1166</v>
      </c>
      <c r="B1170" s="1" t="str">
        <f t="shared" si="118"/>
        <v>2017-423</v>
      </c>
      <c r="C1170" s="2" t="s">
        <v>846</v>
      </c>
      <c r="D1170" s="1" t="s">
        <v>844</v>
      </c>
      <c r="E1170" s="3" t="str">
        <f>""</f>
        <v/>
      </c>
      <c r="F1170" s="2" t="s">
        <v>27</v>
      </c>
      <c r="G1170" s="2" t="str">
        <f t="shared" si="119"/>
        <v>MC ČIŠĆENJE D.O.O., NIKOLE TESLE 17, 44000 SISAK, OIB: 17783496119</v>
      </c>
      <c r="H1170" s="4"/>
      <c r="I1170" s="1" t="s">
        <v>637</v>
      </c>
      <c r="J1170" s="1" t="s">
        <v>251</v>
      </c>
      <c r="K1170" s="6" t="str">
        <f>"11.110,00"</f>
        <v>11.110,00</v>
      </c>
      <c r="L1170" s="6" t="str">
        <f>"2.777,50"</f>
        <v>2.777,50</v>
      </c>
      <c r="M1170" s="6" t="str">
        <f>"13.887,50"</f>
        <v>13.887,50</v>
      </c>
      <c r="N1170" s="5">
        <v>43594</v>
      </c>
      <c r="O1170" s="7"/>
      <c r="P1170" s="6" t="str">
        <f>"13.887,50"</f>
        <v>13.887,50</v>
      </c>
      <c r="Q1170" s="7"/>
      <c r="R1170" s="1"/>
      <c r="S1170" s="1" t="str">
        <f>"1-19/NOS-119/17"</f>
        <v>1-19/NOS-119/17</v>
      </c>
      <c r="T1170" s="2" t="s">
        <v>33</v>
      </c>
    </row>
    <row r="1171" spans="1:20" ht="25.5" x14ac:dyDescent="0.25">
      <c r="A1171" s="1">
        <v>1167</v>
      </c>
      <c r="B1171" s="1" t="str">
        <f t="shared" si="118"/>
        <v>2017-423</v>
      </c>
      <c r="C1171" s="2" t="s">
        <v>846</v>
      </c>
      <c r="D1171" s="1" t="s">
        <v>844</v>
      </c>
      <c r="E1171" s="3" t="str">
        <f>""</f>
        <v/>
      </c>
      <c r="F1171" s="2" t="s">
        <v>27</v>
      </c>
      <c r="G1171" s="2" t="str">
        <f t="shared" si="119"/>
        <v>MC ČIŠĆENJE D.O.O., NIKOLE TESLE 17, 44000 SISAK, OIB: 17783496119</v>
      </c>
      <c r="H1171" s="4"/>
      <c r="I1171" s="1" t="s">
        <v>25</v>
      </c>
      <c r="J1171" s="1" t="s">
        <v>251</v>
      </c>
      <c r="K1171" s="6" t="str">
        <f>"43.070,00"</f>
        <v>43.070,00</v>
      </c>
      <c r="L1171" s="6" t="str">
        <f>"10.767,50"</f>
        <v>10.767,50</v>
      </c>
      <c r="M1171" s="6" t="str">
        <f>"53.837,50"</f>
        <v>53.837,50</v>
      </c>
      <c r="N1171" s="5">
        <v>43605</v>
      </c>
      <c r="O1171" s="7"/>
      <c r="P1171" s="6" t="str">
        <f>"53.837,50"</f>
        <v>53.837,50</v>
      </c>
      <c r="Q1171" s="7"/>
      <c r="R1171" s="1"/>
      <c r="S1171" s="1" t="str">
        <f>"2-19/NOS-119/17"</f>
        <v>2-19/NOS-119/17</v>
      </c>
      <c r="T1171" s="2" t="s">
        <v>33</v>
      </c>
    </row>
    <row r="1172" spans="1:20" ht="25.5" x14ac:dyDescent="0.25">
      <c r="A1172" s="1">
        <v>1168</v>
      </c>
      <c r="B1172" s="1" t="str">
        <f t="shared" si="118"/>
        <v>2017-423</v>
      </c>
      <c r="C1172" s="2" t="s">
        <v>846</v>
      </c>
      <c r="D1172" s="1" t="s">
        <v>844</v>
      </c>
      <c r="E1172" s="3" t="str">
        <f>""</f>
        <v/>
      </c>
      <c r="F1172" s="2" t="s">
        <v>27</v>
      </c>
      <c r="G1172" s="2" t="str">
        <f t="shared" si="119"/>
        <v>MC ČIŠĆENJE D.O.O., NIKOLE TESLE 17, 44000 SISAK, OIB: 17783496119</v>
      </c>
      <c r="H1172" s="4"/>
      <c r="I1172" s="1" t="s">
        <v>25</v>
      </c>
      <c r="J1172" s="1" t="s">
        <v>251</v>
      </c>
      <c r="K1172" s="6" t="str">
        <f>"4.760,00"</f>
        <v>4.760,00</v>
      </c>
      <c r="L1172" s="6" t="str">
        <f>"1.190,00"</f>
        <v>1.190,00</v>
      </c>
      <c r="M1172" s="6" t="str">
        <f>"5.950,00"</f>
        <v>5.950,00</v>
      </c>
      <c r="N1172" s="5">
        <v>43605</v>
      </c>
      <c r="O1172" s="7"/>
      <c r="P1172" s="6" t="str">
        <f>"5.950,00"</f>
        <v>5.950,00</v>
      </c>
      <c r="Q1172" s="7"/>
      <c r="R1172" s="1"/>
      <c r="S1172" s="1" t="str">
        <f>"3-19/NOS-119/17"</f>
        <v>3-19/NOS-119/17</v>
      </c>
      <c r="T1172" s="2" t="s">
        <v>33</v>
      </c>
    </row>
    <row r="1173" spans="1:20" ht="25.5" x14ac:dyDescent="0.25">
      <c r="A1173" s="1">
        <v>1169</v>
      </c>
      <c r="B1173" s="1" t="str">
        <f t="shared" si="118"/>
        <v>2017-423</v>
      </c>
      <c r="C1173" s="2" t="s">
        <v>846</v>
      </c>
      <c r="D1173" s="1" t="s">
        <v>844</v>
      </c>
      <c r="E1173" s="3" t="str">
        <f>""</f>
        <v/>
      </c>
      <c r="F1173" s="2" t="s">
        <v>27</v>
      </c>
      <c r="G1173" s="2" t="str">
        <f t="shared" si="119"/>
        <v>MC ČIŠĆENJE D.O.O., NIKOLE TESLE 17, 44000 SISAK, OIB: 17783496119</v>
      </c>
      <c r="H1173" s="4"/>
      <c r="I1173" s="1" t="s">
        <v>440</v>
      </c>
      <c r="J1173" s="1" t="s">
        <v>121</v>
      </c>
      <c r="K1173" s="6" t="str">
        <f>"4.350,00"</f>
        <v>4.350,00</v>
      </c>
      <c r="L1173" s="6" t="str">
        <f>"1.087,50"</f>
        <v>1.087,50</v>
      </c>
      <c r="M1173" s="6" t="str">
        <f>"5.437,50"</f>
        <v>5.437,50</v>
      </c>
      <c r="N1173" s="5">
        <v>43642</v>
      </c>
      <c r="O1173" s="7"/>
      <c r="P1173" s="6" t="str">
        <f>"5.437,50"</f>
        <v>5.437,50</v>
      </c>
      <c r="Q1173" s="7"/>
      <c r="R1173" s="1"/>
      <c r="S1173" s="1" t="str">
        <f>"4-19/NOS-119/17"</f>
        <v>4-19/NOS-119/17</v>
      </c>
      <c r="T1173" s="2" t="s">
        <v>33</v>
      </c>
    </row>
    <row r="1174" spans="1:20" ht="25.5" x14ac:dyDescent="0.25">
      <c r="A1174" s="1">
        <v>1170</v>
      </c>
      <c r="B1174" s="1" t="str">
        <f t="shared" si="118"/>
        <v>2017-423</v>
      </c>
      <c r="C1174" s="2" t="s">
        <v>846</v>
      </c>
      <c r="D1174" s="1" t="s">
        <v>844</v>
      </c>
      <c r="E1174" s="3" t="str">
        <f>""</f>
        <v/>
      </c>
      <c r="F1174" s="2" t="s">
        <v>27</v>
      </c>
      <c r="G1174" s="2" t="str">
        <f t="shared" si="119"/>
        <v>MC ČIŠĆENJE D.O.O., NIKOLE TESLE 17, 44000 SISAK, OIB: 17783496119</v>
      </c>
      <c r="H1174" s="4"/>
      <c r="I1174" s="1" t="s">
        <v>640</v>
      </c>
      <c r="J1174" s="1" t="s">
        <v>121</v>
      </c>
      <c r="K1174" s="6" t="str">
        <f>"42.110,00"</f>
        <v>42.110,00</v>
      </c>
      <c r="L1174" s="6" t="str">
        <f>"10.527,50"</f>
        <v>10.527,50</v>
      </c>
      <c r="M1174" s="6" t="str">
        <f>"52.637,50"</f>
        <v>52.637,50</v>
      </c>
      <c r="N1174" s="5">
        <v>43661</v>
      </c>
      <c r="O1174" s="7"/>
      <c r="P1174" s="6" t="str">
        <f>"52.637,50"</f>
        <v>52.637,50</v>
      </c>
      <c r="Q1174" s="7"/>
      <c r="R1174" s="1"/>
      <c r="S1174" s="1" t="str">
        <f>"5-19/NOS-119/17"</f>
        <v>5-19/NOS-119/17</v>
      </c>
      <c r="T1174" s="2" t="s">
        <v>33</v>
      </c>
    </row>
    <row r="1175" spans="1:20" ht="38.25" x14ac:dyDescent="0.25">
      <c r="A1175" s="1">
        <v>1171</v>
      </c>
      <c r="B1175" s="1" t="str">
        <f>"2017-2882"</f>
        <v>2017-2882</v>
      </c>
      <c r="C1175" s="2" t="s">
        <v>847</v>
      </c>
      <c r="D1175" s="1" t="s">
        <v>359</v>
      </c>
      <c r="E1175" s="3" t="str">
        <f>"2018/S 0F3-0003367"</f>
        <v>2018/S 0F3-0003367</v>
      </c>
      <c r="F1175" s="2" t="s">
        <v>23</v>
      </c>
      <c r="G1175" s="2" t="str">
        <f>CONCATENATE("MAXIMA USLUGE D.O.O.,"," SAMOBORSKA 222,"," 10000 ZAGREB,"," OIB: 69133421958")</f>
        <v>MAXIMA USLUGE D.O.O., SAMOBORSKA 222, 10000 ZAGREB, OIB: 69133421958</v>
      </c>
      <c r="H1175" s="4"/>
      <c r="I1175" s="1" t="s">
        <v>848</v>
      </c>
      <c r="J1175" s="1" t="s">
        <v>849</v>
      </c>
      <c r="K1175" s="6" t="str">
        <f>"1.000.000,00"</f>
        <v>1.000.000,00</v>
      </c>
      <c r="L1175" s="6" t="str">
        <f>"250.000,00"</f>
        <v>250.000,00</v>
      </c>
      <c r="M1175" s="6" t="str">
        <f>"1.250.000,00"</f>
        <v>1.250.000,00</v>
      </c>
      <c r="N1175" s="7"/>
      <c r="O1175" s="7"/>
      <c r="P1175" s="6" t="str">
        <f>""</f>
        <v/>
      </c>
      <c r="Q1175" s="7"/>
      <c r="R1175" s="1"/>
      <c r="S1175" s="1" t="str">
        <f>"NOS-120/17"</f>
        <v>NOS-120/17</v>
      </c>
      <c r="T1175" s="2" t="s">
        <v>33</v>
      </c>
    </row>
    <row r="1176" spans="1:20" ht="38.25" x14ac:dyDescent="0.25">
      <c r="A1176" s="1">
        <v>1172</v>
      </c>
      <c r="B1176" s="1" t="str">
        <f>"2017-2865"</f>
        <v>2017-2865</v>
      </c>
      <c r="C1176" s="2" t="s">
        <v>850</v>
      </c>
      <c r="D1176" s="1" t="s">
        <v>851</v>
      </c>
      <c r="E1176" s="3" t="str">
        <f>"2018/S 0F3-0004079"</f>
        <v>2018/S 0F3-0004079</v>
      </c>
      <c r="F1176" s="2" t="s">
        <v>23</v>
      </c>
      <c r="G1176" s="2" t="str">
        <f>CONCATENATE("HRVATSKE ŠUME D.O.O.,"," UL. KNEZA BRANIMIRA 1,"," 10000 ZAGREB,"," OIB: 69693144506")</f>
        <v>HRVATSKE ŠUME D.O.O., UL. KNEZA BRANIMIRA 1, 10000 ZAGREB, OIB: 69693144506</v>
      </c>
      <c r="H1176" s="4"/>
      <c r="I1176" s="1" t="s">
        <v>848</v>
      </c>
      <c r="J1176" s="1" t="s">
        <v>849</v>
      </c>
      <c r="K1176" s="6" t="str">
        <f>"1.500.000,00"</f>
        <v>1.500.000,00</v>
      </c>
      <c r="L1176" s="6" t="str">
        <f>"375.000,00"</f>
        <v>375.000,00</v>
      </c>
      <c r="M1176" s="6" t="str">
        <f>"1.875.000,00"</f>
        <v>1.875.000,00</v>
      </c>
      <c r="N1176" s="7"/>
      <c r="O1176" s="7"/>
      <c r="P1176" s="6" t="str">
        <f>""</f>
        <v/>
      </c>
      <c r="Q1176" s="7"/>
      <c r="R1176" s="1"/>
      <c r="S1176" s="1" t="str">
        <f>"NOS-121/17"</f>
        <v>NOS-121/17</v>
      </c>
      <c r="T1176" s="2" t="s">
        <v>33</v>
      </c>
    </row>
    <row r="1177" spans="1:20" ht="38.25" x14ac:dyDescent="0.25">
      <c r="A1177" s="1">
        <v>1173</v>
      </c>
      <c r="B1177" s="1" t="str">
        <f>"2017-2865"</f>
        <v>2017-2865</v>
      </c>
      <c r="C1177" s="2" t="s">
        <v>850</v>
      </c>
      <c r="D1177" s="1" t="s">
        <v>851</v>
      </c>
      <c r="E1177" s="3" t="str">
        <f>""</f>
        <v/>
      </c>
      <c r="F1177" s="2" t="s">
        <v>27</v>
      </c>
      <c r="G1177" s="2" t="str">
        <f>CONCATENATE("HRVATSKE ŠUME D.O.O.,"," UL. KNEZA BRANIMIRA 1,"," 10000 ZAGREB,"," OIB: 69693144506")</f>
        <v>HRVATSKE ŠUME D.O.O., UL. KNEZA BRANIMIRA 1, 10000 ZAGREB, OIB: 69693144506</v>
      </c>
      <c r="H1177" s="4"/>
      <c r="I1177" s="1" t="s">
        <v>403</v>
      </c>
      <c r="J1177" s="1" t="s">
        <v>251</v>
      </c>
      <c r="K1177" s="6" t="str">
        <f>"4.373,25"</f>
        <v>4.373,25</v>
      </c>
      <c r="L1177" s="6" t="str">
        <f>"0,00"</f>
        <v>0,00</v>
      </c>
      <c r="M1177" s="6" t="str">
        <f>"0,00"</f>
        <v>0,00</v>
      </c>
      <c r="N1177" s="1" t="s">
        <v>117</v>
      </c>
      <c r="O1177" s="7"/>
      <c r="P1177" s="6" t="str">
        <f>"0,00"</f>
        <v>0,00</v>
      </c>
      <c r="Q1177" s="7"/>
      <c r="R1177" s="1"/>
      <c r="S1177" s="1" t="str">
        <f>"1-19/NOS-121/17"</f>
        <v>1-19/NOS-121/17</v>
      </c>
      <c r="T1177" s="2" t="s">
        <v>33</v>
      </c>
    </row>
    <row r="1178" spans="1:20" ht="38.25" x14ac:dyDescent="0.25">
      <c r="A1178" s="1">
        <v>1174</v>
      </c>
      <c r="B1178" s="1" t="str">
        <f>"2017-2898"</f>
        <v>2017-2898</v>
      </c>
      <c r="C1178" s="2" t="s">
        <v>852</v>
      </c>
      <c r="D1178" s="1" t="s">
        <v>523</v>
      </c>
      <c r="E1178" s="3" t="str">
        <f>"2017/S 0F2-0024878"</f>
        <v>2017/S 0F2-0024878</v>
      </c>
      <c r="F1178" s="2" t="s">
        <v>23</v>
      </c>
      <c r="G1178" s="2" t="str">
        <f>CONCATENATE("KATARIN D.O.O.,"," PREVOJ 37,"," 10000 ZAGREB,"," OIB: 0673153")</f>
        <v>KATARIN D.O.O., PREVOJ 37, 10000 ZAGREB, OIB: 0673153</v>
      </c>
      <c r="H1178" s="4"/>
      <c r="I1178" s="1" t="s">
        <v>848</v>
      </c>
      <c r="J1178" s="1" t="s">
        <v>849</v>
      </c>
      <c r="K1178" s="6" t="str">
        <f>"900.000,00"</f>
        <v>900.000,00</v>
      </c>
      <c r="L1178" s="6" t="str">
        <f>"225.000,00"</f>
        <v>225.000,00</v>
      </c>
      <c r="M1178" s="6" t="str">
        <f>"1.125.000,00"</f>
        <v>1.125.000,00</v>
      </c>
      <c r="N1178" s="7"/>
      <c r="O1178" s="7"/>
      <c r="P1178" s="6" t="str">
        <f>""</f>
        <v/>
      </c>
      <c r="Q1178" s="7"/>
      <c r="R1178" s="1"/>
      <c r="S1178" s="1" t="str">
        <f>"NOS-122/17"</f>
        <v>NOS-122/17</v>
      </c>
      <c r="T1178" s="2" t="s">
        <v>33</v>
      </c>
    </row>
    <row r="1179" spans="1:20" ht="38.25" x14ac:dyDescent="0.25">
      <c r="A1179" s="1">
        <v>1175</v>
      </c>
      <c r="B1179" s="1" t="str">
        <f>"2017-414"</f>
        <v>2017-414</v>
      </c>
      <c r="C1179" s="2" t="s">
        <v>853</v>
      </c>
      <c r="D1179" s="1" t="s">
        <v>509</v>
      </c>
      <c r="E1179" s="3" t="str">
        <f>"2017/S 0F2-0022369"</f>
        <v>2017/S 0F2-0022369</v>
      </c>
      <c r="F1179" s="2" t="s">
        <v>23</v>
      </c>
      <c r="G1179" s="2" t="str">
        <f>CONCATENATE("RAMLJAK TRGOVINA D.O.O.,"," ŠAŠKOVEČKA 4,"," 10000 ZAGREB,"," OIB: 68381002629")</f>
        <v>RAMLJAK TRGOVINA D.O.O., ŠAŠKOVEČKA 4, 10000 ZAGREB, OIB: 68381002629</v>
      </c>
      <c r="H1179" s="4"/>
      <c r="I1179" s="1" t="s">
        <v>783</v>
      </c>
      <c r="J1179" s="1" t="s">
        <v>854</v>
      </c>
      <c r="K1179" s="6" t="str">
        <f>"9.800.000,00"</f>
        <v>9.800.000,00</v>
      </c>
      <c r="L1179" s="6" t="str">
        <f>"2.450.000,00"</f>
        <v>2.450.000,00</v>
      </c>
      <c r="M1179" s="6" t="str">
        <f>"12.250.000,00"</f>
        <v>12.250.000,00</v>
      </c>
      <c r="N1179" s="7"/>
      <c r="O1179" s="7"/>
      <c r="P1179" s="6" t="str">
        <f>""</f>
        <v/>
      </c>
      <c r="Q1179" s="7"/>
      <c r="R1179" s="1"/>
      <c r="S1179" s="1" t="str">
        <f>"NOS-123/17"</f>
        <v>NOS-123/17</v>
      </c>
      <c r="T1179" s="2" t="s">
        <v>33</v>
      </c>
    </row>
    <row r="1180" spans="1:20" ht="25.5" x14ac:dyDescent="0.25">
      <c r="A1180" s="1">
        <v>1176</v>
      </c>
      <c r="B1180" s="1" t="str">
        <f>"2017-414"</f>
        <v>2017-414</v>
      </c>
      <c r="C1180" s="2" t="s">
        <v>853</v>
      </c>
      <c r="D1180" s="1" t="s">
        <v>509</v>
      </c>
      <c r="E1180" s="3" t="str">
        <f>""</f>
        <v/>
      </c>
      <c r="F1180" s="2" t="s">
        <v>27</v>
      </c>
      <c r="G1180" s="2" t="str">
        <f>CONCATENATE("RAMLJAK TRGOVINA D.O.O.,"," ŠAŠKOVEČKA 4,"," 10000 ZAGREB,"," OIB: 68381002629")</f>
        <v>RAMLJAK TRGOVINA D.O.O., ŠAŠKOVEČKA 4, 10000 ZAGREB, OIB: 68381002629</v>
      </c>
      <c r="H1180" s="4"/>
      <c r="I1180" s="1" t="s">
        <v>175</v>
      </c>
      <c r="J1180" s="1" t="s">
        <v>492</v>
      </c>
      <c r="K1180" s="6" t="str">
        <f>"669.250,00"</f>
        <v>669.250,00</v>
      </c>
      <c r="L1180" s="6" t="str">
        <f>"119.448,64"</f>
        <v>119.448,64</v>
      </c>
      <c r="M1180" s="6" t="str">
        <f>"597.243,21"</f>
        <v>597.243,21</v>
      </c>
      <c r="N1180" s="5">
        <v>43640</v>
      </c>
      <c r="O1180" s="7"/>
      <c r="P1180" s="6" t="str">
        <f>"597.243,21"</f>
        <v>597.243,21</v>
      </c>
      <c r="Q1180" s="7"/>
      <c r="R1180" s="1"/>
      <c r="S1180" s="1" t="str">
        <f>"4-18/NOS-123/17"</f>
        <v>4-18/NOS-123/17</v>
      </c>
      <c r="T1180" s="2" t="s">
        <v>33</v>
      </c>
    </row>
    <row r="1181" spans="1:20" ht="25.5" x14ac:dyDescent="0.25">
      <c r="A1181" s="1">
        <v>1177</v>
      </c>
      <c r="B1181" s="1" t="str">
        <f>"2017-414"</f>
        <v>2017-414</v>
      </c>
      <c r="C1181" s="2" t="s">
        <v>853</v>
      </c>
      <c r="D1181" s="1" t="s">
        <v>509</v>
      </c>
      <c r="E1181" s="3" t="str">
        <f>""</f>
        <v/>
      </c>
      <c r="F1181" s="2" t="s">
        <v>27</v>
      </c>
      <c r="G1181" s="2" t="str">
        <f>CONCATENATE("RAMLJAK TRGOVINA D.O.O.,"," ŠAŠKOVEČKA 4,"," 10000 ZAGREB,"," OIB: 68381002629")</f>
        <v>RAMLJAK TRGOVINA D.O.O., ŠAŠKOVEČKA 4, 10000 ZAGREB, OIB: 68381002629</v>
      </c>
      <c r="H1181" s="4"/>
      <c r="I1181" s="1" t="s">
        <v>361</v>
      </c>
      <c r="J1181" s="1" t="s">
        <v>121</v>
      </c>
      <c r="K1181" s="6" t="str">
        <f>"669.250,00"</f>
        <v>669.250,00</v>
      </c>
      <c r="L1181" s="6" t="str">
        <f>"114.144,38"</f>
        <v>114.144,38</v>
      </c>
      <c r="M1181" s="6" t="str">
        <f>"570.721,88"</f>
        <v>570.721,88</v>
      </c>
      <c r="N1181" s="5">
        <v>43706</v>
      </c>
      <c r="O1181" s="7"/>
      <c r="P1181" s="6" t="str">
        <f>"570.721,88"</f>
        <v>570.721,88</v>
      </c>
      <c r="Q1181" s="7"/>
      <c r="R1181" s="1"/>
      <c r="S1181" s="1" t="str">
        <f>"1-19/NOS-123/17"</f>
        <v>1-19/NOS-123/17</v>
      </c>
      <c r="T1181" s="2" t="s">
        <v>33</v>
      </c>
    </row>
    <row r="1182" spans="1:20" ht="38.25" x14ac:dyDescent="0.25">
      <c r="A1182" s="1">
        <v>1178</v>
      </c>
      <c r="B1182" s="1" t="str">
        <f>"2017-2940"</f>
        <v>2017-2940</v>
      </c>
      <c r="C1182" s="2" t="s">
        <v>855</v>
      </c>
      <c r="D1182" s="1" t="s">
        <v>856</v>
      </c>
      <c r="E1182" s="3" t="str">
        <f>"2017/S 0F2-0025675"</f>
        <v>2017/S 0F2-0025675</v>
      </c>
      <c r="F1182" s="2" t="s">
        <v>23</v>
      </c>
      <c r="G1182" s="2" t="str">
        <f>CONCATENATE("HIDROTERM-SD D.O.O.,"," REMETINEČKA CESTA 102C,"," 10020 ZAGREB-NOVI ZAGREB,"," OIB: 929030013")</f>
        <v>HIDROTERM-SD D.O.O., REMETINEČKA CESTA 102C, 10020 ZAGREB-NOVI ZAGREB, OIB: 929030013</v>
      </c>
      <c r="H1182" s="4"/>
      <c r="I1182" s="1" t="s">
        <v>857</v>
      </c>
      <c r="J1182" s="1" t="s">
        <v>858</v>
      </c>
      <c r="K1182" s="6" t="str">
        <f>"800.000,00"</f>
        <v>800.000,00</v>
      </c>
      <c r="L1182" s="6" t="str">
        <f>"200.000,00"</f>
        <v>200.000,00</v>
      </c>
      <c r="M1182" s="6" t="str">
        <f>"1.000.000,00"</f>
        <v>1.000.000,00</v>
      </c>
      <c r="N1182" s="7"/>
      <c r="O1182" s="7"/>
      <c r="P1182" s="6" t="str">
        <f>""</f>
        <v/>
      </c>
      <c r="Q1182" s="7"/>
      <c r="R1182" s="1"/>
      <c r="S1182" s="1" t="str">
        <f>"NOS-124/17"</f>
        <v>NOS-124/17</v>
      </c>
      <c r="T1182" s="2" t="s">
        <v>33</v>
      </c>
    </row>
    <row r="1183" spans="1:20" ht="38.25" x14ac:dyDescent="0.25">
      <c r="A1183" s="1">
        <v>1179</v>
      </c>
      <c r="B1183" s="1" t="str">
        <f>"2017-2940"</f>
        <v>2017-2940</v>
      </c>
      <c r="C1183" s="2" t="s">
        <v>855</v>
      </c>
      <c r="D1183" s="1" t="s">
        <v>856</v>
      </c>
      <c r="E1183" s="3" t="str">
        <f>""</f>
        <v/>
      </c>
      <c r="F1183" s="2" t="s">
        <v>27</v>
      </c>
      <c r="G1183" s="2" t="str">
        <f>CONCATENATE("HIDROTERM-SD D.O.O.,"," REMETINEČKA CESTA 102C,"," 10020 ZAGREB-NOVI ZAGREB,"," OIB: 929030013")</f>
        <v>HIDROTERM-SD D.O.O., REMETINEČKA CESTA 102C, 10020 ZAGREB-NOVI ZAGREB, OIB: 929030013</v>
      </c>
      <c r="H1183" s="4"/>
      <c r="I1183" s="1" t="s">
        <v>435</v>
      </c>
      <c r="J1183" s="1" t="s">
        <v>323</v>
      </c>
      <c r="K1183" s="6" t="str">
        <f>"21.066,00"</f>
        <v>21.066,00</v>
      </c>
      <c r="L1183" s="6" t="str">
        <f>"5.266,50"</f>
        <v>5.266,50</v>
      </c>
      <c r="M1183" s="6" t="str">
        <f>"26.332,50"</f>
        <v>26.332,50</v>
      </c>
      <c r="N1183" s="5">
        <v>43623</v>
      </c>
      <c r="O1183" s="7"/>
      <c r="P1183" s="6" t="str">
        <f>"26.332,50"</f>
        <v>26.332,50</v>
      </c>
      <c r="Q1183" s="7"/>
      <c r="R1183" s="1"/>
      <c r="S1183" s="1" t="str">
        <f>"1-19/NOS-124/17"</f>
        <v>1-19/NOS-124/17</v>
      </c>
      <c r="T1183" s="2" t="s">
        <v>33</v>
      </c>
    </row>
    <row r="1184" spans="1:20" ht="38.25" x14ac:dyDescent="0.25">
      <c r="A1184" s="1">
        <v>1180</v>
      </c>
      <c r="B1184" s="1" t="str">
        <f>"2017-2504"</f>
        <v>2017-2504</v>
      </c>
      <c r="C1184" s="2" t="s">
        <v>859</v>
      </c>
      <c r="D1184" s="1" t="s">
        <v>860</v>
      </c>
      <c r="E1184" s="3" t="str">
        <f>"2017/S 0F2-0023159"</f>
        <v>2017/S 0F2-0023159</v>
      </c>
      <c r="F1184" s="2" t="s">
        <v>23</v>
      </c>
      <c r="G1184" s="2" t="str">
        <f>CONCATENATE("PA-EL D.O.O.,"," DUBROVČAN 33B,"," 49214 VELIKO TRGOVIŠĆE,"," OIB: 5674084932")</f>
        <v>PA-EL D.O.O., DUBROVČAN 33B, 49214 VELIKO TRGOVIŠĆE, OIB: 5674084932</v>
      </c>
      <c r="H1184" s="4"/>
      <c r="I1184" s="1" t="s">
        <v>861</v>
      </c>
      <c r="J1184" s="1" t="s">
        <v>862</v>
      </c>
      <c r="K1184" s="6" t="str">
        <f>"1.000.000,00"</f>
        <v>1.000.000,00</v>
      </c>
      <c r="L1184" s="6" t="str">
        <f>"250.000,00"</f>
        <v>250.000,00</v>
      </c>
      <c r="M1184" s="6" t="str">
        <f>"1.250.000,00"</f>
        <v>1.250.000,00</v>
      </c>
      <c r="N1184" s="7"/>
      <c r="O1184" s="7"/>
      <c r="P1184" s="6" t="str">
        <f>""</f>
        <v/>
      </c>
      <c r="Q1184" s="7"/>
      <c r="R1184" s="1"/>
      <c r="S1184" s="1" t="str">
        <f>"NOS-125/17"</f>
        <v>NOS-125/17</v>
      </c>
      <c r="T1184" s="2" t="s">
        <v>29</v>
      </c>
    </row>
    <row r="1185" spans="1:20" ht="25.5" x14ac:dyDescent="0.25">
      <c r="A1185" s="1">
        <v>1181</v>
      </c>
      <c r="B1185" s="1" t="str">
        <f>"2017-2504"</f>
        <v>2017-2504</v>
      </c>
      <c r="C1185" s="2" t="s">
        <v>859</v>
      </c>
      <c r="D1185" s="1" t="s">
        <v>860</v>
      </c>
      <c r="E1185" s="3" t="str">
        <f>""</f>
        <v/>
      </c>
      <c r="F1185" s="2" t="s">
        <v>27</v>
      </c>
      <c r="G1185" s="2" t="str">
        <f>CONCATENATE("PA-EL D.O.O.,"," DUBROVČAN 33B,"," 49214 VELIKO TRGOVIŠĆE,"," OIB: 5674084932")</f>
        <v>PA-EL D.O.O., DUBROVČAN 33B, 49214 VELIKO TRGOVIŠĆE, OIB: 5674084932</v>
      </c>
      <c r="H1185" s="4"/>
      <c r="I1185" s="1" t="s">
        <v>641</v>
      </c>
      <c r="J1185" s="1" t="s">
        <v>121</v>
      </c>
      <c r="K1185" s="6" t="str">
        <f>"279.435,00"</f>
        <v>279.435,00</v>
      </c>
      <c r="L1185" s="6" t="str">
        <f>"38.246,25"</f>
        <v>38.246,25</v>
      </c>
      <c r="M1185" s="6" t="str">
        <f>"191.231,25"</f>
        <v>191.231,25</v>
      </c>
      <c r="N1185" s="5">
        <v>43704</v>
      </c>
      <c r="O1185" s="7"/>
      <c r="P1185" s="6" t="str">
        <f>"191.231,25"</f>
        <v>191.231,25</v>
      </c>
      <c r="Q1185" s="7"/>
      <c r="R1185" s="1"/>
      <c r="S1185" s="1" t="str">
        <f>"1-19/NOS-125/17"</f>
        <v>1-19/NOS-125/17</v>
      </c>
      <c r="T1185" s="2" t="s">
        <v>29</v>
      </c>
    </row>
    <row r="1186" spans="1:20" ht="76.5" x14ac:dyDescent="0.25">
      <c r="A1186" s="1">
        <v>1182</v>
      </c>
      <c r="B1186" s="1" t="str">
        <f>"2017-371"</f>
        <v>2017-371</v>
      </c>
      <c r="C1186" s="2" t="s">
        <v>863</v>
      </c>
      <c r="D1186" s="1" t="s">
        <v>599</v>
      </c>
      <c r="E1186" s="3" t="str">
        <f>"2017/S 0F2-0021594"</f>
        <v>2017/S 0F2-0021594</v>
      </c>
      <c r="F1186" s="2" t="s">
        <v>23</v>
      </c>
      <c r="G1186" s="2" t="str">
        <f>CONCATENATE("TRGOMETAL D.O.O.,"," KOVINSKA 4,"," 10090 ZAGREB-SUSEDGRAD,"," OIB: 26004523816",CHAR(10),"INDUSTROOPREMA D.O.O.,"," CMP OBRTNIČKA 1,"," 10000 ZAGREB,"," OIB: 01291306683",CHAR(10),"RMT GRUPA D.O.O.,"," ANTE MIKE TRIPALA 16,"," 10000 ZAGREB,"," OIB: 3349643202")</f>
        <v>TRGOMETAL D.O.O., KOVINSKA 4, 10090 ZAGREB-SUSEDGRAD, OIB: 26004523816
INDUSTROOPREMA D.O.O., CMP OBRTNIČKA 1, 10000 ZAGREB, OIB: 01291306683
RMT GRUPA D.O.O., ANTE MIKE TRIPALA 16, 10000 ZAGREB, OIB: 3349643202</v>
      </c>
      <c r="H1186" s="4"/>
      <c r="I1186" s="1" t="s">
        <v>864</v>
      </c>
      <c r="J1186" s="1" t="s">
        <v>865</v>
      </c>
      <c r="K1186" s="6" t="str">
        <f>"800.000,00"</f>
        <v>800.000,00</v>
      </c>
      <c r="L1186" s="6" t="str">
        <f>"200.000,00"</f>
        <v>200.000,00</v>
      </c>
      <c r="M1186" s="6" t="str">
        <f>"1.000.000,00"</f>
        <v>1.000.000,00</v>
      </c>
      <c r="N1186" s="7"/>
      <c r="O1186" s="7"/>
      <c r="P1186" s="6" t="str">
        <f>""</f>
        <v/>
      </c>
      <c r="Q1186" s="7"/>
      <c r="R1186" s="1"/>
      <c r="S1186" s="1" t="str">
        <f>"NOS-126/17"</f>
        <v>NOS-126/17</v>
      </c>
      <c r="T1186" s="2" t="s">
        <v>33</v>
      </c>
    </row>
    <row r="1187" spans="1:20" ht="38.25" x14ac:dyDescent="0.25">
      <c r="A1187" s="1">
        <v>1183</v>
      </c>
      <c r="B1187" s="1" t="str">
        <f>"2017-369"</f>
        <v>2017-369</v>
      </c>
      <c r="C1187" s="2" t="s">
        <v>866</v>
      </c>
      <c r="D1187" s="1" t="s">
        <v>867</v>
      </c>
      <c r="E1187" s="3" t="str">
        <f>"2017/S F14-0015104"</f>
        <v>2017/S F14-0015104</v>
      </c>
      <c r="F1187" s="2" t="s">
        <v>23</v>
      </c>
      <c r="G1187" s="2" t="str">
        <f>CONCATENATE("PRVI TREPTAČ D.O.O.,"," PUJANKE 24/A,"," 21000 SPLIT,"," OIB: 31014383635")</f>
        <v>PRVI TREPTAČ D.O.O., PUJANKE 24/A, 21000 SPLIT, OIB: 31014383635</v>
      </c>
      <c r="H1187" s="4"/>
      <c r="I1187" s="1" t="s">
        <v>864</v>
      </c>
      <c r="J1187" s="1" t="s">
        <v>865</v>
      </c>
      <c r="K1187" s="6" t="str">
        <f>"1.500.000,00"</f>
        <v>1.500.000,00</v>
      </c>
      <c r="L1187" s="6" t="str">
        <f>"375.000,00"</f>
        <v>375.000,00</v>
      </c>
      <c r="M1187" s="6" t="str">
        <f>"1.875.000,00"</f>
        <v>1.875.000,00</v>
      </c>
      <c r="N1187" s="7"/>
      <c r="O1187" s="7"/>
      <c r="P1187" s="6" t="str">
        <f>""</f>
        <v/>
      </c>
      <c r="Q1187" s="7"/>
      <c r="R1187" s="1"/>
      <c r="S1187" s="1" t="str">
        <f>"NOS-127/17"</f>
        <v>NOS-127/17</v>
      </c>
      <c r="T1187" s="2" t="s">
        <v>33</v>
      </c>
    </row>
    <row r="1188" spans="1:20" ht="63.75" x14ac:dyDescent="0.25">
      <c r="A1188" s="1">
        <v>1184</v>
      </c>
      <c r="B1188" s="1" t="str">
        <f>"2017-2760"</f>
        <v>2017-2760</v>
      </c>
      <c r="C1188" s="2" t="s">
        <v>868</v>
      </c>
      <c r="D1188" s="1" t="s">
        <v>347</v>
      </c>
      <c r="E1188" s="3" t="str">
        <f>"Objava - Obavijest o nadmetanju"</f>
        <v>Objava - Obavijest o nadmetanju</v>
      </c>
      <c r="F1188" s="2" t="s">
        <v>23</v>
      </c>
      <c r="G1188" s="2" t="str">
        <f>CONCATENATE("PISMORAD D.D.,"," III MALEŠNICA 12,"," 10000 ZAGREB,"," OIB: 33260306505")</f>
        <v>PISMORAD D.D., III MALEŠNICA 12, 10000 ZAGREB, OIB: 33260306505</v>
      </c>
      <c r="H1188" s="4"/>
      <c r="I1188" s="1" t="s">
        <v>869</v>
      </c>
      <c r="J1188" s="1" t="s">
        <v>870</v>
      </c>
      <c r="K1188" s="6" t="str">
        <f>"500.000,00"</f>
        <v>500.000,00</v>
      </c>
      <c r="L1188" s="6" t="str">
        <f>"125.000,00"</f>
        <v>125.000,00</v>
      </c>
      <c r="M1188" s="6" t="str">
        <f>"625.000,00"</f>
        <v>625.000,00</v>
      </c>
      <c r="N1188" s="7"/>
      <c r="O1188" s="7"/>
      <c r="P1188" s="6" t="str">
        <f>""</f>
        <v/>
      </c>
      <c r="Q1188" s="7"/>
      <c r="R1188" s="1"/>
      <c r="S1188" s="1" t="str">
        <f>"NOS-128/17"</f>
        <v>NOS-128/17</v>
      </c>
      <c r="T1188" s="2" t="s">
        <v>33</v>
      </c>
    </row>
    <row r="1189" spans="1:20" ht="25.5" x14ac:dyDescent="0.25">
      <c r="A1189" s="1">
        <v>1185</v>
      </c>
      <c r="B1189" s="1" t="str">
        <f>"2017-2760"</f>
        <v>2017-2760</v>
      </c>
      <c r="C1189" s="2" t="s">
        <v>868</v>
      </c>
      <c r="D1189" s="1" t="s">
        <v>347</v>
      </c>
      <c r="E1189" s="3" t="str">
        <f>""</f>
        <v/>
      </c>
      <c r="F1189" s="2" t="s">
        <v>27</v>
      </c>
      <c r="G1189" s="2" t="str">
        <f>CONCATENATE("PISMORAD D.D.,"," III MALEŠNICA 12,"," 10000 ZAGREB,"," OIB: 33260306505")</f>
        <v>PISMORAD D.D., III MALEŠNICA 12, 10000 ZAGREB, OIB: 33260306505</v>
      </c>
      <c r="H1189" s="4"/>
      <c r="I1189" s="1" t="s">
        <v>462</v>
      </c>
      <c r="J1189" s="1" t="s">
        <v>47</v>
      </c>
      <c r="K1189" s="6" t="str">
        <f>"61.200,00"</f>
        <v>61.200,00</v>
      </c>
      <c r="L1189" s="6" t="str">
        <f>"15.300,00"</f>
        <v>15.300,00</v>
      </c>
      <c r="M1189" s="6" t="str">
        <f>"76.500,00"</f>
        <v>76.500,00</v>
      </c>
      <c r="N1189" s="5">
        <v>43599</v>
      </c>
      <c r="O1189" s="7"/>
      <c r="P1189" s="6" t="str">
        <f>"76.500,00"</f>
        <v>76.500,00</v>
      </c>
      <c r="Q1189" s="7"/>
      <c r="R1189" s="1"/>
      <c r="S1189" s="1" t="str">
        <f>"1-19/NOS-128/17"</f>
        <v>1-19/NOS-128/17</v>
      </c>
      <c r="T1189" s="2" t="s">
        <v>33</v>
      </c>
    </row>
    <row r="1190" spans="1:20" ht="25.5" x14ac:dyDescent="0.25">
      <c r="A1190" s="1">
        <v>1186</v>
      </c>
      <c r="B1190" s="1" t="str">
        <f>"2017-2760"</f>
        <v>2017-2760</v>
      </c>
      <c r="C1190" s="2" t="s">
        <v>868</v>
      </c>
      <c r="D1190" s="1" t="s">
        <v>347</v>
      </c>
      <c r="E1190" s="3" t="str">
        <f>""</f>
        <v/>
      </c>
      <c r="F1190" s="2" t="s">
        <v>27</v>
      </c>
      <c r="G1190" s="2" t="str">
        <f>CONCATENATE("PISMORAD D.D.,"," III MALEŠNICA 12,"," 10000 ZAGREB,"," OIB: 33260306505")</f>
        <v>PISMORAD D.D., III MALEŠNICA 12, 10000 ZAGREB, OIB: 33260306505</v>
      </c>
      <c r="H1190" s="4"/>
      <c r="I1190" s="1" t="s">
        <v>638</v>
      </c>
      <c r="J1190" s="1" t="s">
        <v>47</v>
      </c>
      <c r="K1190" s="6" t="str">
        <f>"20.400,00"</f>
        <v>20.400,00</v>
      </c>
      <c r="L1190" s="6" t="str">
        <f>"5.100,00"</f>
        <v>5.100,00</v>
      </c>
      <c r="M1190" s="6" t="str">
        <f>"25.500,00"</f>
        <v>25.500,00</v>
      </c>
      <c r="N1190" s="5">
        <v>43644</v>
      </c>
      <c r="O1190" s="7"/>
      <c r="P1190" s="6" t="str">
        <f>"25.500,00"</f>
        <v>25.500,00</v>
      </c>
      <c r="Q1190" s="7"/>
      <c r="R1190" s="1"/>
      <c r="S1190" s="1" t="str">
        <f>"2-19/NOS-128/17"</f>
        <v>2-19/NOS-128/17</v>
      </c>
      <c r="T1190" s="2" t="s">
        <v>33</v>
      </c>
    </row>
    <row r="1191" spans="1:20" ht="38.25" x14ac:dyDescent="0.25">
      <c r="A1191" s="1">
        <v>1187</v>
      </c>
      <c r="B1191" s="1" t="str">
        <f>"2017-378"</f>
        <v>2017-378</v>
      </c>
      <c r="C1191" s="2" t="s">
        <v>871</v>
      </c>
      <c r="D1191" s="1" t="s">
        <v>599</v>
      </c>
      <c r="E1191" s="3" t="str">
        <f>"2017/S 0F2-0024643"</f>
        <v>2017/S 0F2-0024643</v>
      </c>
      <c r="F1191" s="2" t="s">
        <v>23</v>
      </c>
      <c r="G1191" s="2" t="str">
        <f>CONCATENATE("INDUSTROOPREMA D.O.O.,"," CMP OBRTNIČKA 1,"," 10000 ZAGREB,"," OIB: 01291306683")</f>
        <v>INDUSTROOPREMA D.O.O., CMP OBRTNIČKA 1, 10000 ZAGREB, OIB: 01291306683</v>
      </c>
      <c r="H1191" s="4"/>
      <c r="I1191" s="1" t="s">
        <v>872</v>
      </c>
      <c r="J1191" s="1" t="s">
        <v>873</v>
      </c>
      <c r="K1191" s="6" t="str">
        <f>"1.000.000,00"</f>
        <v>1.000.000,00</v>
      </c>
      <c r="L1191" s="6" t="str">
        <f>"250.000,00"</f>
        <v>250.000,00</v>
      </c>
      <c r="M1191" s="6" t="str">
        <f>"1.250.000,00"</f>
        <v>1.250.000,00</v>
      </c>
      <c r="N1191" s="7"/>
      <c r="O1191" s="7"/>
      <c r="P1191" s="6" t="str">
        <f>""</f>
        <v/>
      </c>
      <c r="Q1191" s="7"/>
      <c r="R1191" s="1"/>
      <c r="S1191" s="1" t="str">
        <f>"NOS-129/17"</f>
        <v>NOS-129/17</v>
      </c>
      <c r="T1191" s="2" t="s">
        <v>33</v>
      </c>
    </row>
    <row r="1192" spans="1:20" ht="89.25" x14ac:dyDescent="0.25">
      <c r="A1192" s="1">
        <v>1188</v>
      </c>
      <c r="B1192" s="1" t="str">
        <f t="shared" ref="B1192:B1203" si="120">"2017-407"</f>
        <v>2017-407</v>
      </c>
      <c r="C1192" s="2" t="s">
        <v>874</v>
      </c>
      <c r="D1192" s="1" t="s">
        <v>875</v>
      </c>
      <c r="E1192" s="3" t="str">
        <f>"2017/S 0F2-0015578"</f>
        <v>2017/S 0F2-0015578</v>
      </c>
      <c r="F1192" s="2" t="s">
        <v>23</v>
      </c>
      <c r="G1192" s="2" t="str">
        <f>CONCATENATE("SMIT-COMMERCE D.O.O.,"," GORNJOSTUPNIČKA 9B,"," 10255 GORNJI STUPNIK,"," OIB: 95243482140",CHAR(10),"VODOSKOK D.D.,"," ČULINEČKA CESTA 221/C,"," 10040 ZAGREB,"," OIB: 34134218058",CHAR(10),"RETA D.O.O.,"," ZAGREBAČKA 37,"," 47000 KARLOVAC,"," OIB: 01201898816")</f>
        <v>SMIT-COMMERCE D.O.O., GORNJOSTUPNIČKA 9B, 10255 GORNJI STUPNIK, OIB: 95243482140
VODOSKOK D.D., ČULINEČKA CESTA 221/C, 10040 ZAGREB, OIB: 34134218058
RETA D.O.O., ZAGREBAČKA 37, 47000 KARLOVAC, OIB: 01201898816</v>
      </c>
      <c r="H1192" s="4"/>
      <c r="I1192" s="1" t="s">
        <v>876</v>
      </c>
      <c r="J1192" s="1" t="s">
        <v>877</v>
      </c>
      <c r="K1192" s="6" t="str">
        <f>"2.500.000,00"</f>
        <v>2.500.000,00</v>
      </c>
      <c r="L1192" s="6" t="str">
        <f>"625.000,00"</f>
        <v>625.000,00</v>
      </c>
      <c r="M1192" s="6" t="str">
        <f>"3.125.000,00"</f>
        <v>3.125.000,00</v>
      </c>
      <c r="N1192" s="7"/>
      <c r="O1192" s="7"/>
      <c r="P1192" s="6" t="str">
        <f>""</f>
        <v/>
      </c>
      <c r="Q1192" s="7"/>
      <c r="R1192" s="1"/>
      <c r="S1192" s="1" t="str">
        <f>"NOS-130-A/17"</f>
        <v>NOS-130-A/17</v>
      </c>
      <c r="T1192" s="2" t="s">
        <v>26</v>
      </c>
    </row>
    <row r="1193" spans="1:20" ht="38.25" x14ac:dyDescent="0.25">
      <c r="A1193" s="1">
        <v>1189</v>
      </c>
      <c r="B1193" s="1" t="str">
        <f t="shared" si="120"/>
        <v>2017-407</v>
      </c>
      <c r="C1193" s="2" t="s">
        <v>874</v>
      </c>
      <c r="D1193" s="1" t="s">
        <v>875</v>
      </c>
      <c r="E1193" s="3" t="str">
        <f>""</f>
        <v/>
      </c>
      <c r="F1193" s="2" t="s">
        <v>27</v>
      </c>
      <c r="G1193" s="2" t="str">
        <f>CONCATENATE("VODOSKOK D.D.,"," ČULINEČKA CESTA 221/C,"," 10040 ZAGREB,"," OIB: 34134218058")</f>
        <v>VODOSKOK D.D., ČULINEČKA CESTA 221/C, 10040 ZAGREB, OIB: 34134218058</v>
      </c>
      <c r="H1193" s="4"/>
      <c r="I1193" s="1" t="s">
        <v>159</v>
      </c>
      <c r="J1193" s="1" t="s">
        <v>140</v>
      </c>
      <c r="K1193" s="6" t="str">
        <f>"38.282,00"</f>
        <v>38.282,00</v>
      </c>
      <c r="L1193" s="6" t="str">
        <f>"9.570,50"</f>
        <v>9.570,50</v>
      </c>
      <c r="M1193" s="6" t="str">
        <f>"47.852,50"</f>
        <v>47.852,50</v>
      </c>
      <c r="N1193" s="5">
        <v>43614</v>
      </c>
      <c r="O1193" s="7"/>
      <c r="P1193" s="6" t="str">
        <f>"47.343,75"</f>
        <v>47.343,75</v>
      </c>
      <c r="Q1193" s="7"/>
      <c r="R1193" s="1"/>
      <c r="S1193" s="1" t="str">
        <f>"13-18/NOS-130-A/17"</f>
        <v>13-18/NOS-130-A/17</v>
      </c>
      <c r="T1193" s="2" t="s">
        <v>26</v>
      </c>
    </row>
    <row r="1194" spans="1:20" ht="38.25" x14ac:dyDescent="0.25">
      <c r="A1194" s="1">
        <v>1190</v>
      </c>
      <c r="B1194" s="1" t="str">
        <f t="shared" si="120"/>
        <v>2017-407</v>
      </c>
      <c r="C1194" s="2" t="s">
        <v>874</v>
      </c>
      <c r="D1194" s="1" t="s">
        <v>875</v>
      </c>
      <c r="E1194" s="3" t="str">
        <f>""</f>
        <v/>
      </c>
      <c r="F1194" s="2" t="s">
        <v>27</v>
      </c>
      <c r="G1194" s="2" t="str">
        <f>CONCATENATE("SMIT-COMMERCE D.O.O.,"," GORNJOSTUPNIČKA 9B,"," 10255 GORNJI STUPNIK,"," OIB: 9524348214")</f>
        <v>SMIT-COMMERCE D.O.O., GORNJOSTUPNIČKA 9B, 10255 GORNJI STUPNIK, OIB: 9524348214</v>
      </c>
      <c r="H1194" s="4"/>
      <c r="I1194" s="1" t="s">
        <v>398</v>
      </c>
      <c r="J1194" s="1" t="s">
        <v>186</v>
      </c>
      <c r="K1194" s="6" t="str">
        <f>"687,00"</f>
        <v>687,00</v>
      </c>
      <c r="L1194" s="6" t="str">
        <f>"171,75"</f>
        <v>171,75</v>
      </c>
      <c r="M1194" s="6" t="str">
        <f>"858,75"</f>
        <v>858,75</v>
      </c>
      <c r="N1194" s="5">
        <v>43475</v>
      </c>
      <c r="O1194" s="7"/>
      <c r="P1194" s="6" t="str">
        <f>"858,75"</f>
        <v>858,75</v>
      </c>
      <c r="Q1194" s="7"/>
      <c r="R1194" s="1"/>
      <c r="S1194" s="1" t="str">
        <f>"14-18/NOS-130-A/17"</f>
        <v>14-18/NOS-130-A/17</v>
      </c>
      <c r="T1194" s="2" t="s">
        <v>29</v>
      </c>
    </row>
    <row r="1195" spans="1:20" ht="25.5" x14ac:dyDescent="0.25">
      <c r="A1195" s="1">
        <v>1191</v>
      </c>
      <c r="B1195" s="1" t="str">
        <f t="shared" si="120"/>
        <v>2017-407</v>
      </c>
      <c r="C1195" s="2" t="s">
        <v>874</v>
      </c>
      <c r="D1195" s="1" t="s">
        <v>875</v>
      </c>
      <c r="E1195" s="3" t="str">
        <f>""</f>
        <v/>
      </c>
      <c r="F1195" s="2" t="s">
        <v>27</v>
      </c>
      <c r="G1195" s="2" t="str">
        <f>CONCATENATE("VODOSKOK D.D.,"," ČULINEČKA CESTA 221/C,"," 10040 ZAGREB,"," OIB: 34134218058")</f>
        <v>VODOSKOK D.D., ČULINEČKA CESTA 221/C, 10040 ZAGREB, OIB: 34134218058</v>
      </c>
      <c r="H1195" s="4"/>
      <c r="I1195" s="1" t="s">
        <v>373</v>
      </c>
      <c r="J1195" s="1" t="s">
        <v>64</v>
      </c>
      <c r="K1195" s="6" t="str">
        <f>"51.222,00"</f>
        <v>51.222,00</v>
      </c>
      <c r="L1195" s="6" t="str">
        <f>"12.805,50"</f>
        <v>12.805,50</v>
      </c>
      <c r="M1195" s="6" t="str">
        <f>"64.027,50"</f>
        <v>64.027,50</v>
      </c>
      <c r="N1195" s="5">
        <v>43683</v>
      </c>
      <c r="O1195" s="7"/>
      <c r="P1195" s="6" t="str">
        <f>"64.602,78"</f>
        <v>64.602,78</v>
      </c>
      <c r="Q1195" s="7"/>
      <c r="R1195" s="1"/>
      <c r="S1195" s="1" t="str">
        <f>"1-19/NOS-130-A/17"</f>
        <v>1-19/NOS-130-A/17</v>
      </c>
      <c r="T1195" s="2" t="s">
        <v>33</v>
      </c>
    </row>
    <row r="1196" spans="1:20" ht="25.5" x14ac:dyDescent="0.25">
      <c r="A1196" s="1">
        <v>1192</v>
      </c>
      <c r="B1196" s="1" t="str">
        <f t="shared" si="120"/>
        <v>2017-407</v>
      </c>
      <c r="C1196" s="2" t="s">
        <v>874</v>
      </c>
      <c r="D1196" s="1" t="s">
        <v>875</v>
      </c>
      <c r="E1196" s="3" t="str">
        <f>""</f>
        <v/>
      </c>
      <c r="F1196" s="2" t="s">
        <v>27</v>
      </c>
      <c r="G1196" s="2" t="str">
        <f>CONCATENATE("VODOSKOK D.D.,"," ČULINEČKA CESTA 221/C,"," 10040 ZAGREB,"," OIB: 34134218058")</f>
        <v>VODOSKOK D.D., ČULINEČKA CESTA 221/C, 10040 ZAGREB, OIB: 34134218058</v>
      </c>
      <c r="H1196" s="4"/>
      <c r="I1196" s="1" t="s">
        <v>30</v>
      </c>
      <c r="J1196" s="1" t="s">
        <v>355</v>
      </c>
      <c r="K1196" s="6" t="str">
        <f>"10.785,00"</f>
        <v>10.785,00</v>
      </c>
      <c r="L1196" s="6" t="str">
        <f>"2.696,25"</f>
        <v>2.696,25</v>
      </c>
      <c r="M1196" s="6" t="str">
        <f>"13.481,25"</f>
        <v>13.481,25</v>
      </c>
      <c r="N1196" s="5">
        <v>43602</v>
      </c>
      <c r="O1196" s="7"/>
      <c r="P1196" s="6" t="str">
        <f>"13.481,25"</f>
        <v>13.481,25</v>
      </c>
      <c r="Q1196" s="7"/>
      <c r="R1196" s="1"/>
      <c r="S1196" s="1" t="str">
        <f>"2-19/NOS-130-A/17"</f>
        <v>2-19/NOS-130-A/17</v>
      </c>
      <c r="T1196" s="2" t="s">
        <v>33</v>
      </c>
    </row>
    <row r="1197" spans="1:20" ht="38.25" x14ac:dyDescent="0.25">
      <c r="A1197" s="1">
        <v>1193</v>
      </c>
      <c r="B1197" s="1" t="str">
        <f t="shared" si="120"/>
        <v>2017-407</v>
      </c>
      <c r="C1197" s="2" t="s">
        <v>874</v>
      </c>
      <c r="D1197" s="1" t="s">
        <v>875</v>
      </c>
      <c r="E1197" s="3" t="str">
        <f>""</f>
        <v/>
      </c>
      <c r="F1197" s="2" t="s">
        <v>27</v>
      </c>
      <c r="G1197" s="2" t="str">
        <f>CONCATENATE("VODOSKOK D.D.,"," ČULINEČKA CESTA 221/C,"," 10040 ZAGREB,"," OIB: 34134218058")</f>
        <v>VODOSKOK D.D., ČULINEČKA CESTA 221/C, 10040 ZAGREB, OIB: 34134218058</v>
      </c>
      <c r="H1197" s="4"/>
      <c r="I1197" s="1" t="s">
        <v>334</v>
      </c>
      <c r="J1197" s="1" t="s">
        <v>37</v>
      </c>
      <c r="K1197" s="6" t="str">
        <f>"19.595,00"</f>
        <v>19.595,00</v>
      </c>
      <c r="L1197" s="6" t="str">
        <f>"4.898,75"</f>
        <v>4.898,75</v>
      </c>
      <c r="M1197" s="6" t="str">
        <f>"24.493,75"</f>
        <v>24.493,75</v>
      </c>
      <c r="N1197" s="5">
        <v>43616</v>
      </c>
      <c r="O1197" s="7"/>
      <c r="P1197" s="6" t="str">
        <f>"24.493,75"</f>
        <v>24.493,75</v>
      </c>
      <c r="Q1197" s="7"/>
      <c r="R1197" s="1"/>
      <c r="S1197" s="1" t="str">
        <f>"3-19/NOS-130-A/17"</f>
        <v>3-19/NOS-130-A/17</v>
      </c>
      <c r="T1197" s="2" t="s">
        <v>26</v>
      </c>
    </row>
    <row r="1198" spans="1:20" ht="38.25" x14ac:dyDescent="0.25">
      <c r="A1198" s="1">
        <v>1194</v>
      </c>
      <c r="B1198" s="1" t="str">
        <f t="shared" si="120"/>
        <v>2017-407</v>
      </c>
      <c r="C1198" s="2" t="s">
        <v>874</v>
      </c>
      <c r="D1198" s="1" t="s">
        <v>875</v>
      </c>
      <c r="E1198" s="3" t="str">
        <f>""</f>
        <v/>
      </c>
      <c r="F1198" s="2" t="s">
        <v>27</v>
      </c>
      <c r="G1198" s="2" t="str">
        <f>CONCATENATE("VODOSKOK D.D.,"," ČULINEČKA CESTA 221/C,"," 10040 ZAGREB,"," OIB: 34134218058")</f>
        <v>VODOSKOK D.D., ČULINEČKA CESTA 221/C, 10040 ZAGREB, OIB: 34134218058</v>
      </c>
      <c r="H1198" s="4"/>
      <c r="I1198" s="1" t="s">
        <v>414</v>
      </c>
      <c r="J1198" s="1" t="s">
        <v>114</v>
      </c>
      <c r="K1198" s="6" t="str">
        <f>"32.541,00"</f>
        <v>32.541,00</v>
      </c>
      <c r="L1198" s="6" t="str">
        <f>"8.135,25"</f>
        <v>8.135,25</v>
      </c>
      <c r="M1198" s="6" t="str">
        <f>"40.676,25"</f>
        <v>40.676,25</v>
      </c>
      <c r="N1198" s="5">
        <v>43651</v>
      </c>
      <c r="O1198" s="7"/>
      <c r="P1198" s="6" t="str">
        <f>"40.466,25"</f>
        <v>40.466,25</v>
      </c>
      <c r="Q1198" s="7"/>
      <c r="R1198" s="1"/>
      <c r="S1198" s="1" t="str">
        <f>"4-19/NOS-130-A/17"</f>
        <v>4-19/NOS-130-A/17</v>
      </c>
      <c r="T1198" s="2" t="s">
        <v>26</v>
      </c>
    </row>
    <row r="1199" spans="1:20" ht="51" x14ac:dyDescent="0.25">
      <c r="A1199" s="1">
        <v>1195</v>
      </c>
      <c r="B1199" s="1" t="str">
        <f t="shared" si="120"/>
        <v>2017-407</v>
      </c>
      <c r="C1199" s="2" t="s">
        <v>874</v>
      </c>
      <c r="D1199" s="1" t="s">
        <v>875</v>
      </c>
      <c r="E1199" s="3" t="str">
        <f>"2017/S 0F2-0015578"</f>
        <v>2017/S 0F2-0015578</v>
      </c>
      <c r="F1199" s="2" t="s">
        <v>23</v>
      </c>
      <c r="G1199" s="2" t="str">
        <f>CONCATENATE("JAKA D.O.O.,"," OGRIZOVIĆEVA 28/B,","  10 000 ZAGREB,"," OIB: 37705921960",CHAR(10),"VODOSKOK D.D.,"," ČULINEČKA CESTA 221/C,"," 10040 ZAGREB,"," OIB: 34134218058")</f>
        <v>JAKA D.O.O., OGRIZOVIĆEVA 28/B,  10 000 ZAGREB, OIB: 37705921960
VODOSKOK D.D., ČULINEČKA CESTA 221/C, 10040 ZAGREB, OIB: 34134218058</v>
      </c>
      <c r="H1199" s="4"/>
      <c r="I1199" s="1" t="s">
        <v>839</v>
      </c>
      <c r="J1199" s="1" t="s">
        <v>817</v>
      </c>
      <c r="K1199" s="6" t="str">
        <f>"3.000.000,00"</f>
        <v>3.000.000,00</v>
      </c>
      <c r="L1199" s="6" t="str">
        <f>"750.000,00"</f>
        <v>750.000,00</v>
      </c>
      <c r="M1199" s="6" t="str">
        <f>"3.750.000,00"</f>
        <v>3.750.000,00</v>
      </c>
      <c r="N1199" s="7"/>
      <c r="O1199" s="7"/>
      <c r="P1199" s="6" t="str">
        <f>""</f>
        <v/>
      </c>
      <c r="Q1199" s="7"/>
      <c r="R1199" s="1"/>
      <c r="S1199" s="1" t="str">
        <f>"NOS-130-B/17"</f>
        <v>NOS-130-B/17</v>
      </c>
      <c r="T1199" s="2" t="s">
        <v>26</v>
      </c>
    </row>
    <row r="1200" spans="1:20" ht="25.5" x14ac:dyDescent="0.25">
      <c r="A1200" s="1">
        <v>1196</v>
      </c>
      <c r="B1200" s="1" t="str">
        <f t="shared" si="120"/>
        <v>2017-407</v>
      </c>
      <c r="C1200" s="2" t="s">
        <v>874</v>
      </c>
      <c r="D1200" s="1" t="s">
        <v>875</v>
      </c>
      <c r="E1200" s="3" t="str">
        <f>""</f>
        <v/>
      </c>
      <c r="F1200" s="2" t="s">
        <v>27</v>
      </c>
      <c r="G1200" s="2" t="str">
        <f>CONCATENATE("VODOSKOK D.D.,"," ČULINEČKA CESTA 221/C,"," 10040 ZAGREB,"," OIB: 34134218058")</f>
        <v>VODOSKOK D.D., ČULINEČKA CESTA 221/C, 10040 ZAGREB, OIB: 34134218058</v>
      </c>
      <c r="H1200" s="4"/>
      <c r="I1200" s="1" t="s">
        <v>200</v>
      </c>
      <c r="J1200" s="1" t="s">
        <v>140</v>
      </c>
      <c r="K1200" s="6" t="str">
        <f>"22.050,00"</f>
        <v>22.050,00</v>
      </c>
      <c r="L1200" s="6" t="str">
        <f>"5.512,50"</f>
        <v>5.512,50</v>
      </c>
      <c r="M1200" s="6" t="str">
        <f>"27.562,50"</f>
        <v>27.562,50</v>
      </c>
      <c r="N1200" s="5">
        <v>43549</v>
      </c>
      <c r="O1200" s="7"/>
      <c r="P1200" s="6" t="str">
        <f>"27.562,50"</f>
        <v>27.562,50</v>
      </c>
      <c r="Q1200" s="7"/>
      <c r="R1200" s="1"/>
      <c r="S1200" s="1" t="str">
        <f>"4-18/NOS-130-B/17"</f>
        <v>4-18/NOS-130-B/17</v>
      </c>
      <c r="T1200" s="2" t="s">
        <v>33</v>
      </c>
    </row>
    <row r="1201" spans="1:20" ht="25.5" x14ac:dyDescent="0.25">
      <c r="A1201" s="1">
        <v>1197</v>
      </c>
      <c r="B1201" s="1" t="str">
        <f t="shared" si="120"/>
        <v>2017-407</v>
      </c>
      <c r="C1201" s="2" t="s">
        <v>874</v>
      </c>
      <c r="D1201" s="1" t="s">
        <v>875</v>
      </c>
      <c r="E1201" s="3" t="str">
        <f>""</f>
        <v/>
      </c>
      <c r="F1201" s="2" t="s">
        <v>27</v>
      </c>
      <c r="G1201" s="2" t="str">
        <f>CONCATENATE("JAKA D.O.O.,"," OGRIZOVIĆEVA 28/B,","  10 000 ZAGREB,"," OIB: 3770592196")</f>
        <v>JAKA D.O.O., OGRIZOVIĆEVA 28/B,  10 000 ZAGREB, OIB: 3770592196</v>
      </c>
      <c r="H1201" s="4"/>
      <c r="I1201" s="1" t="s">
        <v>210</v>
      </c>
      <c r="J1201" s="1" t="s">
        <v>64</v>
      </c>
      <c r="K1201" s="6" t="str">
        <f>"49.700,00"</f>
        <v>49.700,00</v>
      </c>
      <c r="L1201" s="6" t="str">
        <f>"12.425,00"</f>
        <v>12.425,00</v>
      </c>
      <c r="M1201" s="6" t="str">
        <f>"62.125,00"</f>
        <v>62.125,00</v>
      </c>
      <c r="N1201" s="5">
        <v>43615</v>
      </c>
      <c r="O1201" s="7"/>
      <c r="P1201" s="6" t="str">
        <f>"62.781,25"</f>
        <v>62.781,25</v>
      </c>
      <c r="Q1201" s="7"/>
      <c r="R1201" s="1"/>
      <c r="S1201" s="1" t="str">
        <f>"5-19/NOS-130-B/17"</f>
        <v>5-19/NOS-130-B/17</v>
      </c>
      <c r="T1201" s="2" t="s">
        <v>33</v>
      </c>
    </row>
    <row r="1202" spans="1:20" ht="25.5" x14ac:dyDescent="0.25">
      <c r="A1202" s="1">
        <v>1198</v>
      </c>
      <c r="B1202" s="1" t="str">
        <f t="shared" si="120"/>
        <v>2017-407</v>
      </c>
      <c r="C1202" s="2" t="s">
        <v>874</v>
      </c>
      <c r="D1202" s="1" t="s">
        <v>875</v>
      </c>
      <c r="E1202" s="3" t="str">
        <f>""</f>
        <v/>
      </c>
      <c r="F1202" s="2" t="s">
        <v>27</v>
      </c>
      <c r="G1202" s="2" t="str">
        <f>CONCATENATE("JAKA D.O.O.,"," OGRIZOVIĆEVA 28/B,","  10 000 ZAGREB,"," OIB: 3770592196")</f>
        <v>JAKA D.O.O., OGRIZOVIĆEVA 28/B,  10 000 ZAGREB, OIB: 3770592196</v>
      </c>
      <c r="H1202" s="4"/>
      <c r="I1202" s="1" t="s">
        <v>355</v>
      </c>
      <c r="J1202" s="1" t="s">
        <v>73</v>
      </c>
      <c r="K1202" s="6" t="str">
        <f>"11.900,00"</f>
        <v>11.900,00</v>
      </c>
      <c r="L1202" s="6" t="str">
        <f>"2.975,00"</f>
        <v>2.975,00</v>
      </c>
      <c r="M1202" s="6" t="str">
        <f>"14.875,00"</f>
        <v>14.875,00</v>
      </c>
      <c r="N1202" s="5">
        <v>43686</v>
      </c>
      <c r="O1202" s="7"/>
      <c r="P1202" s="6" t="str">
        <f>"14.218,75"</f>
        <v>14.218,75</v>
      </c>
      <c r="Q1202" s="7"/>
      <c r="R1202" s="1"/>
      <c r="S1202" s="1" t="str">
        <f>"6-19/NOS-130-B/17"</f>
        <v>6-19/NOS-130-B/17</v>
      </c>
      <c r="T1202" s="2" t="s">
        <v>33</v>
      </c>
    </row>
    <row r="1203" spans="1:20" ht="25.5" x14ac:dyDescent="0.25">
      <c r="A1203" s="1">
        <v>1199</v>
      </c>
      <c r="B1203" s="1" t="str">
        <f t="shared" si="120"/>
        <v>2017-407</v>
      </c>
      <c r="C1203" s="2" t="s">
        <v>874</v>
      </c>
      <c r="D1203" s="1" t="s">
        <v>875</v>
      </c>
      <c r="E1203" s="3" t="str">
        <f>""</f>
        <v/>
      </c>
      <c r="F1203" s="2" t="s">
        <v>27</v>
      </c>
      <c r="G1203" s="2" t="str">
        <f>CONCATENATE("JAKA D.O.O.,"," OGRIZOVIĆEVA 28/B,","  10 000 ZAGREB,"," OIB: 3770592196")</f>
        <v>JAKA D.O.O., OGRIZOVIĆEVA 28/B,  10 000 ZAGREB, OIB: 3770592196</v>
      </c>
      <c r="H1203" s="4"/>
      <c r="I1203" s="1" t="s">
        <v>74</v>
      </c>
      <c r="J1203" s="1" t="s">
        <v>114</v>
      </c>
      <c r="K1203" s="6" t="str">
        <f>"7.000,00"</f>
        <v>7.000,00</v>
      </c>
      <c r="L1203" s="6" t="str">
        <f>"1.750,00"</f>
        <v>1.750,00</v>
      </c>
      <c r="M1203" s="6" t="str">
        <f>"8.750,00"</f>
        <v>8.750,00</v>
      </c>
      <c r="N1203" s="5">
        <v>43651</v>
      </c>
      <c r="O1203" s="7"/>
      <c r="P1203" s="6" t="str">
        <f>"8.750,00"</f>
        <v>8.750,00</v>
      </c>
      <c r="Q1203" s="7"/>
      <c r="R1203" s="1"/>
      <c r="S1203" s="1" t="str">
        <f>"7-19/NOS-130-B/17"</f>
        <v>7-19/NOS-130-B/17</v>
      </c>
      <c r="T1203" s="2" t="s">
        <v>33</v>
      </c>
    </row>
    <row r="1204" spans="1:20" ht="38.25" x14ac:dyDescent="0.25">
      <c r="A1204" s="1">
        <v>1200</v>
      </c>
      <c r="B1204" s="1" t="str">
        <f>"2017-2905"</f>
        <v>2017-2905</v>
      </c>
      <c r="C1204" s="2" t="s">
        <v>878</v>
      </c>
      <c r="D1204" s="1" t="s">
        <v>188</v>
      </c>
      <c r="E1204" s="3" t="str">
        <f>"2017/S 0F2-0025258"</f>
        <v>2017/S 0F2-0025258</v>
      </c>
      <c r="F1204" s="2" t="s">
        <v>23</v>
      </c>
      <c r="G1204" s="2" t="str">
        <f>CONCATENATE("GRADITELJ SVRATIŠTA D.O.O.,"," IVANA ČESMIČKOG 16,"," 10000 ZAGREB,"," OIB: 5204465757")</f>
        <v>GRADITELJ SVRATIŠTA D.O.O., IVANA ČESMIČKOG 16, 10000 ZAGREB, OIB: 5204465757</v>
      </c>
      <c r="H1204" s="4"/>
      <c r="I1204" s="1" t="s">
        <v>879</v>
      </c>
      <c r="J1204" s="1" t="s">
        <v>880</v>
      </c>
      <c r="K1204" s="6" t="str">
        <f>"300.000,00"</f>
        <v>300.000,00</v>
      </c>
      <c r="L1204" s="6" t="str">
        <f>"75.000,00"</f>
        <v>75.000,00</v>
      </c>
      <c r="M1204" s="6" t="str">
        <f>"375.000,00"</f>
        <v>375.000,00</v>
      </c>
      <c r="N1204" s="7"/>
      <c r="O1204" s="7"/>
      <c r="P1204" s="6" t="str">
        <f>""</f>
        <v/>
      </c>
      <c r="Q1204" s="7"/>
      <c r="R1204" s="1"/>
      <c r="S1204" s="1" t="str">
        <f>"NOS-131-A/17"</f>
        <v>NOS-131-A/17</v>
      </c>
      <c r="T1204" s="2" t="s">
        <v>33</v>
      </c>
    </row>
    <row r="1205" spans="1:20" ht="38.25" x14ac:dyDescent="0.25">
      <c r="A1205" s="1">
        <v>1201</v>
      </c>
      <c r="B1205" s="1" t="str">
        <f>"2017-2905"</f>
        <v>2017-2905</v>
      </c>
      <c r="C1205" s="2" t="s">
        <v>878</v>
      </c>
      <c r="D1205" s="1" t="s">
        <v>188</v>
      </c>
      <c r="E1205" s="3" t="str">
        <f>"2017/S 0F2-0025258"</f>
        <v>2017/S 0F2-0025258</v>
      </c>
      <c r="F1205" s="2" t="s">
        <v>23</v>
      </c>
      <c r="G1205" s="2" t="str">
        <f>CONCATENATE("POLJO-PROM,"," VL. ZLATKO KRIŽANIĆ,"," HRAŠĆE TUROPOLJSKO,"," KRIŽANIĆI 27,"," 10020 ZAGREB-NOVI ZAGREB,"," OIB: 22277452223")</f>
        <v>POLJO-PROM, VL. ZLATKO KRIŽANIĆ, HRAŠĆE TUROPOLJSKO, KRIŽANIĆI 27, 10020 ZAGREB-NOVI ZAGREB, OIB: 22277452223</v>
      </c>
      <c r="H1205" s="4"/>
      <c r="I1205" s="1" t="s">
        <v>881</v>
      </c>
      <c r="J1205" s="1" t="s">
        <v>882</v>
      </c>
      <c r="K1205" s="6" t="str">
        <f>"720.000,00"</f>
        <v>720.000,00</v>
      </c>
      <c r="L1205" s="6" t="str">
        <f>"180.000,00"</f>
        <v>180.000,00</v>
      </c>
      <c r="M1205" s="6" t="str">
        <f>"900.000,00"</f>
        <v>900.000,00</v>
      </c>
      <c r="N1205" s="7"/>
      <c r="O1205" s="7"/>
      <c r="P1205" s="6" t="str">
        <f>""</f>
        <v/>
      </c>
      <c r="Q1205" s="7"/>
      <c r="R1205" s="1"/>
      <c r="S1205" s="1" t="str">
        <f>"NOS-131-B/17"</f>
        <v>NOS-131-B/17</v>
      </c>
      <c r="T1205" s="2" t="s">
        <v>33</v>
      </c>
    </row>
    <row r="1206" spans="1:20" ht="38.25" x14ac:dyDescent="0.25">
      <c r="A1206" s="1">
        <v>1202</v>
      </c>
      <c r="B1206" s="1" t="str">
        <f>"2017-2905"</f>
        <v>2017-2905</v>
      </c>
      <c r="C1206" s="2" t="s">
        <v>878</v>
      </c>
      <c r="D1206" s="1" t="s">
        <v>188</v>
      </c>
      <c r="E1206" s="3" t="str">
        <f>""</f>
        <v/>
      </c>
      <c r="F1206" s="2" t="s">
        <v>27</v>
      </c>
      <c r="G1206" s="2" t="str">
        <f>CONCATENATE("POLJO-PROM,"," VL. ZLATKO KRIŽANIĆ,"," HRAŠĆE TUROPOLJSKO,"," KRIŽANIĆI 27,"," 10020 ZAGREB-NOVI ZAGREB,"," OIB: 22277452223")</f>
        <v>POLJO-PROM, VL. ZLATKO KRIŽANIĆ, HRAŠĆE TUROPOLJSKO, KRIŽANIĆI 27, 10020 ZAGREB-NOVI ZAGREB, OIB: 22277452223</v>
      </c>
      <c r="H1206" s="4"/>
      <c r="I1206" s="1" t="s">
        <v>195</v>
      </c>
      <c r="J1206" s="4"/>
      <c r="K1206" s="6" t="str">
        <f>"49.000,00"</f>
        <v>49.000,00</v>
      </c>
      <c r="L1206" s="6" t="str">
        <f>"12.250,00"</f>
        <v>12.250,00</v>
      </c>
      <c r="M1206" s="6" t="str">
        <f>"61.250,00"</f>
        <v>61.250,00</v>
      </c>
      <c r="N1206" s="5">
        <v>43580</v>
      </c>
      <c r="O1206" s="7"/>
      <c r="P1206" s="6" t="str">
        <f>"61.250,00"</f>
        <v>61.250,00</v>
      </c>
      <c r="Q1206" s="7"/>
      <c r="R1206" s="1"/>
      <c r="S1206" s="1" t="str">
        <f>"1-19/NOS-131-B/17"</f>
        <v>1-19/NOS-131-B/17</v>
      </c>
      <c r="T1206" s="2" t="s">
        <v>33</v>
      </c>
    </row>
    <row r="1207" spans="1:20" ht="38.25" x14ac:dyDescent="0.25">
      <c r="A1207" s="1">
        <v>1203</v>
      </c>
      <c r="B1207" s="1" t="str">
        <f>"2017-2905"</f>
        <v>2017-2905</v>
      </c>
      <c r="C1207" s="2" t="s">
        <v>878</v>
      </c>
      <c r="D1207" s="1" t="s">
        <v>188</v>
      </c>
      <c r="E1207" s="3" t="str">
        <f>""</f>
        <v/>
      </c>
      <c r="F1207" s="2" t="s">
        <v>27</v>
      </c>
      <c r="G1207" s="2" t="str">
        <f>CONCATENATE("POLJO-PROM,"," VL. ZLATKO KRIŽANIĆ,"," HRAŠĆE TUROPOLJSKO,"," KRIŽANIĆI 27,"," 10020 ZAGREB-NOVI ZAGREB,"," OIB: 22277452223")</f>
        <v>POLJO-PROM, VL. ZLATKO KRIŽANIĆ, HRAŠĆE TUROPOLJSKO, KRIŽANIĆI 27, 10020 ZAGREB-NOVI ZAGREB, OIB: 22277452223</v>
      </c>
      <c r="H1207" s="4"/>
      <c r="I1207" s="1" t="s">
        <v>162</v>
      </c>
      <c r="J1207" s="1" t="s">
        <v>492</v>
      </c>
      <c r="K1207" s="6" t="str">
        <f>"140.700,00"</f>
        <v>140.700,00</v>
      </c>
      <c r="L1207" s="6" t="str">
        <f>"24.500,00"</f>
        <v>24.500,00</v>
      </c>
      <c r="M1207" s="6" t="str">
        <f>"122.500,00"</f>
        <v>122.500,00</v>
      </c>
      <c r="N1207" s="5">
        <v>43645</v>
      </c>
      <c r="O1207" s="7"/>
      <c r="P1207" s="6" t="str">
        <f>"122.500,00"</f>
        <v>122.500,00</v>
      </c>
      <c r="Q1207" s="7"/>
      <c r="R1207" s="1"/>
      <c r="S1207" s="1" t="str">
        <f>"2-19/NOS-131-B/17"</f>
        <v>2-19/NOS-131-B/17</v>
      </c>
      <c r="T1207" s="2" t="s">
        <v>33</v>
      </c>
    </row>
    <row r="1208" spans="1:20" ht="38.25" x14ac:dyDescent="0.25">
      <c r="A1208" s="1">
        <v>1204</v>
      </c>
      <c r="B1208" s="1" t="str">
        <f>"2017-2905"</f>
        <v>2017-2905</v>
      </c>
      <c r="C1208" s="2" t="s">
        <v>878</v>
      </c>
      <c r="D1208" s="1" t="s">
        <v>188</v>
      </c>
      <c r="E1208" s="3" t="str">
        <f>"2017/S 0F2-0025258"</f>
        <v>2017/S 0F2-0025258</v>
      </c>
      <c r="F1208" s="2" t="s">
        <v>23</v>
      </c>
      <c r="G1208" s="2" t="str">
        <f>CONCATENATE("POLJO-PROM,"," VL. ZLATKO KRIŽANIĆ,"," HRAŠĆE TUROPOLJSKO,"," KRIŽANIĆI 27,"," 10020 ZAGREB-NOVI ZAGREB,"," OIB: 22277452223")</f>
        <v>POLJO-PROM, VL. ZLATKO KRIŽANIĆ, HRAŠĆE TUROPOLJSKO, KRIŽANIĆI 27, 10020 ZAGREB-NOVI ZAGREB, OIB: 22277452223</v>
      </c>
      <c r="H1208" s="4"/>
      <c r="I1208" s="1" t="s">
        <v>881</v>
      </c>
      <c r="J1208" s="1" t="s">
        <v>882</v>
      </c>
      <c r="K1208" s="6" t="str">
        <f>"500.000,00"</f>
        <v>500.000,00</v>
      </c>
      <c r="L1208" s="6" t="str">
        <f>"125.000,00"</f>
        <v>125.000,00</v>
      </c>
      <c r="M1208" s="6" t="str">
        <f>"625.000,00"</f>
        <v>625.000,00</v>
      </c>
      <c r="N1208" s="7"/>
      <c r="O1208" s="7"/>
      <c r="P1208" s="6" t="str">
        <f>""</f>
        <v/>
      </c>
      <c r="Q1208" s="7"/>
      <c r="R1208" s="1"/>
      <c r="S1208" s="1" t="str">
        <f>"NOS-131-C/17"</f>
        <v>NOS-131-C/17</v>
      </c>
      <c r="T1208" s="2" t="s">
        <v>33</v>
      </c>
    </row>
    <row r="1209" spans="1:20" ht="38.25" x14ac:dyDescent="0.25">
      <c r="A1209" s="1">
        <v>1205</v>
      </c>
      <c r="B1209" s="1" t="str">
        <f t="shared" ref="B1209:B1240" si="121">"2017-390"</f>
        <v>2017-390</v>
      </c>
      <c r="C1209" s="2" t="s">
        <v>883</v>
      </c>
      <c r="D1209" s="1" t="s">
        <v>382</v>
      </c>
      <c r="E1209" s="3" t="str">
        <f>"2017/S 0F2-0015055"</f>
        <v>2017/S 0F2-0015055</v>
      </c>
      <c r="F1209" s="2" t="s">
        <v>23</v>
      </c>
      <c r="G1209" s="2" t="str">
        <f t="shared" ref="G1209:G1240" si="122">CONCATENATE("M.B. AUTO  d.o.o.,"," KOLEDOVČINA 8,"," 10000 ZAGREB,"," OIB: 8902734372")</f>
        <v>M.B. AUTO  d.o.o., KOLEDOVČINA 8, 10000 ZAGREB, OIB: 8902734372</v>
      </c>
      <c r="H1209" s="4"/>
      <c r="I1209" s="1" t="s">
        <v>861</v>
      </c>
      <c r="J1209" s="1" t="s">
        <v>862</v>
      </c>
      <c r="K1209" s="6" t="str">
        <f>"5.240.000,00"</f>
        <v>5.240.000,00</v>
      </c>
      <c r="L1209" s="6" t="str">
        <f>"1.310.000,00"</f>
        <v>1.310.000,00</v>
      </c>
      <c r="M1209" s="6" t="str">
        <f>"6.550.000,00"</f>
        <v>6.550.000,00</v>
      </c>
      <c r="N1209" s="7"/>
      <c r="O1209" s="7"/>
      <c r="P1209" s="6" t="str">
        <f>""</f>
        <v/>
      </c>
      <c r="Q1209" s="7"/>
      <c r="R1209" s="1"/>
      <c r="S1209" s="1" t="str">
        <f>"NOS-132-A/17"</f>
        <v>NOS-132-A/17</v>
      </c>
      <c r="T1209" s="2" t="s">
        <v>26</v>
      </c>
    </row>
    <row r="1210" spans="1:20" ht="25.5" x14ac:dyDescent="0.25">
      <c r="A1210" s="1">
        <v>1206</v>
      </c>
      <c r="B1210" s="1" t="str">
        <f t="shared" si="121"/>
        <v>2017-390</v>
      </c>
      <c r="C1210" s="2" t="s">
        <v>883</v>
      </c>
      <c r="D1210" s="1" t="s">
        <v>382</v>
      </c>
      <c r="E1210" s="3" t="str">
        <f>""</f>
        <v/>
      </c>
      <c r="F1210" s="2" t="s">
        <v>27</v>
      </c>
      <c r="G1210" s="2" t="str">
        <f t="shared" si="122"/>
        <v>M.B. AUTO  d.o.o., KOLEDOVČINA 8, 10000 ZAGREB, OIB: 8902734372</v>
      </c>
      <c r="H1210" s="4"/>
      <c r="I1210" s="1" t="s">
        <v>241</v>
      </c>
      <c r="J1210" s="1" t="s">
        <v>303</v>
      </c>
      <c r="K1210" s="6" t="str">
        <f>"16.794,47"</f>
        <v>16.794,47</v>
      </c>
      <c r="L1210" s="6" t="str">
        <f>"4.198,62"</f>
        <v>4.198,62</v>
      </c>
      <c r="M1210" s="6" t="str">
        <f>"20.993,09"</f>
        <v>20.993,09</v>
      </c>
      <c r="N1210" s="5">
        <v>43524</v>
      </c>
      <c r="O1210" s="7"/>
      <c r="P1210" s="6" t="str">
        <f>"20.993,09"</f>
        <v>20.993,09</v>
      </c>
      <c r="Q1210" s="7"/>
      <c r="R1210" s="1"/>
      <c r="S1210" s="1" t="str">
        <f>"1-19/NOS-132-A/17"</f>
        <v>1-19/NOS-132-A/17</v>
      </c>
      <c r="T1210" s="2" t="s">
        <v>33</v>
      </c>
    </row>
    <row r="1211" spans="1:20" ht="25.5" x14ac:dyDescent="0.25">
      <c r="A1211" s="1">
        <v>1207</v>
      </c>
      <c r="B1211" s="1" t="str">
        <f t="shared" si="121"/>
        <v>2017-390</v>
      </c>
      <c r="C1211" s="2" t="s">
        <v>883</v>
      </c>
      <c r="D1211" s="1" t="s">
        <v>382</v>
      </c>
      <c r="E1211" s="3" t="str">
        <f>""</f>
        <v/>
      </c>
      <c r="F1211" s="2" t="s">
        <v>27</v>
      </c>
      <c r="G1211" s="2" t="str">
        <f t="shared" si="122"/>
        <v>M.B. AUTO  d.o.o., KOLEDOVČINA 8, 10000 ZAGREB, OIB: 8902734372</v>
      </c>
      <c r="H1211" s="4"/>
      <c r="I1211" s="1" t="s">
        <v>195</v>
      </c>
      <c r="J1211" s="1" t="s">
        <v>303</v>
      </c>
      <c r="K1211" s="6" t="str">
        <f>"5.084,61"</f>
        <v>5.084,61</v>
      </c>
      <c r="L1211" s="6" t="str">
        <f>"1.271,15"</f>
        <v>1.271,15</v>
      </c>
      <c r="M1211" s="6" t="str">
        <f>"6.355,76"</f>
        <v>6.355,76</v>
      </c>
      <c r="N1211" s="5">
        <v>43551</v>
      </c>
      <c r="O1211" s="7"/>
      <c r="P1211" s="6" t="str">
        <f>"6.355,76"</f>
        <v>6.355,76</v>
      </c>
      <c r="Q1211" s="7"/>
      <c r="R1211" s="1"/>
      <c r="S1211" s="1" t="str">
        <f>"2-19/NOS-132-A/17"</f>
        <v>2-19/NOS-132-A/17</v>
      </c>
      <c r="T1211" s="2" t="s">
        <v>33</v>
      </c>
    </row>
    <row r="1212" spans="1:20" ht="25.5" x14ac:dyDescent="0.25">
      <c r="A1212" s="1">
        <v>1208</v>
      </c>
      <c r="B1212" s="1" t="str">
        <f t="shared" si="121"/>
        <v>2017-390</v>
      </c>
      <c r="C1212" s="2" t="s">
        <v>883</v>
      </c>
      <c r="D1212" s="1" t="s">
        <v>382</v>
      </c>
      <c r="E1212" s="3" t="str">
        <f>""</f>
        <v/>
      </c>
      <c r="F1212" s="2" t="s">
        <v>27</v>
      </c>
      <c r="G1212" s="2" t="str">
        <f t="shared" si="122"/>
        <v>M.B. AUTO  d.o.o., KOLEDOVČINA 8, 10000 ZAGREB, OIB: 8902734372</v>
      </c>
      <c r="H1212" s="4"/>
      <c r="I1212" s="1" t="s">
        <v>195</v>
      </c>
      <c r="J1212" s="1" t="s">
        <v>303</v>
      </c>
      <c r="K1212" s="6" t="str">
        <f>"1.227,20"</f>
        <v>1.227,20</v>
      </c>
      <c r="L1212" s="6" t="str">
        <f>"306,80"</f>
        <v>306,80</v>
      </c>
      <c r="M1212" s="6" t="str">
        <f>"1.534,00"</f>
        <v>1.534,00</v>
      </c>
      <c r="N1212" s="5">
        <v>43524</v>
      </c>
      <c r="O1212" s="7"/>
      <c r="P1212" s="6" t="str">
        <f>"1.534,00"</f>
        <v>1.534,00</v>
      </c>
      <c r="Q1212" s="7"/>
      <c r="R1212" s="1"/>
      <c r="S1212" s="1" t="str">
        <f>"3-19/NOS-132-A/17"</f>
        <v>3-19/NOS-132-A/17</v>
      </c>
      <c r="T1212" s="2" t="s">
        <v>33</v>
      </c>
    </row>
    <row r="1213" spans="1:20" ht="25.5" x14ac:dyDescent="0.25">
      <c r="A1213" s="1">
        <v>1209</v>
      </c>
      <c r="B1213" s="1" t="str">
        <f t="shared" si="121"/>
        <v>2017-390</v>
      </c>
      <c r="C1213" s="2" t="s">
        <v>883</v>
      </c>
      <c r="D1213" s="1" t="s">
        <v>382</v>
      </c>
      <c r="E1213" s="3" t="str">
        <f>""</f>
        <v/>
      </c>
      <c r="F1213" s="2" t="s">
        <v>27</v>
      </c>
      <c r="G1213" s="2" t="str">
        <f t="shared" si="122"/>
        <v>M.B. AUTO  d.o.o., KOLEDOVČINA 8, 10000 ZAGREB, OIB: 8902734372</v>
      </c>
      <c r="H1213" s="4"/>
      <c r="I1213" s="1" t="s">
        <v>254</v>
      </c>
      <c r="J1213" s="1" t="s">
        <v>303</v>
      </c>
      <c r="K1213" s="6" t="str">
        <f>"3.220,11"</f>
        <v>3.220,11</v>
      </c>
      <c r="L1213" s="6" t="str">
        <f>"805,03"</f>
        <v>805,03</v>
      </c>
      <c r="M1213" s="6" t="str">
        <f>"4.025,14"</f>
        <v>4.025,14</v>
      </c>
      <c r="N1213" s="5">
        <v>43539</v>
      </c>
      <c r="O1213" s="7"/>
      <c r="P1213" s="6" t="str">
        <f>"4.025,14"</f>
        <v>4.025,14</v>
      </c>
      <c r="Q1213" s="7"/>
      <c r="R1213" s="1"/>
      <c r="S1213" s="1" t="str">
        <f>"4-19/NOS-132-A/17"</f>
        <v>4-19/NOS-132-A/17</v>
      </c>
      <c r="T1213" s="2" t="s">
        <v>33</v>
      </c>
    </row>
    <row r="1214" spans="1:20" ht="25.5" x14ac:dyDescent="0.25">
      <c r="A1214" s="1">
        <v>1210</v>
      </c>
      <c r="B1214" s="1" t="str">
        <f t="shared" si="121"/>
        <v>2017-390</v>
      </c>
      <c r="C1214" s="2" t="s">
        <v>883</v>
      </c>
      <c r="D1214" s="1" t="s">
        <v>382</v>
      </c>
      <c r="E1214" s="3" t="str">
        <f>""</f>
        <v/>
      </c>
      <c r="F1214" s="2" t="s">
        <v>27</v>
      </c>
      <c r="G1214" s="2" t="str">
        <f t="shared" si="122"/>
        <v>M.B. AUTO  d.o.o., KOLEDOVČINA 8, 10000 ZAGREB, OIB: 8902734372</v>
      </c>
      <c r="H1214" s="4"/>
      <c r="I1214" s="1" t="s">
        <v>264</v>
      </c>
      <c r="J1214" s="1" t="s">
        <v>303</v>
      </c>
      <c r="K1214" s="6" t="str">
        <f>"11.886,36"</f>
        <v>11.886,36</v>
      </c>
      <c r="L1214" s="6" t="str">
        <f>"2.971,59"</f>
        <v>2.971,59</v>
      </c>
      <c r="M1214" s="6" t="str">
        <f>"14.857,95"</f>
        <v>14.857,95</v>
      </c>
      <c r="N1214" s="5">
        <v>43539</v>
      </c>
      <c r="O1214" s="7"/>
      <c r="P1214" s="6" t="str">
        <f>"14.857,95"</f>
        <v>14.857,95</v>
      </c>
      <c r="Q1214" s="7"/>
      <c r="R1214" s="1"/>
      <c r="S1214" s="1" t="str">
        <f>"5-19/NOS-132-A/17"</f>
        <v>5-19/NOS-132-A/17</v>
      </c>
      <c r="T1214" s="2" t="s">
        <v>33</v>
      </c>
    </row>
    <row r="1215" spans="1:20" ht="25.5" x14ac:dyDescent="0.25">
      <c r="A1215" s="1">
        <v>1211</v>
      </c>
      <c r="B1215" s="1" t="str">
        <f t="shared" si="121"/>
        <v>2017-390</v>
      </c>
      <c r="C1215" s="2" t="s">
        <v>883</v>
      </c>
      <c r="D1215" s="1" t="s">
        <v>382</v>
      </c>
      <c r="E1215" s="3" t="str">
        <f>""</f>
        <v/>
      </c>
      <c r="F1215" s="2" t="s">
        <v>27</v>
      </c>
      <c r="G1215" s="2" t="str">
        <f t="shared" si="122"/>
        <v>M.B. AUTO  d.o.o., KOLEDOVČINA 8, 10000 ZAGREB, OIB: 8902734372</v>
      </c>
      <c r="H1215" s="4"/>
      <c r="I1215" s="1" t="s">
        <v>373</v>
      </c>
      <c r="J1215" s="1" t="s">
        <v>303</v>
      </c>
      <c r="K1215" s="6" t="str">
        <f>"1.219,36"</f>
        <v>1.219,36</v>
      </c>
      <c r="L1215" s="6" t="str">
        <f>"304,84"</f>
        <v>304,84</v>
      </c>
      <c r="M1215" s="6" t="str">
        <f>"1.524,20"</f>
        <v>1.524,20</v>
      </c>
      <c r="N1215" s="5">
        <v>43537</v>
      </c>
      <c r="O1215" s="7"/>
      <c r="P1215" s="6" t="str">
        <f>"1.524,20"</f>
        <v>1.524,20</v>
      </c>
      <c r="Q1215" s="7"/>
      <c r="R1215" s="1"/>
      <c r="S1215" s="1" t="str">
        <f>"6-19/NOS-132-A/17"</f>
        <v>6-19/NOS-132-A/17</v>
      </c>
      <c r="T1215" s="2" t="s">
        <v>33</v>
      </c>
    </row>
    <row r="1216" spans="1:20" ht="25.5" x14ac:dyDescent="0.25">
      <c r="A1216" s="1">
        <v>1212</v>
      </c>
      <c r="B1216" s="1" t="str">
        <f t="shared" si="121"/>
        <v>2017-390</v>
      </c>
      <c r="C1216" s="2" t="s">
        <v>883</v>
      </c>
      <c r="D1216" s="1" t="s">
        <v>382</v>
      </c>
      <c r="E1216" s="3" t="str">
        <f>""</f>
        <v/>
      </c>
      <c r="F1216" s="2" t="s">
        <v>27</v>
      </c>
      <c r="G1216" s="2" t="str">
        <f t="shared" si="122"/>
        <v>M.B. AUTO  d.o.o., KOLEDOVČINA 8, 10000 ZAGREB, OIB: 8902734372</v>
      </c>
      <c r="H1216" s="4"/>
      <c r="I1216" s="1" t="s">
        <v>670</v>
      </c>
      <c r="J1216" s="1" t="s">
        <v>303</v>
      </c>
      <c r="K1216" s="6" t="str">
        <f>"231,87"</f>
        <v>231,87</v>
      </c>
      <c r="L1216" s="6" t="str">
        <f>"57,97"</f>
        <v>57,97</v>
      </c>
      <c r="M1216" s="6" t="str">
        <f>"289,84"</f>
        <v>289,84</v>
      </c>
      <c r="N1216" s="5">
        <v>43539</v>
      </c>
      <c r="O1216" s="7"/>
      <c r="P1216" s="6" t="str">
        <f>"289,84"</f>
        <v>289,84</v>
      </c>
      <c r="Q1216" s="7"/>
      <c r="R1216" s="1"/>
      <c r="S1216" s="1" t="str">
        <f>"7-19/NOS-132-A/17"</f>
        <v>7-19/NOS-132-A/17</v>
      </c>
      <c r="T1216" s="2" t="s">
        <v>33</v>
      </c>
    </row>
    <row r="1217" spans="1:20" ht="25.5" x14ac:dyDescent="0.25">
      <c r="A1217" s="1">
        <v>1213</v>
      </c>
      <c r="B1217" s="1" t="str">
        <f t="shared" si="121"/>
        <v>2017-390</v>
      </c>
      <c r="C1217" s="2" t="s">
        <v>883</v>
      </c>
      <c r="D1217" s="1" t="s">
        <v>382</v>
      </c>
      <c r="E1217" s="3" t="str">
        <f>""</f>
        <v/>
      </c>
      <c r="F1217" s="2" t="s">
        <v>27</v>
      </c>
      <c r="G1217" s="2" t="str">
        <f t="shared" si="122"/>
        <v>M.B. AUTO  d.o.o., KOLEDOVČINA 8, 10000 ZAGREB, OIB: 8902734372</v>
      </c>
      <c r="H1217" s="4"/>
      <c r="I1217" s="1" t="s">
        <v>351</v>
      </c>
      <c r="J1217" s="1" t="s">
        <v>303</v>
      </c>
      <c r="K1217" s="6" t="str">
        <f>"12.143,25"</f>
        <v>12.143,25</v>
      </c>
      <c r="L1217" s="6" t="str">
        <f>"3.035,81"</f>
        <v>3.035,81</v>
      </c>
      <c r="M1217" s="6" t="str">
        <f>"15.179,06"</f>
        <v>15.179,06</v>
      </c>
      <c r="N1217" s="5">
        <v>43545</v>
      </c>
      <c r="O1217" s="7"/>
      <c r="P1217" s="6" t="str">
        <f>"15.179,06"</f>
        <v>15.179,06</v>
      </c>
      <c r="Q1217" s="7"/>
      <c r="R1217" s="1"/>
      <c r="S1217" s="1" t="str">
        <f>"8-19/NOS-132-A/17"</f>
        <v>8-19/NOS-132-A/17</v>
      </c>
      <c r="T1217" s="2" t="s">
        <v>33</v>
      </c>
    </row>
    <row r="1218" spans="1:20" ht="25.5" x14ac:dyDescent="0.25">
      <c r="A1218" s="1">
        <v>1214</v>
      </c>
      <c r="B1218" s="1" t="str">
        <f t="shared" si="121"/>
        <v>2017-390</v>
      </c>
      <c r="C1218" s="2" t="s">
        <v>883</v>
      </c>
      <c r="D1218" s="1" t="s">
        <v>382</v>
      </c>
      <c r="E1218" s="3" t="str">
        <f>""</f>
        <v/>
      </c>
      <c r="F1218" s="2" t="s">
        <v>27</v>
      </c>
      <c r="G1218" s="2" t="str">
        <f t="shared" si="122"/>
        <v>M.B. AUTO  d.o.o., KOLEDOVČINA 8, 10000 ZAGREB, OIB: 8902734372</v>
      </c>
      <c r="H1218" s="4"/>
      <c r="I1218" s="1" t="s">
        <v>293</v>
      </c>
      <c r="J1218" s="1" t="s">
        <v>303</v>
      </c>
      <c r="K1218" s="6" t="str">
        <f>"90.103,54"</f>
        <v>90.103,54</v>
      </c>
      <c r="L1218" s="6" t="str">
        <f>"22.525,89"</f>
        <v>22.525,89</v>
      </c>
      <c r="M1218" s="6" t="str">
        <f>"112.629,43"</f>
        <v>112.629,43</v>
      </c>
      <c r="N1218" s="5">
        <v>43551</v>
      </c>
      <c r="O1218" s="7"/>
      <c r="P1218" s="6" t="str">
        <f>"112.629,42"</f>
        <v>112.629,42</v>
      </c>
      <c r="Q1218" s="7"/>
      <c r="R1218" s="1"/>
      <c r="S1218" s="1" t="str">
        <f>"9-19/NOS-132-A/17"</f>
        <v>9-19/NOS-132-A/17</v>
      </c>
      <c r="T1218" s="2" t="s">
        <v>33</v>
      </c>
    </row>
    <row r="1219" spans="1:20" ht="25.5" x14ac:dyDescent="0.25">
      <c r="A1219" s="1">
        <v>1215</v>
      </c>
      <c r="B1219" s="1" t="str">
        <f t="shared" si="121"/>
        <v>2017-390</v>
      </c>
      <c r="C1219" s="2" t="s">
        <v>883</v>
      </c>
      <c r="D1219" s="1" t="s">
        <v>382</v>
      </c>
      <c r="E1219" s="3" t="str">
        <f>""</f>
        <v/>
      </c>
      <c r="F1219" s="2" t="s">
        <v>27</v>
      </c>
      <c r="G1219" s="2" t="str">
        <f t="shared" si="122"/>
        <v>M.B. AUTO  d.o.o., KOLEDOVČINA 8, 10000 ZAGREB, OIB: 8902734372</v>
      </c>
      <c r="H1219" s="4"/>
      <c r="I1219" s="1" t="s">
        <v>293</v>
      </c>
      <c r="J1219" s="1" t="s">
        <v>303</v>
      </c>
      <c r="K1219" s="6" t="str">
        <f>"15.614,37"</f>
        <v>15.614,37</v>
      </c>
      <c r="L1219" s="6" t="str">
        <f>"3.903,59"</f>
        <v>3.903,59</v>
      </c>
      <c r="M1219" s="6" t="str">
        <f>"19.517,96"</f>
        <v>19.517,96</v>
      </c>
      <c r="N1219" s="5">
        <v>43553</v>
      </c>
      <c r="O1219" s="7"/>
      <c r="P1219" s="6" t="str">
        <f>"19.517,96"</f>
        <v>19.517,96</v>
      </c>
      <c r="Q1219" s="7"/>
      <c r="R1219" s="1"/>
      <c r="S1219" s="1" t="str">
        <f>"10-19/NOS-132-A/17"</f>
        <v>10-19/NOS-132-A/17</v>
      </c>
      <c r="T1219" s="2" t="s">
        <v>33</v>
      </c>
    </row>
    <row r="1220" spans="1:20" ht="25.5" x14ac:dyDescent="0.25">
      <c r="A1220" s="1">
        <v>1216</v>
      </c>
      <c r="B1220" s="1" t="str">
        <f t="shared" si="121"/>
        <v>2017-390</v>
      </c>
      <c r="C1220" s="2" t="s">
        <v>883</v>
      </c>
      <c r="D1220" s="1" t="s">
        <v>382</v>
      </c>
      <c r="E1220" s="3" t="str">
        <f>""</f>
        <v/>
      </c>
      <c r="F1220" s="2" t="s">
        <v>27</v>
      </c>
      <c r="G1220" s="2" t="str">
        <f t="shared" si="122"/>
        <v>M.B. AUTO  d.o.o., KOLEDOVČINA 8, 10000 ZAGREB, OIB: 8902734372</v>
      </c>
      <c r="H1220" s="4"/>
      <c r="I1220" s="1" t="s">
        <v>277</v>
      </c>
      <c r="J1220" s="1" t="s">
        <v>303</v>
      </c>
      <c r="K1220" s="6" t="str">
        <f>"753,14"</f>
        <v>753,14</v>
      </c>
      <c r="L1220" s="6" t="str">
        <f>"188,29"</f>
        <v>188,29</v>
      </c>
      <c r="M1220" s="6" t="str">
        <f>"941,43"</f>
        <v>941,43</v>
      </c>
      <c r="N1220" s="5">
        <v>43551</v>
      </c>
      <c r="O1220" s="7"/>
      <c r="P1220" s="6" t="str">
        <f>"941,42"</f>
        <v>941,42</v>
      </c>
      <c r="Q1220" s="7"/>
      <c r="R1220" s="1"/>
      <c r="S1220" s="1" t="str">
        <f>"11-19/NOS-132-A/17"</f>
        <v>11-19/NOS-132-A/17</v>
      </c>
      <c r="T1220" s="2" t="s">
        <v>33</v>
      </c>
    </row>
    <row r="1221" spans="1:20" ht="25.5" x14ac:dyDescent="0.25">
      <c r="A1221" s="1">
        <v>1217</v>
      </c>
      <c r="B1221" s="1" t="str">
        <f t="shared" si="121"/>
        <v>2017-390</v>
      </c>
      <c r="C1221" s="2" t="s">
        <v>883</v>
      </c>
      <c r="D1221" s="1" t="s">
        <v>382</v>
      </c>
      <c r="E1221" s="3" t="str">
        <f>""</f>
        <v/>
      </c>
      <c r="F1221" s="2" t="s">
        <v>27</v>
      </c>
      <c r="G1221" s="2" t="str">
        <f t="shared" si="122"/>
        <v>M.B. AUTO  d.o.o., KOLEDOVČINA 8, 10000 ZAGREB, OIB: 8902734372</v>
      </c>
      <c r="H1221" s="4"/>
      <c r="I1221" s="1" t="s">
        <v>244</v>
      </c>
      <c r="J1221" s="1" t="s">
        <v>303</v>
      </c>
      <c r="K1221" s="6" t="str">
        <f>"5.265,48"</f>
        <v>5.265,48</v>
      </c>
      <c r="L1221" s="6" t="str">
        <f>"1.316,37"</f>
        <v>1.316,37</v>
      </c>
      <c r="M1221" s="6" t="str">
        <f>"6.581,85"</f>
        <v>6.581,85</v>
      </c>
      <c r="N1221" s="5">
        <v>43584</v>
      </c>
      <c r="O1221" s="7"/>
      <c r="P1221" s="6" t="str">
        <f>"6.581,85"</f>
        <v>6.581,85</v>
      </c>
      <c r="Q1221" s="7"/>
      <c r="R1221" s="1"/>
      <c r="S1221" s="1" t="str">
        <f>"12-19/NOS-132-A/17"</f>
        <v>12-19/NOS-132-A/17</v>
      </c>
      <c r="T1221" s="2" t="s">
        <v>33</v>
      </c>
    </row>
    <row r="1222" spans="1:20" ht="25.5" x14ac:dyDescent="0.25">
      <c r="A1222" s="1">
        <v>1218</v>
      </c>
      <c r="B1222" s="1" t="str">
        <f t="shared" si="121"/>
        <v>2017-390</v>
      </c>
      <c r="C1222" s="2" t="s">
        <v>883</v>
      </c>
      <c r="D1222" s="1" t="s">
        <v>382</v>
      </c>
      <c r="E1222" s="3" t="str">
        <f>""</f>
        <v/>
      </c>
      <c r="F1222" s="2" t="s">
        <v>27</v>
      </c>
      <c r="G1222" s="2" t="str">
        <f t="shared" si="122"/>
        <v>M.B. AUTO  d.o.o., KOLEDOVČINA 8, 10000 ZAGREB, OIB: 8902734372</v>
      </c>
      <c r="H1222" s="4"/>
      <c r="I1222" s="1" t="s">
        <v>297</v>
      </c>
      <c r="J1222" s="1" t="s">
        <v>303</v>
      </c>
      <c r="K1222" s="6" t="str">
        <f>"1.684,80"</f>
        <v>1.684,80</v>
      </c>
      <c r="L1222" s="6" t="str">
        <f>"421,20"</f>
        <v>421,20</v>
      </c>
      <c r="M1222" s="6" t="str">
        <f>"2.106,00"</f>
        <v>2.106,00</v>
      </c>
      <c r="N1222" s="5">
        <v>43553</v>
      </c>
      <c r="O1222" s="7"/>
      <c r="P1222" s="6" t="str">
        <f>"2.106,00"</f>
        <v>2.106,00</v>
      </c>
      <c r="Q1222" s="7"/>
      <c r="R1222" s="1"/>
      <c r="S1222" s="1" t="str">
        <f>"13-19/NOS-132-A/17"</f>
        <v>13-19/NOS-132-A/17</v>
      </c>
      <c r="T1222" s="2" t="s">
        <v>33</v>
      </c>
    </row>
    <row r="1223" spans="1:20" ht="25.5" x14ac:dyDescent="0.25">
      <c r="A1223" s="1">
        <v>1219</v>
      </c>
      <c r="B1223" s="1" t="str">
        <f t="shared" si="121"/>
        <v>2017-390</v>
      </c>
      <c r="C1223" s="2" t="s">
        <v>883</v>
      </c>
      <c r="D1223" s="1" t="s">
        <v>382</v>
      </c>
      <c r="E1223" s="3" t="str">
        <f>""</f>
        <v/>
      </c>
      <c r="F1223" s="2" t="s">
        <v>27</v>
      </c>
      <c r="G1223" s="2" t="str">
        <f t="shared" si="122"/>
        <v>M.B. AUTO  d.o.o., KOLEDOVČINA 8, 10000 ZAGREB, OIB: 8902734372</v>
      </c>
      <c r="H1223" s="4"/>
      <c r="I1223" s="1" t="s">
        <v>301</v>
      </c>
      <c r="J1223" s="1" t="s">
        <v>303</v>
      </c>
      <c r="K1223" s="6" t="str">
        <f>"821,60"</f>
        <v>821,60</v>
      </c>
      <c r="L1223" s="6" t="str">
        <f>"205,40"</f>
        <v>205,40</v>
      </c>
      <c r="M1223" s="6" t="str">
        <f>"1.027,00"</f>
        <v>1.027,00</v>
      </c>
      <c r="N1223" s="5">
        <v>43553</v>
      </c>
      <c r="O1223" s="7"/>
      <c r="P1223" s="6" t="str">
        <f>"1.027,00"</f>
        <v>1.027,00</v>
      </c>
      <c r="Q1223" s="7"/>
      <c r="R1223" s="1"/>
      <c r="S1223" s="1" t="str">
        <f>"14-19/NOS-132-A/17"</f>
        <v>14-19/NOS-132-A/17</v>
      </c>
      <c r="T1223" s="2" t="s">
        <v>33</v>
      </c>
    </row>
    <row r="1224" spans="1:20" ht="25.5" x14ac:dyDescent="0.25">
      <c r="A1224" s="1">
        <v>1220</v>
      </c>
      <c r="B1224" s="1" t="str">
        <f t="shared" si="121"/>
        <v>2017-390</v>
      </c>
      <c r="C1224" s="2" t="s">
        <v>883</v>
      </c>
      <c r="D1224" s="1" t="s">
        <v>382</v>
      </c>
      <c r="E1224" s="3" t="str">
        <f>""</f>
        <v/>
      </c>
      <c r="F1224" s="2" t="s">
        <v>27</v>
      </c>
      <c r="G1224" s="2" t="str">
        <f t="shared" si="122"/>
        <v>M.B. AUTO  d.o.o., KOLEDOVČINA 8, 10000 ZAGREB, OIB: 8902734372</v>
      </c>
      <c r="H1224" s="4"/>
      <c r="I1224" s="1" t="s">
        <v>308</v>
      </c>
      <c r="J1224" s="1" t="s">
        <v>303</v>
      </c>
      <c r="K1224" s="6" t="str">
        <f>"46.629,35"</f>
        <v>46.629,35</v>
      </c>
      <c r="L1224" s="6" t="str">
        <f>"11.657,34"</f>
        <v>11.657,34</v>
      </c>
      <c r="M1224" s="6" t="str">
        <f>"58.286,69"</f>
        <v>58.286,69</v>
      </c>
      <c r="N1224" s="5">
        <v>43664</v>
      </c>
      <c r="O1224" s="7"/>
      <c r="P1224" s="6" t="str">
        <f>"58.286,69"</f>
        <v>58.286,69</v>
      </c>
      <c r="Q1224" s="7"/>
      <c r="R1224" s="1"/>
      <c r="S1224" s="1" t="str">
        <f>"15-19/NOS-132-A/17"</f>
        <v>15-19/NOS-132-A/17</v>
      </c>
      <c r="T1224" s="2" t="s">
        <v>33</v>
      </c>
    </row>
    <row r="1225" spans="1:20" ht="25.5" x14ac:dyDescent="0.25">
      <c r="A1225" s="1">
        <v>1221</v>
      </c>
      <c r="B1225" s="1" t="str">
        <f t="shared" si="121"/>
        <v>2017-390</v>
      </c>
      <c r="C1225" s="2" t="s">
        <v>883</v>
      </c>
      <c r="D1225" s="1" t="s">
        <v>382</v>
      </c>
      <c r="E1225" s="3" t="str">
        <f>""</f>
        <v/>
      </c>
      <c r="F1225" s="2" t="s">
        <v>27</v>
      </c>
      <c r="G1225" s="2" t="str">
        <f t="shared" si="122"/>
        <v>M.B. AUTO  d.o.o., KOLEDOVČINA 8, 10000 ZAGREB, OIB: 8902734372</v>
      </c>
      <c r="H1225" s="4"/>
      <c r="I1225" s="1" t="s">
        <v>44</v>
      </c>
      <c r="J1225" s="1" t="s">
        <v>303</v>
      </c>
      <c r="K1225" s="6" t="str">
        <f>"3.330,00"</f>
        <v>3.330,00</v>
      </c>
      <c r="L1225" s="6" t="str">
        <f>"832,50"</f>
        <v>832,50</v>
      </c>
      <c r="M1225" s="6" t="str">
        <f>"4.162,50"</f>
        <v>4.162,50</v>
      </c>
      <c r="N1225" s="5">
        <v>43553</v>
      </c>
      <c r="O1225" s="7"/>
      <c r="P1225" s="6" t="str">
        <f>"4.162,50"</f>
        <v>4.162,50</v>
      </c>
      <c r="Q1225" s="7"/>
      <c r="R1225" s="1"/>
      <c r="S1225" s="1" t="str">
        <f>"16-19/NOS-132-A/17"</f>
        <v>16-19/NOS-132-A/17</v>
      </c>
      <c r="T1225" s="2" t="s">
        <v>33</v>
      </c>
    </row>
    <row r="1226" spans="1:20" ht="25.5" x14ac:dyDescent="0.25">
      <c r="A1226" s="1">
        <v>1222</v>
      </c>
      <c r="B1226" s="1" t="str">
        <f t="shared" si="121"/>
        <v>2017-390</v>
      </c>
      <c r="C1226" s="2" t="s">
        <v>883</v>
      </c>
      <c r="D1226" s="1" t="s">
        <v>382</v>
      </c>
      <c r="E1226" s="3" t="str">
        <f>""</f>
        <v/>
      </c>
      <c r="F1226" s="2" t="s">
        <v>27</v>
      </c>
      <c r="G1226" s="2" t="str">
        <f t="shared" si="122"/>
        <v>M.B. AUTO  d.o.o., KOLEDOVČINA 8, 10000 ZAGREB, OIB: 8902734372</v>
      </c>
      <c r="H1226" s="4"/>
      <c r="I1226" s="1" t="s">
        <v>308</v>
      </c>
      <c r="J1226" s="1" t="s">
        <v>303</v>
      </c>
      <c r="K1226" s="6" t="str">
        <f>"1.639,75"</f>
        <v>1.639,75</v>
      </c>
      <c r="L1226" s="6" t="str">
        <f>"409,94"</f>
        <v>409,94</v>
      </c>
      <c r="M1226" s="6" t="str">
        <f>"2.049,69"</f>
        <v>2.049,69</v>
      </c>
      <c r="N1226" s="5">
        <v>43571</v>
      </c>
      <c r="O1226" s="7"/>
      <c r="P1226" s="6" t="str">
        <f>"2.049,69"</f>
        <v>2.049,69</v>
      </c>
      <c r="Q1226" s="7"/>
      <c r="R1226" s="1"/>
      <c r="S1226" s="1" t="str">
        <f>"17-19/NOS-132-A/17"</f>
        <v>17-19/NOS-132-A/17</v>
      </c>
      <c r="T1226" s="2" t="s">
        <v>33</v>
      </c>
    </row>
    <row r="1227" spans="1:20" ht="25.5" x14ac:dyDescent="0.25">
      <c r="A1227" s="1">
        <v>1223</v>
      </c>
      <c r="B1227" s="1" t="str">
        <f t="shared" si="121"/>
        <v>2017-390</v>
      </c>
      <c r="C1227" s="2" t="s">
        <v>883</v>
      </c>
      <c r="D1227" s="1" t="s">
        <v>382</v>
      </c>
      <c r="E1227" s="3" t="str">
        <f>""</f>
        <v/>
      </c>
      <c r="F1227" s="2" t="s">
        <v>27</v>
      </c>
      <c r="G1227" s="2" t="str">
        <f t="shared" si="122"/>
        <v>M.B. AUTO  d.o.o., KOLEDOVČINA 8, 10000 ZAGREB, OIB: 8902734372</v>
      </c>
      <c r="H1227" s="4"/>
      <c r="I1227" s="1" t="s">
        <v>394</v>
      </c>
      <c r="J1227" s="1" t="s">
        <v>303</v>
      </c>
      <c r="K1227" s="6" t="str">
        <f>"13.300,92"</f>
        <v>13.300,92</v>
      </c>
      <c r="L1227" s="6" t="str">
        <f>"3.325,23"</f>
        <v>3.325,23</v>
      </c>
      <c r="M1227" s="6" t="str">
        <f>"16.626,15"</f>
        <v>16.626,15</v>
      </c>
      <c r="N1227" s="5">
        <v>43592</v>
      </c>
      <c r="O1227" s="7"/>
      <c r="P1227" s="6" t="str">
        <f>"16.626,15"</f>
        <v>16.626,15</v>
      </c>
      <c r="Q1227" s="7"/>
      <c r="R1227" s="1"/>
      <c r="S1227" s="1" t="str">
        <f>"18-19/NOS-132-A/17"</f>
        <v>18-19/NOS-132-A/17</v>
      </c>
      <c r="T1227" s="2" t="s">
        <v>33</v>
      </c>
    </row>
    <row r="1228" spans="1:20" ht="25.5" x14ac:dyDescent="0.25">
      <c r="A1228" s="1">
        <v>1224</v>
      </c>
      <c r="B1228" s="1" t="str">
        <f t="shared" si="121"/>
        <v>2017-390</v>
      </c>
      <c r="C1228" s="2" t="s">
        <v>883</v>
      </c>
      <c r="D1228" s="1" t="s">
        <v>382</v>
      </c>
      <c r="E1228" s="3" t="str">
        <f>""</f>
        <v/>
      </c>
      <c r="F1228" s="2" t="s">
        <v>27</v>
      </c>
      <c r="G1228" s="2" t="str">
        <f t="shared" si="122"/>
        <v>M.B. AUTO  d.o.o., KOLEDOVČINA 8, 10000 ZAGREB, OIB: 8902734372</v>
      </c>
      <c r="H1228" s="4"/>
      <c r="I1228" s="1" t="s">
        <v>340</v>
      </c>
      <c r="J1228" s="1" t="s">
        <v>303</v>
      </c>
      <c r="K1228" s="6" t="str">
        <f>"1.801,38"</f>
        <v>1.801,38</v>
      </c>
      <c r="L1228" s="6" t="str">
        <f>"450,35"</f>
        <v>450,35</v>
      </c>
      <c r="M1228" s="6" t="str">
        <f>"2.251,73"</f>
        <v>2.251,73</v>
      </c>
      <c r="N1228" s="5">
        <v>43571</v>
      </c>
      <c r="O1228" s="7"/>
      <c r="P1228" s="6" t="str">
        <f>"2.251,72"</f>
        <v>2.251,72</v>
      </c>
      <c r="Q1228" s="7"/>
      <c r="R1228" s="1"/>
      <c r="S1228" s="1" t="str">
        <f>"19-19/NOS-132-A/17"</f>
        <v>19-19/NOS-132-A/17</v>
      </c>
      <c r="T1228" s="2" t="s">
        <v>33</v>
      </c>
    </row>
    <row r="1229" spans="1:20" ht="25.5" x14ac:dyDescent="0.25">
      <c r="A1229" s="1">
        <v>1225</v>
      </c>
      <c r="B1229" s="1" t="str">
        <f t="shared" si="121"/>
        <v>2017-390</v>
      </c>
      <c r="C1229" s="2" t="s">
        <v>883</v>
      </c>
      <c r="D1229" s="1" t="s">
        <v>382</v>
      </c>
      <c r="E1229" s="3" t="str">
        <f>""</f>
        <v/>
      </c>
      <c r="F1229" s="2" t="s">
        <v>27</v>
      </c>
      <c r="G1229" s="2" t="str">
        <f t="shared" si="122"/>
        <v>M.B. AUTO  d.o.o., KOLEDOVČINA 8, 10000 ZAGREB, OIB: 8902734372</v>
      </c>
      <c r="H1229" s="4"/>
      <c r="I1229" s="1" t="s">
        <v>343</v>
      </c>
      <c r="J1229" s="1" t="s">
        <v>303</v>
      </c>
      <c r="K1229" s="6" t="str">
        <f>"1.916,96"</f>
        <v>1.916,96</v>
      </c>
      <c r="L1229" s="6" t="str">
        <f>"479,24"</f>
        <v>479,24</v>
      </c>
      <c r="M1229" s="6" t="str">
        <f>"2.396,20"</f>
        <v>2.396,20</v>
      </c>
      <c r="N1229" s="5">
        <v>43565</v>
      </c>
      <c r="O1229" s="7"/>
      <c r="P1229" s="6" t="str">
        <f>"2.396,20"</f>
        <v>2.396,20</v>
      </c>
      <c r="Q1229" s="7"/>
      <c r="R1229" s="1"/>
      <c r="S1229" s="1" t="str">
        <f>"20-19/NOS-132-A/17"</f>
        <v>20-19/NOS-132-A/17</v>
      </c>
      <c r="T1229" s="2" t="s">
        <v>33</v>
      </c>
    </row>
    <row r="1230" spans="1:20" ht="25.5" x14ac:dyDescent="0.25">
      <c r="A1230" s="1">
        <v>1226</v>
      </c>
      <c r="B1230" s="1" t="str">
        <f t="shared" si="121"/>
        <v>2017-390</v>
      </c>
      <c r="C1230" s="2" t="s">
        <v>883</v>
      </c>
      <c r="D1230" s="1" t="s">
        <v>382</v>
      </c>
      <c r="E1230" s="3" t="str">
        <f>""</f>
        <v/>
      </c>
      <c r="F1230" s="2" t="s">
        <v>27</v>
      </c>
      <c r="G1230" s="2" t="str">
        <f t="shared" si="122"/>
        <v>M.B. AUTO  d.o.o., KOLEDOVČINA 8, 10000 ZAGREB, OIB: 8902734372</v>
      </c>
      <c r="H1230" s="4"/>
      <c r="I1230" s="1" t="s">
        <v>30</v>
      </c>
      <c r="J1230" s="1" t="s">
        <v>303</v>
      </c>
      <c r="K1230" s="6" t="str">
        <f>"24.078,95"</f>
        <v>24.078,95</v>
      </c>
      <c r="L1230" s="6" t="str">
        <f>"6.019,74"</f>
        <v>6.019,74</v>
      </c>
      <c r="M1230" s="6" t="str">
        <f>"30.098,69"</f>
        <v>30.098,69</v>
      </c>
      <c r="N1230" s="5">
        <v>43570</v>
      </c>
      <c r="O1230" s="7"/>
      <c r="P1230" s="6" t="str">
        <f>"30.098,69"</f>
        <v>30.098,69</v>
      </c>
      <c r="Q1230" s="7"/>
      <c r="R1230" s="1"/>
      <c r="S1230" s="1" t="str">
        <f>"22-19/NOS-132-A/17"</f>
        <v>22-19/NOS-132-A/17</v>
      </c>
      <c r="T1230" s="2" t="s">
        <v>29</v>
      </c>
    </row>
    <row r="1231" spans="1:20" ht="25.5" x14ac:dyDescent="0.25">
      <c r="A1231" s="1">
        <v>1227</v>
      </c>
      <c r="B1231" s="1" t="str">
        <f t="shared" si="121"/>
        <v>2017-390</v>
      </c>
      <c r="C1231" s="2" t="s">
        <v>883</v>
      </c>
      <c r="D1231" s="1" t="s">
        <v>382</v>
      </c>
      <c r="E1231" s="3" t="str">
        <f>""</f>
        <v/>
      </c>
      <c r="F1231" s="2" t="s">
        <v>27</v>
      </c>
      <c r="G1231" s="2" t="str">
        <f t="shared" si="122"/>
        <v>M.B. AUTO  d.o.o., KOLEDOVČINA 8, 10000 ZAGREB, OIB: 8902734372</v>
      </c>
      <c r="H1231" s="4"/>
      <c r="I1231" s="1" t="s">
        <v>30</v>
      </c>
      <c r="J1231" s="1" t="s">
        <v>303</v>
      </c>
      <c r="K1231" s="6" t="str">
        <f>"6.682,05"</f>
        <v>6.682,05</v>
      </c>
      <c r="L1231" s="6" t="str">
        <f>"1.670,51"</f>
        <v>1.670,51</v>
      </c>
      <c r="M1231" s="6" t="str">
        <f>"8.352,56"</f>
        <v>8.352,56</v>
      </c>
      <c r="N1231" s="5">
        <v>43584</v>
      </c>
      <c r="O1231" s="7"/>
      <c r="P1231" s="6" t="str">
        <f>"8.352,56"</f>
        <v>8.352,56</v>
      </c>
      <c r="Q1231" s="7"/>
      <c r="R1231" s="1"/>
      <c r="S1231" s="1" t="str">
        <f>"23-19/NOS-132-A/17"</f>
        <v>23-19/NOS-132-A/17</v>
      </c>
      <c r="T1231" s="2" t="s">
        <v>33</v>
      </c>
    </row>
    <row r="1232" spans="1:20" ht="25.5" x14ac:dyDescent="0.25">
      <c r="A1232" s="1">
        <v>1228</v>
      </c>
      <c r="B1232" s="1" t="str">
        <f t="shared" si="121"/>
        <v>2017-390</v>
      </c>
      <c r="C1232" s="2" t="s">
        <v>883</v>
      </c>
      <c r="D1232" s="1" t="s">
        <v>382</v>
      </c>
      <c r="E1232" s="3" t="str">
        <f>""</f>
        <v/>
      </c>
      <c r="F1232" s="2" t="s">
        <v>27</v>
      </c>
      <c r="G1232" s="2" t="str">
        <f t="shared" si="122"/>
        <v>M.B. AUTO  d.o.o., KOLEDOVČINA 8, 10000 ZAGREB, OIB: 8902734372</v>
      </c>
      <c r="H1232" s="4"/>
      <c r="I1232" s="1" t="s">
        <v>266</v>
      </c>
      <c r="J1232" s="1" t="s">
        <v>303</v>
      </c>
      <c r="K1232" s="6" t="str">
        <f>"239,68"</f>
        <v>239,68</v>
      </c>
      <c r="L1232" s="6" t="str">
        <f>"12,48"</f>
        <v>12,48</v>
      </c>
      <c r="M1232" s="6" t="str">
        <f>"62,40"</f>
        <v>62,40</v>
      </c>
      <c r="N1232" s="5">
        <v>43585</v>
      </c>
      <c r="O1232" s="7"/>
      <c r="P1232" s="6" t="str">
        <f>"62,40"</f>
        <v>62,40</v>
      </c>
      <c r="Q1232" s="7"/>
      <c r="R1232" s="1"/>
      <c r="S1232" s="1" t="str">
        <f>"24-19/NOS-132-A/17"</f>
        <v>24-19/NOS-132-A/17</v>
      </c>
      <c r="T1232" s="2" t="s">
        <v>33</v>
      </c>
    </row>
    <row r="1233" spans="1:20" ht="25.5" x14ac:dyDescent="0.25">
      <c r="A1233" s="1">
        <v>1229</v>
      </c>
      <c r="B1233" s="1" t="str">
        <f t="shared" si="121"/>
        <v>2017-390</v>
      </c>
      <c r="C1233" s="2" t="s">
        <v>883</v>
      </c>
      <c r="D1233" s="1" t="s">
        <v>382</v>
      </c>
      <c r="E1233" s="3" t="str">
        <f>""</f>
        <v/>
      </c>
      <c r="F1233" s="2" t="s">
        <v>27</v>
      </c>
      <c r="G1233" s="2" t="str">
        <f t="shared" si="122"/>
        <v>M.B. AUTO  d.o.o., KOLEDOVČINA 8, 10000 ZAGREB, OIB: 8902734372</v>
      </c>
      <c r="H1233" s="4"/>
      <c r="I1233" s="1" t="s">
        <v>318</v>
      </c>
      <c r="J1233" s="1" t="s">
        <v>303</v>
      </c>
      <c r="K1233" s="6" t="str">
        <f>"542,88"</f>
        <v>542,88</v>
      </c>
      <c r="L1233" s="6" t="str">
        <f>"135,72"</f>
        <v>135,72</v>
      </c>
      <c r="M1233" s="6" t="str">
        <f>"678,60"</f>
        <v>678,60</v>
      </c>
      <c r="N1233" s="5">
        <v>43580</v>
      </c>
      <c r="O1233" s="7"/>
      <c r="P1233" s="6" t="str">
        <f>"678,60"</f>
        <v>678,60</v>
      </c>
      <c r="Q1233" s="7"/>
      <c r="R1233" s="1"/>
      <c r="S1233" s="1" t="str">
        <f>"25-19/NOS-132-A/17"</f>
        <v>25-19/NOS-132-A/17</v>
      </c>
      <c r="T1233" s="2" t="s">
        <v>33</v>
      </c>
    </row>
    <row r="1234" spans="1:20" ht="25.5" x14ac:dyDescent="0.25">
      <c r="A1234" s="1">
        <v>1230</v>
      </c>
      <c r="B1234" s="1" t="str">
        <f t="shared" si="121"/>
        <v>2017-390</v>
      </c>
      <c r="C1234" s="2" t="s">
        <v>883</v>
      </c>
      <c r="D1234" s="1" t="s">
        <v>382</v>
      </c>
      <c r="E1234" s="3" t="str">
        <f>""</f>
        <v/>
      </c>
      <c r="F1234" s="2" t="s">
        <v>27</v>
      </c>
      <c r="G1234" s="2" t="str">
        <f t="shared" si="122"/>
        <v>M.B. AUTO  d.o.o., KOLEDOVČINA 8, 10000 ZAGREB, OIB: 8902734372</v>
      </c>
      <c r="H1234" s="4"/>
      <c r="I1234" s="1" t="s">
        <v>318</v>
      </c>
      <c r="J1234" s="1" t="s">
        <v>303</v>
      </c>
      <c r="K1234" s="6" t="str">
        <f>"11.199,32"</f>
        <v>11.199,32</v>
      </c>
      <c r="L1234" s="6" t="str">
        <f>"2.799,83"</f>
        <v>2.799,83</v>
      </c>
      <c r="M1234" s="6" t="str">
        <f>"13.999,15"</f>
        <v>13.999,15</v>
      </c>
      <c r="N1234" s="5">
        <v>43598</v>
      </c>
      <c r="O1234" s="7"/>
      <c r="P1234" s="6" t="str">
        <f>"13.999,15"</f>
        <v>13.999,15</v>
      </c>
      <c r="Q1234" s="7"/>
      <c r="R1234" s="1"/>
      <c r="S1234" s="1" t="str">
        <f>"26-19/NOS-132-A/17"</f>
        <v>26-19/NOS-132-A/17</v>
      </c>
      <c r="T1234" s="2" t="s">
        <v>33</v>
      </c>
    </row>
    <row r="1235" spans="1:20" ht="25.5" x14ac:dyDescent="0.25">
      <c r="A1235" s="1">
        <v>1231</v>
      </c>
      <c r="B1235" s="1" t="str">
        <f t="shared" si="121"/>
        <v>2017-390</v>
      </c>
      <c r="C1235" s="2" t="s">
        <v>883</v>
      </c>
      <c r="D1235" s="1" t="s">
        <v>382</v>
      </c>
      <c r="E1235" s="3" t="str">
        <f>""</f>
        <v/>
      </c>
      <c r="F1235" s="2" t="s">
        <v>27</v>
      </c>
      <c r="G1235" s="2" t="str">
        <f t="shared" si="122"/>
        <v>M.B. AUTO  d.o.o., KOLEDOVČINA 8, 10000 ZAGREB, OIB: 8902734372</v>
      </c>
      <c r="H1235" s="4"/>
      <c r="I1235" s="1" t="s">
        <v>329</v>
      </c>
      <c r="J1235" s="1" t="s">
        <v>303</v>
      </c>
      <c r="K1235" s="6" t="str">
        <f>"14.558,71"</f>
        <v>14.558,71</v>
      </c>
      <c r="L1235" s="6" t="str">
        <f>"3.639,68"</f>
        <v>3.639,68</v>
      </c>
      <c r="M1235" s="6" t="str">
        <f>"18.198,39"</f>
        <v>18.198,39</v>
      </c>
      <c r="N1235" s="5">
        <v>43585</v>
      </c>
      <c r="O1235" s="7"/>
      <c r="P1235" s="6" t="str">
        <f>"18.198,39"</f>
        <v>18.198,39</v>
      </c>
      <c r="Q1235" s="7"/>
      <c r="R1235" s="1"/>
      <c r="S1235" s="1" t="str">
        <f>"27-19/NOS-132-A/17"</f>
        <v>27-19/NOS-132-A/17</v>
      </c>
      <c r="T1235" s="2" t="s">
        <v>33</v>
      </c>
    </row>
    <row r="1236" spans="1:20" ht="25.5" x14ac:dyDescent="0.25">
      <c r="A1236" s="1">
        <v>1232</v>
      </c>
      <c r="B1236" s="1" t="str">
        <f t="shared" si="121"/>
        <v>2017-390</v>
      </c>
      <c r="C1236" s="2" t="s">
        <v>883</v>
      </c>
      <c r="D1236" s="1" t="s">
        <v>382</v>
      </c>
      <c r="E1236" s="3" t="str">
        <f>""</f>
        <v/>
      </c>
      <c r="F1236" s="2" t="s">
        <v>27</v>
      </c>
      <c r="G1236" s="2" t="str">
        <f t="shared" si="122"/>
        <v>M.B. AUTO  d.o.o., KOLEDOVČINA 8, 10000 ZAGREB, OIB: 8902734372</v>
      </c>
      <c r="H1236" s="4"/>
      <c r="I1236" s="1" t="s">
        <v>431</v>
      </c>
      <c r="J1236" s="1" t="s">
        <v>303</v>
      </c>
      <c r="K1236" s="6" t="str">
        <f>"697,01"</f>
        <v>697,01</v>
      </c>
      <c r="L1236" s="6" t="str">
        <f>"174,25"</f>
        <v>174,25</v>
      </c>
      <c r="M1236" s="6" t="str">
        <f>"871,26"</f>
        <v>871,26</v>
      </c>
      <c r="N1236" s="5">
        <v>43598</v>
      </c>
      <c r="O1236" s="7"/>
      <c r="P1236" s="6" t="str">
        <f>"871,26"</f>
        <v>871,26</v>
      </c>
      <c r="Q1236" s="7"/>
      <c r="R1236" s="1"/>
      <c r="S1236" s="1" t="str">
        <f>"28-19/NOS-132-A/17"</f>
        <v>28-19/NOS-132-A/17</v>
      </c>
      <c r="T1236" s="2" t="s">
        <v>33</v>
      </c>
    </row>
    <row r="1237" spans="1:20" ht="25.5" x14ac:dyDescent="0.25">
      <c r="A1237" s="1">
        <v>1233</v>
      </c>
      <c r="B1237" s="1" t="str">
        <f t="shared" si="121"/>
        <v>2017-390</v>
      </c>
      <c r="C1237" s="2" t="s">
        <v>883</v>
      </c>
      <c r="D1237" s="1" t="s">
        <v>382</v>
      </c>
      <c r="E1237" s="3" t="str">
        <f>""</f>
        <v/>
      </c>
      <c r="F1237" s="2" t="s">
        <v>27</v>
      </c>
      <c r="G1237" s="2" t="str">
        <f t="shared" si="122"/>
        <v>M.B. AUTO  d.o.o., KOLEDOVČINA 8, 10000 ZAGREB, OIB: 8902734372</v>
      </c>
      <c r="H1237" s="4"/>
      <c r="I1237" s="1" t="s">
        <v>64</v>
      </c>
      <c r="J1237" s="1" t="s">
        <v>303</v>
      </c>
      <c r="K1237" s="6" t="str">
        <f>"1.087,84"</f>
        <v>1.087,84</v>
      </c>
      <c r="L1237" s="6" t="str">
        <f>"271,96"</f>
        <v>271,96</v>
      </c>
      <c r="M1237" s="6" t="str">
        <f>"1.359,80"</f>
        <v>1.359,80</v>
      </c>
      <c r="N1237" s="5">
        <v>43592</v>
      </c>
      <c r="O1237" s="7"/>
      <c r="P1237" s="6" t="str">
        <f>"1.359,80"</f>
        <v>1.359,80</v>
      </c>
      <c r="Q1237" s="7"/>
      <c r="R1237" s="1"/>
      <c r="S1237" s="1" t="str">
        <f>"29-19/NOS-132-A/17"</f>
        <v>29-19/NOS-132-A/17</v>
      </c>
      <c r="T1237" s="2" t="s">
        <v>33</v>
      </c>
    </row>
    <row r="1238" spans="1:20" ht="25.5" x14ac:dyDescent="0.25">
      <c r="A1238" s="1">
        <v>1234</v>
      </c>
      <c r="B1238" s="1" t="str">
        <f t="shared" si="121"/>
        <v>2017-390</v>
      </c>
      <c r="C1238" s="2" t="s">
        <v>883</v>
      </c>
      <c r="D1238" s="1" t="s">
        <v>382</v>
      </c>
      <c r="E1238" s="3" t="str">
        <f>""</f>
        <v/>
      </c>
      <c r="F1238" s="2" t="s">
        <v>27</v>
      </c>
      <c r="G1238" s="2" t="str">
        <f t="shared" si="122"/>
        <v>M.B. AUTO  d.o.o., KOLEDOVČINA 8, 10000 ZAGREB, OIB: 8902734372</v>
      </c>
      <c r="H1238" s="4"/>
      <c r="I1238" s="1" t="s">
        <v>321</v>
      </c>
      <c r="J1238" s="1" t="s">
        <v>303</v>
      </c>
      <c r="K1238" s="6" t="str">
        <f>"7.558,48"</f>
        <v>7.558,48</v>
      </c>
      <c r="L1238" s="6" t="str">
        <f>"1.889,62"</f>
        <v>1.889,62</v>
      </c>
      <c r="M1238" s="6" t="str">
        <f>"9.448,10"</f>
        <v>9.448,10</v>
      </c>
      <c r="N1238" s="5">
        <v>43595</v>
      </c>
      <c r="O1238" s="7"/>
      <c r="P1238" s="6" t="str">
        <f>"9.448,10"</f>
        <v>9.448,10</v>
      </c>
      <c r="Q1238" s="7"/>
      <c r="R1238" s="1"/>
      <c r="S1238" s="1" t="str">
        <f>"30-19/NOS-132-A/17"</f>
        <v>30-19/NOS-132-A/17</v>
      </c>
      <c r="T1238" s="2" t="s">
        <v>33</v>
      </c>
    </row>
    <row r="1239" spans="1:20" ht="25.5" x14ac:dyDescent="0.25">
      <c r="A1239" s="1">
        <v>1235</v>
      </c>
      <c r="B1239" s="1" t="str">
        <f t="shared" si="121"/>
        <v>2017-390</v>
      </c>
      <c r="C1239" s="2" t="s">
        <v>883</v>
      </c>
      <c r="D1239" s="1" t="s">
        <v>382</v>
      </c>
      <c r="E1239" s="3" t="str">
        <f>""</f>
        <v/>
      </c>
      <c r="F1239" s="2" t="s">
        <v>27</v>
      </c>
      <c r="G1239" s="2" t="str">
        <f t="shared" si="122"/>
        <v>M.B. AUTO  d.o.o., KOLEDOVČINA 8, 10000 ZAGREB, OIB: 8902734372</v>
      </c>
      <c r="H1239" s="4"/>
      <c r="I1239" s="1" t="s">
        <v>401</v>
      </c>
      <c r="J1239" s="1" t="s">
        <v>303</v>
      </c>
      <c r="K1239" s="6" t="str">
        <f>"7.260,32"</f>
        <v>7.260,32</v>
      </c>
      <c r="L1239" s="6" t="str">
        <f>"1.815,08"</f>
        <v>1.815,08</v>
      </c>
      <c r="M1239" s="6" t="str">
        <f>"9.075,40"</f>
        <v>9.075,40</v>
      </c>
      <c r="N1239" s="5">
        <v>43599</v>
      </c>
      <c r="O1239" s="7"/>
      <c r="P1239" s="6" t="str">
        <f>"9.075,40"</f>
        <v>9.075,40</v>
      </c>
      <c r="Q1239" s="7"/>
      <c r="R1239" s="1"/>
      <c r="S1239" s="1" t="str">
        <f>"31-19/NOS-132-A/17"</f>
        <v>31-19/NOS-132-A/17</v>
      </c>
      <c r="T1239" s="2" t="s">
        <v>33</v>
      </c>
    </row>
    <row r="1240" spans="1:20" ht="25.5" x14ac:dyDescent="0.25">
      <c r="A1240" s="1">
        <v>1236</v>
      </c>
      <c r="B1240" s="1" t="str">
        <f t="shared" si="121"/>
        <v>2017-390</v>
      </c>
      <c r="C1240" s="2" t="s">
        <v>883</v>
      </c>
      <c r="D1240" s="1" t="s">
        <v>382</v>
      </c>
      <c r="E1240" s="3" t="str">
        <f>""</f>
        <v/>
      </c>
      <c r="F1240" s="2" t="s">
        <v>27</v>
      </c>
      <c r="G1240" s="2" t="str">
        <f t="shared" si="122"/>
        <v>M.B. AUTO  d.o.o., KOLEDOVČINA 8, 10000 ZAGREB, OIB: 8902734372</v>
      </c>
      <c r="H1240" s="4"/>
      <c r="I1240" s="1" t="s">
        <v>464</v>
      </c>
      <c r="J1240" s="1" t="s">
        <v>303</v>
      </c>
      <c r="K1240" s="6" t="str">
        <f>"437,81"</f>
        <v>437,81</v>
      </c>
      <c r="L1240" s="6" t="str">
        <f>"109,45"</f>
        <v>109,45</v>
      </c>
      <c r="M1240" s="6" t="str">
        <f>"547,26"</f>
        <v>547,26</v>
      </c>
      <c r="N1240" s="5">
        <v>43602</v>
      </c>
      <c r="O1240" s="7"/>
      <c r="P1240" s="6" t="str">
        <f>"547,26"</f>
        <v>547,26</v>
      </c>
      <c r="Q1240" s="7"/>
      <c r="R1240" s="1"/>
      <c r="S1240" s="1" t="str">
        <f>"32-19/NOS-132-A/17"</f>
        <v>32-19/NOS-132-A/17</v>
      </c>
      <c r="T1240" s="2" t="s">
        <v>33</v>
      </c>
    </row>
    <row r="1241" spans="1:20" ht="25.5" x14ac:dyDescent="0.25">
      <c r="A1241" s="1">
        <v>1237</v>
      </c>
      <c r="B1241" s="1" t="str">
        <f t="shared" ref="B1241:B1272" si="123">"2017-390"</f>
        <v>2017-390</v>
      </c>
      <c r="C1241" s="2" t="s">
        <v>883</v>
      </c>
      <c r="D1241" s="1" t="s">
        <v>382</v>
      </c>
      <c r="E1241" s="3" t="str">
        <f>""</f>
        <v/>
      </c>
      <c r="F1241" s="2" t="s">
        <v>27</v>
      </c>
      <c r="G1241" s="2" t="str">
        <f t="shared" ref="G1241:G1272" si="124">CONCATENATE("M.B. AUTO  d.o.o.,"," KOLEDOVČINA 8,"," 10000 ZAGREB,"," OIB: 8902734372")</f>
        <v>M.B. AUTO  d.o.o., KOLEDOVČINA 8, 10000 ZAGREB, OIB: 8902734372</v>
      </c>
      <c r="H1241" s="4"/>
      <c r="I1241" s="1" t="s">
        <v>590</v>
      </c>
      <c r="J1241" s="1" t="s">
        <v>303</v>
      </c>
      <c r="K1241" s="6" t="str">
        <f>"2.896,02"</f>
        <v>2.896,02</v>
      </c>
      <c r="L1241" s="6" t="str">
        <f>"724,01"</f>
        <v>724,01</v>
      </c>
      <c r="M1241" s="6" t="str">
        <f>"3.620,03"</f>
        <v>3.620,03</v>
      </c>
      <c r="N1241" s="5">
        <v>43607</v>
      </c>
      <c r="O1241" s="7"/>
      <c r="P1241" s="6" t="str">
        <f>"3.620,02"</f>
        <v>3.620,02</v>
      </c>
      <c r="Q1241" s="7"/>
      <c r="R1241" s="1"/>
      <c r="S1241" s="1" t="str">
        <f>"33-19/NOS-132-A/17"</f>
        <v>33-19/NOS-132-A/17</v>
      </c>
      <c r="T1241" s="2" t="s">
        <v>29</v>
      </c>
    </row>
    <row r="1242" spans="1:20" ht="25.5" x14ac:dyDescent="0.25">
      <c r="A1242" s="1">
        <v>1238</v>
      </c>
      <c r="B1242" s="1" t="str">
        <f t="shared" si="123"/>
        <v>2017-390</v>
      </c>
      <c r="C1242" s="2" t="s">
        <v>883</v>
      </c>
      <c r="D1242" s="1" t="s">
        <v>382</v>
      </c>
      <c r="E1242" s="3" t="str">
        <f>""</f>
        <v/>
      </c>
      <c r="F1242" s="2" t="s">
        <v>27</v>
      </c>
      <c r="G1242" s="2" t="str">
        <f t="shared" si="124"/>
        <v>M.B. AUTO  d.o.o., KOLEDOVČINA 8, 10000 ZAGREB, OIB: 8902734372</v>
      </c>
      <c r="H1242" s="4"/>
      <c r="I1242" s="1" t="s">
        <v>464</v>
      </c>
      <c r="J1242" s="1" t="s">
        <v>303</v>
      </c>
      <c r="K1242" s="6" t="str">
        <f>"585,83"</f>
        <v>585,83</v>
      </c>
      <c r="L1242" s="6" t="str">
        <f>"146,46"</f>
        <v>146,46</v>
      </c>
      <c r="M1242" s="6" t="str">
        <f>"732,29"</f>
        <v>732,29</v>
      </c>
      <c r="N1242" s="5">
        <v>43616</v>
      </c>
      <c r="O1242" s="7"/>
      <c r="P1242" s="6" t="str">
        <f>"732,29"</f>
        <v>732,29</v>
      </c>
      <c r="Q1242" s="7"/>
      <c r="R1242" s="1"/>
      <c r="S1242" s="1" t="str">
        <f>"34-19/NOS-132-A/17"</f>
        <v>34-19/NOS-132-A/17</v>
      </c>
      <c r="T1242" s="2" t="s">
        <v>33</v>
      </c>
    </row>
    <row r="1243" spans="1:20" ht="25.5" x14ac:dyDescent="0.25">
      <c r="A1243" s="1">
        <v>1239</v>
      </c>
      <c r="B1243" s="1" t="str">
        <f t="shared" si="123"/>
        <v>2017-390</v>
      </c>
      <c r="C1243" s="2" t="s">
        <v>883</v>
      </c>
      <c r="D1243" s="1" t="s">
        <v>382</v>
      </c>
      <c r="E1243" s="3" t="str">
        <f>""</f>
        <v/>
      </c>
      <c r="F1243" s="2" t="s">
        <v>27</v>
      </c>
      <c r="G1243" s="2" t="str">
        <f t="shared" si="124"/>
        <v>M.B. AUTO  d.o.o., KOLEDOVČINA 8, 10000 ZAGREB, OIB: 8902734372</v>
      </c>
      <c r="H1243" s="4"/>
      <c r="I1243" s="1" t="s">
        <v>590</v>
      </c>
      <c r="J1243" s="1" t="s">
        <v>303</v>
      </c>
      <c r="K1243" s="6" t="str">
        <f>"3.444,68"</f>
        <v>3.444,68</v>
      </c>
      <c r="L1243" s="6" t="str">
        <f>"861,17"</f>
        <v>861,17</v>
      </c>
      <c r="M1243" s="6" t="str">
        <f>"4.305,85"</f>
        <v>4.305,85</v>
      </c>
      <c r="N1243" s="5">
        <v>43623</v>
      </c>
      <c r="O1243" s="7"/>
      <c r="P1243" s="6" t="str">
        <f>"4.305,85"</f>
        <v>4.305,85</v>
      </c>
      <c r="Q1243" s="7"/>
      <c r="R1243" s="1"/>
      <c r="S1243" s="1" t="str">
        <f>"35-19/NOS-132-A/17"</f>
        <v>35-19/NOS-132-A/17</v>
      </c>
      <c r="T1243" s="2" t="s">
        <v>33</v>
      </c>
    </row>
    <row r="1244" spans="1:20" ht="25.5" x14ac:dyDescent="0.25">
      <c r="A1244" s="1">
        <v>1240</v>
      </c>
      <c r="B1244" s="1" t="str">
        <f t="shared" si="123"/>
        <v>2017-390</v>
      </c>
      <c r="C1244" s="2" t="s">
        <v>883</v>
      </c>
      <c r="D1244" s="1" t="s">
        <v>382</v>
      </c>
      <c r="E1244" s="3" t="str">
        <f>""</f>
        <v/>
      </c>
      <c r="F1244" s="2" t="s">
        <v>27</v>
      </c>
      <c r="G1244" s="2" t="str">
        <f t="shared" si="124"/>
        <v>M.B. AUTO  d.o.o., KOLEDOVČINA 8, 10000 ZAGREB, OIB: 8902734372</v>
      </c>
      <c r="H1244" s="4"/>
      <c r="I1244" s="1" t="s">
        <v>590</v>
      </c>
      <c r="J1244" s="1" t="s">
        <v>303</v>
      </c>
      <c r="K1244" s="6" t="str">
        <f>"753,14"</f>
        <v>753,14</v>
      </c>
      <c r="L1244" s="6" t="str">
        <f>"0,00"</f>
        <v>0,00</v>
      </c>
      <c r="M1244" s="6" t="str">
        <f>"0,00"</f>
        <v>0,00</v>
      </c>
      <c r="N1244" s="1" t="s">
        <v>117</v>
      </c>
      <c r="O1244" s="7"/>
      <c r="P1244" s="6" t="str">
        <f>"0,00"</f>
        <v>0,00</v>
      </c>
      <c r="Q1244" s="7"/>
      <c r="R1244" s="1"/>
      <c r="S1244" s="1" t="str">
        <f>"36-19/NOS-132-A/17"</f>
        <v>36-19/NOS-132-A/17</v>
      </c>
      <c r="T1244" s="2" t="s">
        <v>33</v>
      </c>
    </row>
    <row r="1245" spans="1:20" ht="25.5" x14ac:dyDescent="0.25">
      <c r="A1245" s="1">
        <v>1241</v>
      </c>
      <c r="B1245" s="1" t="str">
        <f t="shared" si="123"/>
        <v>2017-390</v>
      </c>
      <c r="C1245" s="2" t="s">
        <v>883</v>
      </c>
      <c r="D1245" s="1" t="s">
        <v>382</v>
      </c>
      <c r="E1245" s="3" t="str">
        <f>""</f>
        <v/>
      </c>
      <c r="F1245" s="2" t="s">
        <v>27</v>
      </c>
      <c r="G1245" s="2" t="str">
        <f t="shared" si="124"/>
        <v>M.B. AUTO  d.o.o., KOLEDOVČINA 8, 10000 ZAGREB, OIB: 8902734372</v>
      </c>
      <c r="H1245" s="4"/>
      <c r="I1245" s="1" t="s">
        <v>641</v>
      </c>
      <c r="J1245" s="1" t="s">
        <v>303</v>
      </c>
      <c r="K1245" s="6" t="str">
        <f>"684,00"</f>
        <v>684,00</v>
      </c>
      <c r="L1245" s="6" t="str">
        <f>"171,00"</f>
        <v>171,00</v>
      </c>
      <c r="M1245" s="6" t="str">
        <f>"855,00"</f>
        <v>855,00</v>
      </c>
      <c r="N1245" s="5">
        <v>43599</v>
      </c>
      <c r="O1245" s="7"/>
      <c r="P1245" s="6" t="str">
        <f>"855,00"</f>
        <v>855,00</v>
      </c>
      <c r="Q1245" s="7"/>
      <c r="R1245" s="1"/>
      <c r="S1245" s="1" t="str">
        <f>"37-19/NOS-132-A/17"</f>
        <v>37-19/NOS-132-A/17</v>
      </c>
      <c r="T1245" s="2" t="s">
        <v>33</v>
      </c>
    </row>
    <row r="1246" spans="1:20" ht="25.5" x14ac:dyDescent="0.25">
      <c r="A1246" s="1">
        <v>1242</v>
      </c>
      <c r="B1246" s="1" t="str">
        <f t="shared" si="123"/>
        <v>2017-390</v>
      </c>
      <c r="C1246" s="2" t="s">
        <v>883</v>
      </c>
      <c r="D1246" s="1" t="s">
        <v>382</v>
      </c>
      <c r="E1246" s="3" t="str">
        <f>""</f>
        <v/>
      </c>
      <c r="F1246" s="2" t="s">
        <v>27</v>
      </c>
      <c r="G1246" s="2" t="str">
        <f t="shared" si="124"/>
        <v>M.B. AUTO  d.o.o., KOLEDOVČINA 8, 10000 ZAGREB, OIB: 8902734372</v>
      </c>
      <c r="H1246" s="4"/>
      <c r="I1246" s="1" t="s">
        <v>641</v>
      </c>
      <c r="J1246" s="1" t="s">
        <v>303</v>
      </c>
      <c r="K1246" s="6" t="str">
        <f>"680,80"</f>
        <v>680,80</v>
      </c>
      <c r="L1246" s="6" t="str">
        <f>"170,20"</f>
        <v>170,20</v>
      </c>
      <c r="M1246" s="6" t="str">
        <f>"851,00"</f>
        <v>851,00</v>
      </c>
      <c r="N1246" s="5">
        <v>43607</v>
      </c>
      <c r="O1246" s="7"/>
      <c r="P1246" s="6" t="str">
        <f>"851,00"</f>
        <v>851,00</v>
      </c>
      <c r="Q1246" s="7"/>
      <c r="R1246" s="1"/>
      <c r="S1246" s="1" t="str">
        <f>"38-19/NOS-132-A/17"</f>
        <v>38-19/NOS-132-A/17</v>
      </c>
      <c r="T1246" s="2" t="s">
        <v>33</v>
      </c>
    </row>
    <row r="1247" spans="1:20" ht="25.5" x14ac:dyDescent="0.25">
      <c r="A1247" s="1">
        <v>1243</v>
      </c>
      <c r="B1247" s="1" t="str">
        <f t="shared" si="123"/>
        <v>2017-390</v>
      </c>
      <c r="C1247" s="2" t="s">
        <v>883</v>
      </c>
      <c r="D1247" s="1" t="s">
        <v>382</v>
      </c>
      <c r="E1247" s="3" t="str">
        <f>""</f>
        <v/>
      </c>
      <c r="F1247" s="2" t="s">
        <v>27</v>
      </c>
      <c r="G1247" s="2" t="str">
        <f t="shared" si="124"/>
        <v>M.B. AUTO  d.o.o., KOLEDOVČINA 8, 10000 ZAGREB, OIB: 8902734372</v>
      </c>
      <c r="H1247" s="4"/>
      <c r="I1247" s="1" t="s">
        <v>334</v>
      </c>
      <c r="J1247" s="1" t="s">
        <v>303</v>
      </c>
      <c r="K1247" s="6" t="str">
        <f>"9.858,01"</f>
        <v>9.858,01</v>
      </c>
      <c r="L1247" s="6" t="str">
        <f>"2.464,50"</f>
        <v>2.464,50</v>
      </c>
      <c r="M1247" s="6" t="str">
        <f>"12.322,51"</f>
        <v>12.322,51</v>
      </c>
      <c r="N1247" s="5">
        <v>43609</v>
      </c>
      <c r="O1247" s="7"/>
      <c r="P1247" s="6" t="str">
        <f>"12.322,51"</f>
        <v>12.322,51</v>
      </c>
      <c r="Q1247" s="7"/>
      <c r="R1247" s="1"/>
      <c r="S1247" s="1" t="str">
        <f>"39-19/NOS-132-A/17"</f>
        <v>39-19/NOS-132-A/17</v>
      </c>
      <c r="T1247" s="2" t="s">
        <v>33</v>
      </c>
    </row>
    <row r="1248" spans="1:20" ht="25.5" x14ac:dyDescent="0.25">
      <c r="A1248" s="1">
        <v>1244</v>
      </c>
      <c r="B1248" s="1" t="str">
        <f t="shared" si="123"/>
        <v>2017-390</v>
      </c>
      <c r="C1248" s="2" t="s">
        <v>883</v>
      </c>
      <c r="D1248" s="1" t="s">
        <v>382</v>
      </c>
      <c r="E1248" s="3" t="str">
        <f>""</f>
        <v/>
      </c>
      <c r="F1248" s="2" t="s">
        <v>27</v>
      </c>
      <c r="G1248" s="2" t="str">
        <f t="shared" si="124"/>
        <v>M.B. AUTO  d.o.o., KOLEDOVČINA 8, 10000 ZAGREB, OIB: 8902734372</v>
      </c>
      <c r="H1248" s="4"/>
      <c r="I1248" s="1" t="s">
        <v>25</v>
      </c>
      <c r="J1248" s="1" t="s">
        <v>303</v>
      </c>
      <c r="K1248" s="6" t="str">
        <f>"16.170,17"</f>
        <v>16.170,17</v>
      </c>
      <c r="L1248" s="6" t="str">
        <f>"4.042,54"</f>
        <v>4.042,54</v>
      </c>
      <c r="M1248" s="6" t="str">
        <f>"20.212,71"</f>
        <v>20.212,71</v>
      </c>
      <c r="N1248" s="5">
        <v>43613</v>
      </c>
      <c r="O1248" s="7"/>
      <c r="P1248" s="6" t="str">
        <f>"20.212,71"</f>
        <v>20.212,71</v>
      </c>
      <c r="Q1248" s="7"/>
      <c r="R1248" s="1"/>
      <c r="S1248" s="1" t="str">
        <f>"40-19/NOS-132-A/17"</f>
        <v>40-19/NOS-132-A/17</v>
      </c>
      <c r="T1248" s="2" t="s">
        <v>33</v>
      </c>
    </row>
    <row r="1249" spans="1:20" ht="25.5" x14ac:dyDescent="0.25">
      <c r="A1249" s="1">
        <v>1245</v>
      </c>
      <c r="B1249" s="1" t="str">
        <f t="shared" si="123"/>
        <v>2017-390</v>
      </c>
      <c r="C1249" s="2" t="s">
        <v>883</v>
      </c>
      <c r="D1249" s="1" t="s">
        <v>382</v>
      </c>
      <c r="E1249" s="3" t="str">
        <f>""</f>
        <v/>
      </c>
      <c r="F1249" s="2" t="s">
        <v>27</v>
      </c>
      <c r="G1249" s="2" t="str">
        <f t="shared" si="124"/>
        <v>M.B. AUTO  d.o.o., KOLEDOVČINA 8, 10000 ZAGREB, OIB: 8902734372</v>
      </c>
      <c r="H1249" s="4"/>
      <c r="I1249" s="1" t="s">
        <v>334</v>
      </c>
      <c r="J1249" s="1" t="s">
        <v>303</v>
      </c>
      <c r="K1249" s="6" t="str">
        <f>"7.106,56"</f>
        <v>7.106,56</v>
      </c>
      <c r="L1249" s="6" t="str">
        <f>"1.776,64"</f>
        <v>1.776,64</v>
      </c>
      <c r="M1249" s="6" t="str">
        <f>"8.883,20"</f>
        <v>8.883,20</v>
      </c>
      <c r="N1249" s="5">
        <v>43609</v>
      </c>
      <c r="O1249" s="7"/>
      <c r="P1249" s="6" t="str">
        <f>"8.883,20"</f>
        <v>8.883,20</v>
      </c>
      <c r="Q1249" s="7"/>
      <c r="R1249" s="1"/>
      <c r="S1249" s="1" t="str">
        <f>"41-19/NOS-132-A/17"</f>
        <v>41-19/NOS-132-A/17</v>
      </c>
      <c r="T1249" s="2" t="s">
        <v>33</v>
      </c>
    </row>
    <row r="1250" spans="1:20" ht="25.5" x14ac:dyDescent="0.25">
      <c r="A1250" s="1">
        <v>1246</v>
      </c>
      <c r="B1250" s="1" t="str">
        <f t="shared" si="123"/>
        <v>2017-390</v>
      </c>
      <c r="C1250" s="2" t="s">
        <v>883</v>
      </c>
      <c r="D1250" s="1" t="s">
        <v>382</v>
      </c>
      <c r="E1250" s="3" t="str">
        <f>""</f>
        <v/>
      </c>
      <c r="F1250" s="2" t="s">
        <v>27</v>
      </c>
      <c r="G1250" s="2" t="str">
        <f t="shared" si="124"/>
        <v>M.B. AUTO  d.o.o., KOLEDOVČINA 8, 10000 ZAGREB, OIB: 8902734372</v>
      </c>
      <c r="H1250" s="4"/>
      <c r="I1250" s="1" t="s">
        <v>25</v>
      </c>
      <c r="J1250" s="1" t="s">
        <v>303</v>
      </c>
      <c r="K1250" s="6" t="str">
        <f>"371,28"</f>
        <v>371,28</v>
      </c>
      <c r="L1250" s="6" t="str">
        <f>"92,82"</f>
        <v>92,82</v>
      </c>
      <c r="M1250" s="6" t="str">
        <f>"464,10"</f>
        <v>464,10</v>
      </c>
      <c r="N1250" s="5">
        <v>43609</v>
      </c>
      <c r="O1250" s="7"/>
      <c r="P1250" s="6" t="str">
        <f>"464,10"</f>
        <v>464,10</v>
      </c>
      <c r="Q1250" s="7"/>
      <c r="R1250" s="1"/>
      <c r="S1250" s="1" t="str">
        <f>"42-19/NOS-132-A/17"</f>
        <v>42-19/NOS-132-A/17</v>
      </c>
      <c r="T1250" s="2" t="s">
        <v>33</v>
      </c>
    </row>
    <row r="1251" spans="1:20" ht="25.5" x14ac:dyDescent="0.25">
      <c r="A1251" s="1">
        <v>1247</v>
      </c>
      <c r="B1251" s="1" t="str">
        <f t="shared" si="123"/>
        <v>2017-390</v>
      </c>
      <c r="C1251" s="2" t="s">
        <v>883</v>
      </c>
      <c r="D1251" s="1" t="s">
        <v>382</v>
      </c>
      <c r="E1251" s="3" t="str">
        <f>""</f>
        <v/>
      </c>
      <c r="F1251" s="2" t="s">
        <v>27</v>
      </c>
      <c r="G1251" s="2" t="str">
        <f t="shared" si="124"/>
        <v>M.B. AUTO  d.o.o., KOLEDOVČINA 8, 10000 ZAGREB, OIB: 8902734372</v>
      </c>
      <c r="H1251" s="4"/>
      <c r="I1251" s="1" t="s">
        <v>475</v>
      </c>
      <c r="J1251" s="1" t="s">
        <v>303</v>
      </c>
      <c r="K1251" s="6" t="str">
        <f>"753,14"</f>
        <v>753,14</v>
      </c>
      <c r="L1251" s="6" t="str">
        <f>"188,29"</f>
        <v>188,29</v>
      </c>
      <c r="M1251" s="6" t="str">
        <f>"941,43"</f>
        <v>941,43</v>
      </c>
      <c r="N1251" s="5">
        <v>43609</v>
      </c>
      <c r="O1251" s="7"/>
      <c r="P1251" s="6" t="str">
        <f>"941,42"</f>
        <v>941,42</v>
      </c>
      <c r="Q1251" s="7"/>
      <c r="R1251" s="1"/>
      <c r="S1251" s="1" t="str">
        <f>"43-19/NOS-132-A/17"</f>
        <v>43-19/NOS-132-A/17</v>
      </c>
      <c r="T1251" s="2" t="s">
        <v>33</v>
      </c>
    </row>
    <row r="1252" spans="1:20" ht="25.5" x14ac:dyDescent="0.25">
      <c r="A1252" s="1">
        <v>1248</v>
      </c>
      <c r="B1252" s="1" t="str">
        <f t="shared" si="123"/>
        <v>2017-390</v>
      </c>
      <c r="C1252" s="2" t="s">
        <v>883</v>
      </c>
      <c r="D1252" s="1" t="s">
        <v>382</v>
      </c>
      <c r="E1252" s="3" t="str">
        <f>""</f>
        <v/>
      </c>
      <c r="F1252" s="2" t="s">
        <v>27</v>
      </c>
      <c r="G1252" s="2" t="str">
        <f t="shared" si="124"/>
        <v>M.B. AUTO  d.o.o., KOLEDOVČINA 8, 10000 ZAGREB, OIB: 8902734372</v>
      </c>
      <c r="H1252" s="4"/>
      <c r="I1252" s="1" t="s">
        <v>361</v>
      </c>
      <c r="J1252" s="1" t="s">
        <v>303</v>
      </c>
      <c r="K1252" s="6" t="str">
        <f>"2.448,16"</f>
        <v>2.448,16</v>
      </c>
      <c r="L1252" s="6" t="str">
        <f>"612,04"</f>
        <v>612,04</v>
      </c>
      <c r="M1252" s="6" t="str">
        <f>"3.060,20"</f>
        <v>3.060,20</v>
      </c>
      <c r="N1252" s="5">
        <v>43609</v>
      </c>
      <c r="O1252" s="7"/>
      <c r="P1252" s="6" t="str">
        <f>"3.060,20"</f>
        <v>3.060,20</v>
      </c>
      <c r="Q1252" s="7"/>
      <c r="R1252" s="1"/>
      <c r="S1252" s="1" t="str">
        <f>"44-19/NOS-132-A/17"</f>
        <v>44-19/NOS-132-A/17</v>
      </c>
      <c r="T1252" s="2" t="s">
        <v>33</v>
      </c>
    </row>
    <row r="1253" spans="1:20" ht="25.5" x14ac:dyDescent="0.25">
      <c r="A1253" s="1">
        <v>1249</v>
      </c>
      <c r="B1253" s="1" t="str">
        <f t="shared" si="123"/>
        <v>2017-390</v>
      </c>
      <c r="C1253" s="2" t="s">
        <v>883</v>
      </c>
      <c r="D1253" s="1" t="s">
        <v>382</v>
      </c>
      <c r="E1253" s="3" t="str">
        <f>""</f>
        <v/>
      </c>
      <c r="F1253" s="2" t="s">
        <v>27</v>
      </c>
      <c r="G1253" s="2" t="str">
        <f t="shared" si="124"/>
        <v>M.B. AUTO  d.o.o., KOLEDOVČINA 8, 10000 ZAGREB, OIB: 8902734372</v>
      </c>
      <c r="H1253" s="4"/>
      <c r="I1253" s="1" t="s">
        <v>32</v>
      </c>
      <c r="J1253" s="1" t="s">
        <v>303</v>
      </c>
      <c r="K1253" s="6" t="str">
        <f>"356,00"</f>
        <v>356,00</v>
      </c>
      <c r="L1253" s="6" t="str">
        <f>"89,00"</f>
        <v>89,00</v>
      </c>
      <c r="M1253" s="6" t="str">
        <f>"445,00"</f>
        <v>445,00</v>
      </c>
      <c r="N1253" s="5">
        <v>43623</v>
      </c>
      <c r="O1253" s="7"/>
      <c r="P1253" s="6" t="str">
        <f>"445,00"</f>
        <v>445,00</v>
      </c>
      <c r="Q1253" s="7"/>
      <c r="R1253" s="1"/>
      <c r="S1253" s="1" t="str">
        <f>"45-19/NOS-132-A/17"</f>
        <v>45-19/NOS-132-A/17</v>
      </c>
      <c r="T1253" s="2" t="s">
        <v>33</v>
      </c>
    </row>
    <row r="1254" spans="1:20" ht="25.5" x14ac:dyDescent="0.25">
      <c r="A1254" s="1">
        <v>1250</v>
      </c>
      <c r="B1254" s="1" t="str">
        <f t="shared" si="123"/>
        <v>2017-390</v>
      </c>
      <c r="C1254" s="2" t="s">
        <v>883</v>
      </c>
      <c r="D1254" s="1" t="s">
        <v>382</v>
      </c>
      <c r="E1254" s="3" t="str">
        <f>""</f>
        <v/>
      </c>
      <c r="F1254" s="2" t="s">
        <v>27</v>
      </c>
      <c r="G1254" s="2" t="str">
        <f t="shared" si="124"/>
        <v>M.B. AUTO  d.o.o., KOLEDOVČINA 8, 10000 ZAGREB, OIB: 8902734372</v>
      </c>
      <c r="H1254" s="4"/>
      <c r="I1254" s="1" t="s">
        <v>499</v>
      </c>
      <c r="J1254" s="1" t="s">
        <v>303</v>
      </c>
      <c r="K1254" s="6" t="str">
        <f>"4.917,93"</f>
        <v>4.917,93</v>
      </c>
      <c r="L1254" s="6" t="str">
        <f>"1.229,48"</f>
        <v>1.229,48</v>
      </c>
      <c r="M1254" s="6" t="str">
        <f>"6.147,41"</f>
        <v>6.147,41</v>
      </c>
      <c r="N1254" s="5">
        <v>43623</v>
      </c>
      <c r="O1254" s="7"/>
      <c r="P1254" s="6" t="str">
        <f>"6.147,41"</f>
        <v>6.147,41</v>
      </c>
      <c r="Q1254" s="7"/>
      <c r="R1254" s="1"/>
      <c r="S1254" s="1" t="str">
        <f>"46-19/NOS-132-A/17"</f>
        <v>46-19/NOS-132-A/17</v>
      </c>
      <c r="T1254" s="2" t="s">
        <v>33</v>
      </c>
    </row>
    <row r="1255" spans="1:20" ht="25.5" x14ac:dyDescent="0.25">
      <c r="A1255" s="1">
        <v>1251</v>
      </c>
      <c r="B1255" s="1" t="str">
        <f t="shared" si="123"/>
        <v>2017-390</v>
      </c>
      <c r="C1255" s="2" t="s">
        <v>883</v>
      </c>
      <c r="D1255" s="1" t="s">
        <v>382</v>
      </c>
      <c r="E1255" s="3" t="str">
        <f>""</f>
        <v/>
      </c>
      <c r="F1255" s="2" t="s">
        <v>27</v>
      </c>
      <c r="G1255" s="2" t="str">
        <f t="shared" si="124"/>
        <v>M.B. AUTO  d.o.o., KOLEDOVČINA 8, 10000 ZAGREB, OIB: 8902734372</v>
      </c>
      <c r="H1255" s="4"/>
      <c r="I1255" s="1" t="s">
        <v>642</v>
      </c>
      <c r="J1255" s="1" t="s">
        <v>303</v>
      </c>
      <c r="K1255" s="6" t="str">
        <f>"7.881,07"</f>
        <v>7.881,07</v>
      </c>
      <c r="L1255" s="6" t="str">
        <f>"1.970,27"</f>
        <v>1.970,27</v>
      </c>
      <c r="M1255" s="6" t="str">
        <f>"9.851,34"</f>
        <v>9.851,34</v>
      </c>
      <c r="N1255" s="5">
        <v>43623</v>
      </c>
      <c r="O1255" s="7"/>
      <c r="P1255" s="6" t="str">
        <f>"9.851,34"</f>
        <v>9.851,34</v>
      </c>
      <c r="Q1255" s="7"/>
      <c r="R1255" s="1"/>
      <c r="S1255" s="1" t="str">
        <f>"47-19/NOS-132-A/17"</f>
        <v>47-19/NOS-132-A/17</v>
      </c>
      <c r="T1255" s="2" t="s">
        <v>33</v>
      </c>
    </row>
    <row r="1256" spans="1:20" ht="25.5" x14ac:dyDescent="0.25">
      <c r="A1256" s="1">
        <v>1252</v>
      </c>
      <c r="B1256" s="1" t="str">
        <f t="shared" si="123"/>
        <v>2017-390</v>
      </c>
      <c r="C1256" s="2" t="s">
        <v>883</v>
      </c>
      <c r="D1256" s="1" t="s">
        <v>382</v>
      </c>
      <c r="E1256" s="3" t="str">
        <f>""</f>
        <v/>
      </c>
      <c r="F1256" s="2" t="s">
        <v>27</v>
      </c>
      <c r="G1256" s="2" t="str">
        <f t="shared" si="124"/>
        <v>M.B. AUTO  d.o.o., KOLEDOVČINA 8, 10000 ZAGREB, OIB: 8902734372</v>
      </c>
      <c r="H1256" s="4"/>
      <c r="I1256" s="1" t="s">
        <v>642</v>
      </c>
      <c r="J1256" s="1" t="s">
        <v>303</v>
      </c>
      <c r="K1256" s="6" t="str">
        <f>"2.904,20"</f>
        <v>2.904,20</v>
      </c>
      <c r="L1256" s="6" t="str">
        <f>"726,05"</f>
        <v>726,05</v>
      </c>
      <c r="M1256" s="6" t="str">
        <f>"3.630,25"</f>
        <v>3.630,25</v>
      </c>
      <c r="N1256" s="5">
        <v>43630</v>
      </c>
      <c r="O1256" s="7"/>
      <c r="P1256" s="6" t="str">
        <f>"3.630,25"</f>
        <v>3.630,25</v>
      </c>
      <c r="Q1256" s="7"/>
      <c r="R1256" s="1"/>
      <c r="S1256" s="1" t="str">
        <f>"48-19/NOS-132-A/17"</f>
        <v>48-19/NOS-132-A/17</v>
      </c>
      <c r="T1256" s="2" t="s">
        <v>33</v>
      </c>
    </row>
    <row r="1257" spans="1:20" ht="25.5" x14ac:dyDescent="0.25">
      <c r="A1257" s="1">
        <v>1253</v>
      </c>
      <c r="B1257" s="1" t="str">
        <f t="shared" si="123"/>
        <v>2017-390</v>
      </c>
      <c r="C1257" s="2" t="s">
        <v>883</v>
      </c>
      <c r="D1257" s="1" t="s">
        <v>382</v>
      </c>
      <c r="E1257" s="3" t="str">
        <f>""</f>
        <v/>
      </c>
      <c r="F1257" s="2" t="s">
        <v>27</v>
      </c>
      <c r="G1257" s="2" t="str">
        <f t="shared" si="124"/>
        <v>M.B. AUTO  d.o.o., KOLEDOVČINA 8, 10000 ZAGREB, OIB: 8902734372</v>
      </c>
      <c r="H1257" s="4"/>
      <c r="I1257" s="1" t="s">
        <v>74</v>
      </c>
      <c r="J1257" s="1" t="s">
        <v>303</v>
      </c>
      <c r="K1257" s="6" t="str">
        <f>"3.629,70"</f>
        <v>3.629,70</v>
      </c>
      <c r="L1257" s="6" t="str">
        <f>"907,43"</f>
        <v>907,43</v>
      </c>
      <c r="M1257" s="6" t="str">
        <f>"4.537,13"</f>
        <v>4.537,13</v>
      </c>
      <c r="N1257" s="5">
        <v>43626</v>
      </c>
      <c r="O1257" s="7"/>
      <c r="P1257" s="6" t="str">
        <f>"4.537,12"</f>
        <v>4.537,12</v>
      </c>
      <c r="Q1257" s="7"/>
      <c r="R1257" s="1"/>
      <c r="S1257" s="1" t="str">
        <f>"49-19/NOS-132-A/17"</f>
        <v>49-19/NOS-132-A/17</v>
      </c>
      <c r="T1257" s="2" t="s">
        <v>33</v>
      </c>
    </row>
    <row r="1258" spans="1:20" ht="25.5" x14ac:dyDescent="0.25">
      <c r="A1258" s="1">
        <v>1254</v>
      </c>
      <c r="B1258" s="1" t="str">
        <f t="shared" si="123"/>
        <v>2017-390</v>
      </c>
      <c r="C1258" s="2" t="s">
        <v>883</v>
      </c>
      <c r="D1258" s="1" t="s">
        <v>382</v>
      </c>
      <c r="E1258" s="3" t="str">
        <f>""</f>
        <v/>
      </c>
      <c r="F1258" s="2" t="s">
        <v>27</v>
      </c>
      <c r="G1258" s="2" t="str">
        <f t="shared" si="124"/>
        <v>M.B. AUTO  d.o.o., KOLEDOVČINA 8, 10000 ZAGREB, OIB: 8902734372</v>
      </c>
      <c r="H1258" s="4"/>
      <c r="I1258" s="1" t="s">
        <v>639</v>
      </c>
      <c r="J1258" s="1" t="s">
        <v>303</v>
      </c>
      <c r="K1258" s="6" t="str">
        <f>"4.158,74"</f>
        <v>4.158,74</v>
      </c>
      <c r="L1258" s="6" t="str">
        <f>"0,00"</f>
        <v>0,00</v>
      </c>
      <c r="M1258" s="6" t="str">
        <f>"0,00"</f>
        <v>0,00</v>
      </c>
      <c r="N1258" s="1" t="s">
        <v>117</v>
      </c>
      <c r="O1258" s="7"/>
      <c r="P1258" s="6" t="str">
        <f>"0,00"</f>
        <v>0,00</v>
      </c>
      <c r="Q1258" s="7"/>
      <c r="R1258" s="1"/>
      <c r="S1258" s="1" t="str">
        <f>"50-19/NOS-132-A/17"</f>
        <v>50-19/NOS-132-A/17</v>
      </c>
      <c r="T1258" s="2" t="s">
        <v>29</v>
      </c>
    </row>
    <row r="1259" spans="1:20" ht="25.5" x14ac:dyDescent="0.25">
      <c r="A1259" s="1">
        <v>1255</v>
      </c>
      <c r="B1259" s="1" t="str">
        <f t="shared" si="123"/>
        <v>2017-390</v>
      </c>
      <c r="C1259" s="2" t="s">
        <v>883</v>
      </c>
      <c r="D1259" s="1" t="s">
        <v>382</v>
      </c>
      <c r="E1259" s="3" t="str">
        <f>""</f>
        <v/>
      </c>
      <c r="F1259" s="2" t="s">
        <v>27</v>
      </c>
      <c r="G1259" s="2" t="str">
        <f t="shared" si="124"/>
        <v>M.B. AUTO  d.o.o., KOLEDOVČINA 8, 10000 ZAGREB, OIB: 8902734372</v>
      </c>
      <c r="H1259" s="4"/>
      <c r="I1259" s="1" t="s">
        <v>320</v>
      </c>
      <c r="J1259" s="1" t="s">
        <v>303</v>
      </c>
      <c r="K1259" s="6" t="str">
        <f>"15.132,72"</f>
        <v>15.132,72</v>
      </c>
      <c r="L1259" s="6" t="str">
        <f>"3.783,18"</f>
        <v>3.783,18</v>
      </c>
      <c r="M1259" s="6" t="str">
        <f>"18.915,90"</f>
        <v>18.915,90</v>
      </c>
      <c r="N1259" s="5">
        <v>43630</v>
      </c>
      <c r="O1259" s="7"/>
      <c r="P1259" s="6" t="str">
        <f>"18.915,90"</f>
        <v>18.915,90</v>
      </c>
      <c r="Q1259" s="7"/>
      <c r="R1259" s="1"/>
      <c r="S1259" s="1" t="str">
        <f>"51-19/NOS-132-A/17"</f>
        <v>51-19/NOS-132-A/17</v>
      </c>
      <c r="T1259" s="2" t="s">
        <v>33</v>
      </c>
    </row>
    <row r="1260" spans="1:20" ht="25.5" x14ac:dyDescent="0.25">
      <c r="A1260" s="1">
        <v>1256</v>
      </c>
      <c r="B1260" s="1" t="str">
        <f t="shared" si="123"/>
        <v>2017-390</v>
      </c>
      <c r="C1260" s="2" t="s">
        <v>883</v>
      </c>
      <c r="D1260" s="1" t="s">
        <v>382</v>
      </c>
      <c r="E1260" s="3" t="str">
        <f>""</f>
        <v/>
      </c>
      <c r="F1260" s="2" t="s">
        <v>27</v>
      </c>
      <c r="G1260" s="2" t="str">
        <f t="shared" si="124"/>
        <v>M.B. AUTO  d.o.o., KOLEDOVČINA 8, 10000 ZAGREB, OIB: 8902734372</v>
      </c>
      <c r="H1260" s="4"/>
      <c r="I1260" s="1" t="s">
        <v>162</v>
      </c>
      <c r="J1260" s="1" t="s">
        <v>303</v>
      </c>
      <c r="K1260" s="6" t="str">
        <f>"155,76"</f>
        <v>155,76</v>
      </c>
      <c r="L1260" s="6" t="str">
        <f>"38,94"</f>
        <v>38,94</v>
      </c>
      <c r="M1260" s="6" t="str">
        <f>"194,70"</f>
        <v>194,70</v>
      </c>
      <c r="N1260" s="5">
        <v>43635</v>
      </c>
      <c r="O1260" s="7"/>
      <c r="P1260" s="6" t="str">
        <f>"194,70"</f>
        <v>194,70</v>
      </c>
      <c r="Q1260" s="7"/>
      <c r="R1260" s="1"/>
      <c r="S1260" s="1" t="str">
        <f>"52-19/NOS-132-A/17"</f>
        <v>52-19/NOS-132-A/17</v>
      </c>
      <c r="T1260" s="2" t="s">
        <v>33</v>
      </c>
    </row>
    <row r="1261" spans="1:20" ht="25.5" x14ac:dyDescent="0.25">
      <c r="A1261" s="1">
        <v>1257</v>
      </c>
      <c r="B1261" s="1" t="str">
        <f t="shared" si="123"/>
        <v>2017-390</v>
      </c>
      <c r="C1261" s="2" t="s">
        <v>883</v>
      </c>
      <c r="D1261" s="1" t="s">
        <v>382</v>
      </c>
      <c r="E1261" s="3" t="str">
        <f>""</f>
        <v/>
      </c>
      <c r="F1261" s="2" t="s">
        <v>27</v>
      </c>
      <c r="G1261" s="2" t="str">
        <f t="shared" si="124"/>
        <v>M.B. AUTO  d.o.o., KOLEDOVČINA 8, 10000 ZAGREB, OIB: 8902734372</v>
      </c>
      <c r="H1261" s="4"/>
      <c r="I1261" s="1" t="s">
        <v>402</v>
      </c>
      <c r="J1261" s="1" t="s">
        <v>303</v>
      </c>
      <c r="K1261" s="6" t="str">
        <f>"2.909,61"</f>
        <v>2.909,61</v>
      </c>
      <c r="L1261" s="6" t="str">
        <f>"727,40"</f>
        <v>727,40</v>
      </c>
      <c r="M1261" s="6" t="str">
        <f>"3.637,01"</f>
        <v>3.637,01</v>
      </c>
      <c r="N1261" s="5">
        <v>43635</v>
      </c>
      <c r="O1261" s="7"/>
      <c r="P1261" s="6" t="str">
        <f>"3.637,01"</f>
        <v>3.637,01</v>
      </c>
      <c r="Q1261" s="7"/>
      <c r="R1261" s="1"/>
      <c r="S1261" s="1" t="str">
        <f>"53-19/NOS-132-A/17"</f>
        <v>53-19/NOS-132-A/17</v>
      </c>
      <c r="T1261" s="2" t="s">
        <v>33</v>
      </c>
    </row>
    <row r="1262" spans="1:20" ht="25.5" x14ac:dyDescent="0.25">
      <c r="A1262" s="1">
        <v>1258</v>
      </c>
      <c r="B1262" s="1" t="str">
        <f t="shared" si="123"/>
        <v>2017-390</v>
      </c>
      <c r="C1262" s="2" t="s">
        <v>883</v>
      </c>
      <c r="D1262" s="1" t="s">
        <v>382</v>
      </c>
      <c r="E1262" s="3" t="str">
        <f>""</f>
        <v/>
      </c>
      <c r="F1262" s="2" t="s">
        <v>27</v>
      </c>
      <c r="G1262" s="2" t="str">
        <f t="shared" si="124"/>
        <v>M.B. AUTO  d.o.o., KOLEDOVČINA 8, 10000 ZAGREB, OIB: 8902734372</v>
      </c>
      <c r="H1262" s="4"/>
      <c r="I1262" s="1" t="s">
        <v>597</v>
      </c>
      <c r="J1262" s="1" t="s">
        <v>303</v>
      </c>
      <c r="K1262" s="6" t="str">
        <f>"16.471,24"</f>
        <v>16.471,24</v>
      </c>
      <c r="L1262" s="6" t="str">
        <f>"4.117,81"</f>
        <v>4.117,81</v>
      </c>
      <c r="M1262" s="6" t="str">
        <f>"20.589,05"</f>
        <v>20.589,05</v>
      </c>
      <c r="N1262" s="5">
        <v>43643</v>
      </c>
      <c r="O1262" s="7"/>
      <c r="P1262" s="6" t="str">
        <f>"20.589,05"</f>
        <v>20.589,05</v>
      </c>
      <c r="Q1262" s="7"/>
      <c r="R1262" s="1"/>
      <c r="S1262" s="1" t="str">
        <f>"54-19/NOS-132-A/17"</f>
        <v>54-19/NOS-132-A/17</v>
      </c>
      <c r="T1262" s="2" t="s">
        <v>33</v>
      </c>
    </row>
    <row r="1263" spans="1:20" ht="25.5" x14ac:dyDescent="0.25">
      <c r="A1263" s="1">
        <v>1259</v>
      </c>
      <c r="B1263" s="1" t="str">
        <f t="shared" si="123"/>
        <v>2017-390</v>
      </c>
      <c r="C1263" s="2" t="s">
        <v>883</v>
      </c>
      <c r="D1263" s="1" t="s">
        <v>382</v>
      </c>
      <c r="E1263" s="3" t="str">
        <f>""</f>
        <v/>
      </c>
      <c r="F1263" s="2" t="s">
        <v>27</v>
      </c>
      <c r="G1263" s="2" t="str">
        <f t="shared" si="124"/>
        <v>M.B. AUTO  d.o.o., KOLEDOVČINA 8, 10000 ZAGREB, OIB: 8902734372</v>
      </c>
      <c r="H1263" s="4"/>
      <c r="I1263" s="1" t="s">
        <v>628</v>
      </c>
      <c r="J1263" s="1" t="s">
        <v>303</v>
      </c>
      <c r="K1263" s="6" t="str">
        <f>"1.005,34"</f>
        <v>1.005,34</v>
      </c>
      <c r="L1263" s="6" t="str">
        <f>"251,34"</f>
        <v>251,34</v>
      </c>
      <c r="M1263" s="6" t="str">
        <f>"1.256,68"</f>
        <v>1.256,68</v>
      </c>
      <c r="N1263" s="5">
        <v>43652</v>
      </c>
      <c r="O1263" s="7"/>
      <c r="P1263" s="6" t="str">
        <f>"1.256,68"</f>
        <v>1.256,68</v>
      </c>
      <c r="Q1263" s="7"/>
      <c r="R1263" s="1"/>
      <c r="S1263" s="1" t="str">
        <f>"55-19/NOS-132-A/17"</f>
        <v>55-19/NOS-132-A/17</v>
      </c>
      <c r="T1263" s="2" t="s">
        <v>33</v>
      </c>
    </row>
    <row r="1264" spans="1:20" ht="25.5" x14ac:dyDescent="0.25">
      <c r="A1264" s="1">
        <v>1260</v>
      </c>
      <c r="B1264" s="1" t="str">
        <f t="shared" si="123"/>
        <v>2017-390</v>
      </c>
      <c r="C1264" s="2" t="s">
        <v>883</v>
      </c>
      <c r="D1264" s="1" t="s">
        <v>382</v>
      </c>
      <c r="E1264" s="3" t="str">
        <f>""</f>
        <v/>
      </c>
      <c r="F1264" s="2" t="s">
        <v>27</v>
      </c>
      <c r="G1264" s="2" t="str">
        <f t="shared" si="124"/>
        <v>M.B. AUTO  d.o.o., KOLEDOVČINA 8, 10000 ZAGREB, OIB: 8902734372</v>
      </c>
      <c r="H1264" s="4"/>
      <c r="I1264" s="1" t="s">
        <v>374</v>
      </c>
      <c r="J1264" s="1" t="s">
        <v>303</v>
      </c>
      <c r="K1264" s="6" t="str">
        <f>"252,12"</f>
        <v>252,12</v>
      </c>
      <c r="L1264" s="6" t="str">
        <f>"63,03"</f>
        <v>63,03</v>
      </c>
      <c r="M1264" s="6" t="str">
        <f>"315,15"</f>
        <v>315,15</v>
      </c>
      <c r="N1264" s="5">
        <v>43643</v>
      </c>
      <c r="O1264" s="7"/>
      <c r="P1264" s="6" t="str">
        <f>"315,15"</f>
        <v>315,15</v>
      </c>
      <c r="Q1264" s="7"/>
      <c r="R1264" s="1"/>
      <c r="S1264" s="1" t="str">
        <f>"56-19/NOS-132-A/17"</f>
        <v>56-19/NOS-132-A/17</v>
      </c>
      <c r="T1264" s="2" t="s">
        <v>33</v>
      </c>
    </row>
    <row r="1265" spans="1:20" ht="25.5" x14ac:dyDescent="0.25">
      <c r="A1265" s="1">
        <v>1261</v>
      </c>
      <c r="B1265" s="1" t="str">
        <f t="shared" si="123"/>
        <v>2017-390</v>
      </c>
      <c r="C1265" s="2" t="s">
        <v>883</v>
      </c>
      <c r="D1265" s="1" t="s">
        <v>382</v>
      </c>
      <c r="E1265" s="3" t="str">
        <f>""</f>
        <v/>
      </c>
      <c r="F1265" s="2" t="s">
        <v>27</v>
      </c>
      <c r="G1265" s="2" t="str">
        <f t="shared" si="124"/>
        <v>M.B. AUTO  d.o.o., KOLEDOVČINA 8, 10000 ZAGREB, OIB: 8902734372</v>
      </c>
      <c r="H1265" s="4"/>
      <c r="I1265" s="1" t="s">
        <v>414</v>
      </c>
      <c r="J1265" s="1" t="s">
        <v>303</v>
      </c>
      <c r="K1265" s="6" t="str">
        <f>"7.196,69"</f>
        <v>7.196,69</v>
      </c>
      <c r="L1265" s="6" t="str">
        <f>"1.799,17"</f>
        <v>1.799,17</v>
      </c>
      <c r="M1265" s="6" t="str">
        <f>"8.995,86"</f>
        <v>8.995,86</v>
      </c>
      <c r="N1265" s="5">
        <v>43637</v>
      </c>
      <c r="O1265" s="7"/>
      <c r="P1265" s="6" t="str">
        <f>"8.995,86"</f>
        <v>8.995,86</v>
      </c>
      <c r="Q1265" s="7"/>
      <c r="R1265" s="1"/>
      <c r="S1265" s="1" t="str">
        <f>"57-19/NOS-132-A/17"</f>
        <v>57-19/NOS-132-A/17</v>
      </c>
      <c r="T1265" s="2" t="s">
        <v>33</v>
      </c>
    </row>
    <row r="1266" spans="1:20" ht="25.5" x14ac:dyDescent="0.25">
      <c r="A1266" s="1">
        <v>1262</v>
      </c>
      <c r="B1266" s="1" t="str">
        <f t="shared" si="123"/>
        <v>2017-390</v>
      </c>
      <c r="C1266" s="2" t="s">
        <v>883</v>
      </c>
      <c r="D1266" s="1" t="s">
        <v>382</v>
      </c>
      <c r="E1266" s="3" t="str">
        <f>""</f>
        <v/>
      </c>
      <c r="F1266" s="2" t="s">
        <v>27</v>
      </c>
      <c r="G1266" s="2" t="str">
        <f t="shared" si="124"/>
        <v>M.B. AUTO  d.o.o., KOLEDOVČINA 8, 10000 ZAGREB, OIB: 8902734372</v>
      </c>
      <c r="H1266" s="4"/>
      <c r="I1266" s="1" t="s">
        <v>640</v>
      </c>
      <c r="J1266" s="1" t="s">
        <v>303</v>
      </c>
      <c r="K1266" s="6" t="str">
        <f>"16.305,07"</f>
        <v>16.305,07</v>
      </c>
      <c r="L1266" s="6" t="str">
        <f>"4.076,27"</f>
        <v>4.076,27</v>
      </c>
      <c r="M1266" s="6" t="str">
        <f>"20.381,34"</f>
        <v>20.381,34</v>
      </c>
      <c r="N1266" s="5">
        <v>43662</v>
      </c>
      <c r="O1266" s="7"/>
      <c r="P1266" s="6" t="str">
        <f>"20.381,34"</f>
        <v>20.381,34</v>
      </c>
      <c r="Q1266" s="7"/>
      <c r="R1266" s="1"/>
      <c r="S1266" s="1" t="str">
        <f>"58-19/NOS-132-A/17"</f>
        <v>58-19/NOS-132-A/17</v>
      </c>
      <c r="T1266" s="2" t="s">
        <v>33</v>
      </c>
    </row>
    <row r="1267" spans="1:20" ht="25.5" x14ac:dyDescent="0.25">
      <c r="A1267" s="1">
        <v>1263</v>
      </c>
      <c r="B1267" s="1" t="str">
        <f t="shared" si="123"/>
        <v>2017-390</v>
      </c>
      <c r="C1267" s="2" t="s">
        <v>883</v>
      </c>
      <c r="D1267" s="1" t="s">
        <v>382</v>
      </c>
      <c r="E1267" s="3" t="str">
        <f>""</f>
        <v/>
      </c>
      <c r="F1267" s="2" t="s">
        <v>27</v>
      </c>
      <c r="G1267" s="2" t="str">
        <f t="shared" si="124"/>
        <v>M.B. AUTO  d.o.o., KOLEDOVČINA 8, 10000 ZAGREB, OIB: 8902734372</v>
      </c>
      <c r="H1267" s="4"/>
      <c r="I1267" s="1" t="s">
        <v>269</v>
      </c>
      <c r="J1267" s="1" t="s">
        <v>303</v>
      </c>
      <c r="K1267" s="6" t="str">
        <f>"4.181,20"</f>
        <v>4.181,20</v>
      </c>
      <c r="L1267" s="6" t="str">
        <f>"1.045,30"</f>
        <v>1.045,30</v>
      </c>
      <c r="M1267" s="6" t="str">
        <f>"5.226,50"</f>
        <v>5.226,50</v>
      </c>
      <c r="N1267" s="5">
        <v>43661</v>
      </c>
      <c r="O1267" s="7"/>
      <c r="P1267" s="6" t="str">
        <f>"5.226,50"</f>
        <v>5.226,50</v>
      </c>
      <c r="Q1267" s="7"/>
      <c r="R1267" s="1"/>
      <c r="S1267" s="1" t="str">
        <f>"59-19/NOS-132-A/17"</f>
        <v>59-19/NOS-132-A/17</v>
      </c>
      <c r="T1267" s="2" t="s">
        <v>33</v>
      </c>
    </row>
    <row r="1268" spans="1:20" ht="25.5" x14ac:dyDescent="0.25">
      <c r="A1268" s="1">
        <v>1264</v>
      </c>
      <c r="B1268" s="1" t="str">
        <f t="shared" si="123"/>
        <v>2017-390</v>
      </c>
      <c r="C1268" s="2" t="s">
        <v>883</v>
      </c>
      <c r="D1268" s="1" t="s">
        <v>382</v>
      </c>
      <c r="E1268" s="3" t="str">
        <f>""</f>
        <v/>
      </c>
      <c r="F1268" s="2" t="s">
        <v>27</v>
      </c>
      <c r="G1268" s="2" t="str">
        <f t="shared" si="124"/>
        <v>M.B. AUTO  d.o.o., KOLEDOVČINA 8, 10000 ZAGREB, OIB: 8902734372</v>
      </c>
      <c r="H1268" s="4"/>
      <c r="I1268" s="1" t="s">
        <v>269</v>
      </c>
      <c r="J1268" s="1" t="s">
        <v>303</v>
      </c>
      <c r="K1268" s="6" t="str">
        <f>"1.811,29"</f>
        <v>1.811,29</v>
      </c>
      <c r="L1268" s="6" t="str">
        <f>"452,82"</f>
        <v>452,82</v>
      </c>
      <c r="M1268" s="6" t="str">
        <f>"2.264,11"</f>
        <v>2.264,11</v>
      </c>
      <c r="N1268" s="5">
        <v>43643</v>
      </c>
      <c r="O1268" s="7"/>
      <c r="P1268" s="6" t="str">
        <f>"2.264,11"</f>
        <v>2.264,11</v>
      </c>
      <c r="Q1268" s="7"/>
      <c r="R1268" s="1"/>
      <c r="S1268" s="1" t="str">
        <f>"61-19/NOS-132-A/17"</f>
        <v>61-19/NOS-132-A/17</v>
      </c>
      <c r="T1268" s="2" t="s">
        <v>33</v>
      </c>
    </row>
    <row r="1269" spans="1:20" ht="25.5" x14ac:dyDescent="0.25">
      <c r="A1269" s="1">
        <v>1265</v>
      </c>
      <c r="B1269" s="1" t="str">
        <f t="shared" si="123"/>
        <v>2017-390</v>
      </c>
      <c r="C1269" s="2" t="s">
        <v>883</v>
      </c>
      <c r="D1269" s="1" t="s">
        <v>382</v>
      </c>
      <c r="E1269" s="3" t="str">
        <f>""</f>
        <v/>
      </c>
      <c r="F1269" s="2" t="s">
        <v>27</v>
      </c>
      <c r="G1269" s="2" t="str">
        <f t="shared" si="124"/>
        <v>M.B. AUTO  d.o.o., KOLEDOVČINA 8, 10000 ZAGREB, OIB: 8902734372</v>
      </c>
      <c r="H1269" s="4"/>
      <c r="I1269" s="1" t="s">
        <v>638</v>
      </c>
      <c r="J1269" s="1" t="s">
        <v>303</v>
      </c>
      <c r="K1269" s="6" t="str">
        <f>"17.494,20"</f>
        <v>17.494,20</v>
      </c>
      <c r="L1269" s="6" t="str">
        <f>"4.373,55"</f>
        <v>4.373,55</v>
      </c>
      <c r="M1269" s="6" t="str">
        <f>"21.867,75"</f>
        <v>21.867,75</v>
      </c>
      <c r="N1269" s="5">
        <v>43654</v>
      </c>
      <c r="O1269" s="7"/>
      <c r="P1269" s="6" t="str">
        <f>"21.867,75"</f>
        <v>21.867,75</v>
      </c>
      <c r="Q1269" s="7"/>
      <c r="R1269" s="1"/>
      <c r="S1269" s="1" t="str">
        <f>"63-19/NOS-132-A/17"</f>
        <v>63-19/NOS-132-A/17</v>
      </c>
      <c r="T1269" s="2" t="s">
        <v>33</v>
      </c>
    </row>
    <row r="1270" spans="1:20" ht="25.5" x14ac:dyDescent="0.25">
      <c r="A1270" s="1">
        <v>1266</v>
      </c>
      <c r="B1270" s="1" t="str">
        <f t="shared" si="123"/>
        <v>2017-390</v>
      </c>
      <c r="C1270" s="2" t="s">
        <v>883</v>
      </c>
      <c r="D1270" s="1" t="s">
        <v>382</v>
      </c>
      <c r="E1270" s="3" t="str">
        <f>""</f>
        <v/>
      </c>
      <c r="F1270" s="2" t="s">
        <v>27</v>
      </c>
      <c r="G1270" s="2" t="str">
        <f t="shared" si="124"/>
        <v>M.B. AUTO  d.o.o., KOLEDOVČINA 8, 10000 ZAGREB, OIB: 8902734372</v>
      </c>
      <c r="H1270" s="4"/>
      <c r="I1270" s="1" t="s">
        <v>403</v>
      </c>
      <c r="J1270" s="1" t="s">
        <v>303</v>
      </c>
      <c r="K1270" s="6" t="str">
        <f>"1.577,18"</f>
        <v>1.577,18</v>
      </c>
      <c r="L1270" s="6" t="str">
        <f>"394,30"</f>
        <v>394,30</v>
      </c>
      <c r="M1270" s="6" t="str">
        <f>"1.971,48"</f>
        <v>1.971,48</v>
      </c>
      <c r="N1270" s="5">
        <v>43654</v>
      </c>
      <c r="O1270" s="7"/>
      <c r="P1270" s="6" t="str">
        <f>"1.971,48"</f>
        <v>1.971,48</v>
      </c>
      <c r="Q1270" s="7"/>
      <c r="R1270" s="1"/>
      <c r="S1270" s="1" t="str">
        <f>"64-19/NOS-132-A/17"</f>
        <v>64-19/NOS-132-A/17</v>
      </c>
      <c r="T1270" s="2" t="s">
        <v>33</v>
      </c>
    </row>
    <row r="1271" spans="1:20" ht="38.25" x14ac:dyDescent="0.25">
      <c r="A1271" s="1">
        <v>1267</v>
      </c>
      <c r="B1271" s="1" t="str">
        <f t="shared" si="123"/>
        <v>2017-390</v>
      </c>
      <c r="C1271" s="2" t="s">
        <v>883</v>
      </c>
      <c r="D1271" s="1" t="s">
        <v>382</v>
      </c>
      <c r="E1271" s="3" t="str">
        <f>"2017/S 0F2-0015055"</f>
        <v>2017/S 0F2-0015055</v>
      </c>
      <c r="F1271" s="2" t="s">
        <v>23</v>
      </c>
      <c r="G1271" s="2" t="str">
        <f t="shared" si="124"/>
        <v>M.B. AUTO  d.o.o., KOLEDOVČINA 8, 10000 ZAGREB, OIB: 8902734372</v>
      </c>
      <c r="H1271" s="4"/>
      <c r="I1271" s="1" t="s">
        <v>861</v>
      </c>
      <c r="J1271" s="1" t="s">
        <v>862</v>
      </c>
      <c r="K1271" s="6" t="str">
        <f>"3.240.000,00"</f>
        <v>3.240.000,00</v>
      </c>
      <c r="L1271" s="6" t="str">
        <f>"810.000,00"</f>
        <v>810.000,00</v>
      </c>
      <c r="M1271" s="6" t="str">
        <f>"4.050.000,00"</f>
        <v>4.050.000,00</v>
      </c>
      <c r="N1271" s="7"/>
      <c r="O1271" s="7"/>
      <c r="P1271" s="6" t="str">
        <f>""</f>
        <v/>
      </c>
      <c r="Q1271" s="7"/>
      <c r="R1271" s="1"/>
      <c r="S1271" s="1" t="str">
        <f>"NOS-132-B/17"</f>
        <v>NOS-132-B/17</v>
      </c>
      <c r="T1271" s="2" t="s">
        <v>26</v>
      </c>
    </row>
    <row r="1272" spans="1:20" ht="25.5" x14ac:dyDescent="0.25">
      <c r="A1272" s="1">
        <v>1268</v>
      </c>
      <c r="B1272" s="1" t="str">
        <f t="shared" si="123"/>
        <v>2017-390</v>
      </c>
      <c r="C1272" s="2" t="s">
        <v>883</v>
      </c>
      <c r="D1272" s="1" t="s">
        <v>382</v>
      </c>
      <c r="E1272" s="3" t="str">
        <f>""</f>
        <v/>
      </c>
      <c r="F1272" s="2" t="s">
        <v>27</v>
      </c>
      <c r="G1272" s="2" t="str">
        <f t="shared" si="124"/>
        <v>M.B. AUTO  d.o.o., KOLEDOVČINA 8, 10000 ZAGREB, OIB: 8902734372</v>
      </c>
      <c r="H1272" s="4"/>
      <c r="I1272" s="1" t="s">
        <v>461</v>
      </c>
      <c r="J1272" s="1" t="s">
        <v>303</v>
      </c>
      <c r="K1272" s="6" t="str">
        <f>"7.316,74"</f>
        <v>7.316,74</v>
      </c>
      <c r="L1272" s="6" t="str">
        <f>"1.829,19"</f>
        <v>1.829,19</v>
      </c>
      <c r="M1272" s="6" t="str">
        <f>"9.145,93"</f>
        <v>9.145,93</v>
      </c>
      <c r="N1272" s="5">
        <v>43524</v>
      </c>
      <c r="O1272" s="7"/>
      <c r="P1272" s="6" t="str">
        <f>"9.145,92"</f>
        <v>9.145,92</v>
      </c>
      <c r="Q1272" s="7"/>
      <c r="R1272" s="1"/>
      <c r="S1272" s="1" t="str">
        <f>"1-19/NOS-132-B/17"</f>
        <v>1-19/NOS-132-B/17</v>
      </c>
      <c r="T1272" s="2" t="s">
        <v>33</v>
      </c>
    </row>
    <row r="1273" spans="1:20" ht="25.5" x14ac:dyDescent="0.25">
      <c r="A1273" s="1">
        <v>1269</v>
      </c>
      <c r="B1273" s="1" t="str">
        <f t="shared" ref="B1273:B1304" si="125">"2017-390"</f>
        <v>2017-390</v>
      </c>
      <c r="C1273" s="2" t="s">
        <v>883</v>
      </c>
      <c r="D1273" s="1" t="s">
        <v>382</v>
      </c>
      <c r="E1273" s="3" t="str">
        <f>""</f>
        <v/>
      </c>
      <c r="F1273" s="2" t="s">
        <v>27</v>
      </c>
      <c r="G1273" s="2" t="str">
        <f t="shared" ref="G1273:G1304" si="126">CONCATENATE("M.B. AUTO  d.o.o.,"," KOLEDOVČINA 8,"," 10000 ZAGREB,"," OIB: 8902734372")</f>
        <v>M.B. AUTO  d.o.o., KOLEDOVČINA 8, 10000 ZAGREB, OIB: 8902734372</v>
      </c>
      <c r="H1273" s="4"/>
      <c r="I1273" s="1" t="s">
        <v>195</v>
      </c>
      <c r="J1273" s="1" t="s">
        <v>303</v>
      </c>
      <c r="K1273" s="6" t="str">
        <f>"990,09"</f>
        <v>990,09</v>
      </c>
      <c r="L1273" s="6" t="str">
        <f>"247,52"</f>
        <v>247,52</v>
      </c>
      <c r="M1273" s="6" t="str">
        <f>"1.237,61"</f>
        <v>1.237,61</v>
      </c>
      <c r="N1273" s="5">
        <v>43554</v>
      </c>
      <c r="O1273" s="7"/>
      <c r="P1273" s="6" t="str">
        <f>"1.237,61"</f>
        <v>1.237,61</v>
      </c>
      <c r="Q1273" s="7"/>
      <c r="R1273" s="1"/>
      <c r="S1273" s="1" t="str">
        <f>"2-19/NOS-132-B/17"</f>
        <v>2-19/NOS-132-B/17</v>
      </c>
      <c r="T1273" s="2" t="s">
        <v>33</v>
      </c>
    </row>
    <row r="1274" spans="1:20" ht="25.5" x14ac:dyDescent="0.25">
      <c r="A1274" s="1">
        <v>1270</v>
      </c>
      <c r="B1274" s="1" t="str">
        <f t="shared" si="125"/>
        <v>2017-390</v>
      </c>
      <c r="C1274" s="2" t="s">
        <v>883</v>
      </c>
      <c r="D1274" s="1" t="s">
        <v>382</v>
      </c>
      <c r="E1274" s="3" t="str">
        <f>""</f>
        <v/>
      </c>
      <c r="F1274" s="2" t="s">
        <v>27</v>
      </c>
      <c r="G1274" s="2" t="str">
        <f t="shared" si="126"/>
        <v>M.B. AUTO  d.o.o., KOLEDOVČINA 8, 10000 ZAGREB, OIB: 8902734372</v>
      </c>
      <c r="H1274" s="4"/>
      <c r="I1274" s="1" t="s">
        <v>195</v>
      </c>
      <c r="J1274" s="1" t="s">
        <v>303</v>
      </c>
      <c r="K1274" s="6" t="str">
        <f>"362,28"</f>
        <v>362,28</v>
      </c>
      <c r="L1274" s="6" t="str">
        <f>"90,57"</f>
        <v>90,57</v>
      </c>
      <c r="M1274" s="6" t="str">
        <f>"452,85"</f>
        <v>452,85</v>
      </c>
      <c r="N1274" s="5">
        <v>43524</v>
      </c>
      <c r="O1274" s="7"/>
      <c r="P1274" s="6" t="str">
        <f>"452,85"</f>
        <v>452,85</v>
      </c>
      <c r="Q1274" s="7"/>
      <c r="R1274" s="1"/>
      <c r="S1274" s="1" t="str">
        <f>"3-19/NOS-132-B/17"</f>
        <v>3-19/NOS-132-B/17</v>
      </c>
      <c r="T1274" s="2" t="s">
        <v>33</v>
      </c>
    </row>
    <row r="1275" spans="1:20" ht="25.5" x14ac:dyDescent="0.25">
      <c r="A1275" s="1">
        <v>1271</v>
      </c>
      <c r="B1275" s="1" t="str">
        <f t="shared" si="125"/>
        <v>2017-390</v>
      </c>
      <c r="C1275" s="2" t="s">
        <v>883</v>
      </c>
      <c r="D1275" s="1" t="s">
        <v>382</v>
      </c>
      <c r="E1275" s="3" t="str">
        <f>""</f>
        <v/>
      </c>
      <c r="F1275" s="2" t="s">
        <v>27</v>
      </c>
      <c r="G1275" s="2" t="str">
        <f t="shared" si="126"/>
        <v>M.B. AUTO  d.o.o., KOLEDOVČINA 8, 10000 ZAGREB, OIB: 8902734372</v>
      </c>
      <c r="H1275" s="4"/>
      <c r="I1275" s="1" t="s">
        <v>264</v>
      </c>
      <c r="J1275" s="1" t="s">
        <v>303</v>
      </c>
      <c r="K1275" s="6" t="str">
        <f>"643,36"</f>
        <v>643,36</v>
      </c>
      <c r="L1275" s="6" t="str">
        <f>"160,84"</f>
        <v>160,84</v>
      </c>
      <c r="M1275" s="6" t="str">
        <f>"804,20"</f>
        <v>804,20</v>
      </c>
      <c r="N1275" s="5">
        <v>43539</v>
      </c>
      <c r="O1275" s="7"/>
      <c r="P1275" s="6" t="str">
        <f>"804,20"</f>
        <v>804,20</v>
      </c>
      <c r="Q1275" s="7"/>
      <c r="R1275" s="1"/>
      <c r="S1275" s="1" t="str">
        <f>"5-19/NOS-132-B/17"</f>
        <v>5-19/NOS-132-B/17</v>
      </c>
      <c r="T1275" s="2" t="s">
        <v>33</v>
      </c>
    </row>
    <row r="1276" spans="1:20" ht="25.5" x14ac:dyDescent="0.25">
      <c r="A1276" s="1">
        <v>1272</v>
      </c>
      <c r="B1276" s="1" t="str">
        <f t="shared" si="125"/>
        <v>2017-390</v>
      </c>
      <c r="C1276" s="2" t="s">
        <v>883</v>
      </c>
      <c r="D1276" s="1" t="s">
        <v>382</v>
      </c>
      <c r="E1276" s="3" t="str">
        <f>""</f>
        <v/>
      </c>
      <c r="F1276" s="2" t="s">
        <v>27</v>
      </c>
      <c r="G1276" s="2" t="str">
        <f t="shared" si="126"/>
        <v>M.B. AUTO  d.o.o., KOLEDOVČINA 8, 10000 ZAGREB, OIB: 8902734372</v>
      </c>
      <c r="H1276" s="4"/>
      <c r="I1276" s="1" t="s">
        <v>373</v>
      </c>
      <c r="J1276" s="1" t="s">
        <v>303</v>
      </c>
      <c r="K1276" s="6" t="str">
        <f>"2.490,25"</f>
        <v>2.490,25</v>
      </c>
      <c r="L1276" s="6" t="str">
        <f>"622,56"</f>
        <v>622,56</v>
      </c>
      <c r="M1276" s="6" t="str">
        <f>"3.112,81"</f>
        <v>3.112,81</v>
      </c>
      <c r="N1276" s="5">
        <v>43580</v>
      </c>
      <c r="O1276" s="7"/>
      <c r="P1276" s="6" t="str">
        <f>"3.112,81"</f>
        <v>3.112,81</v>
      </c>
      <c r="Q1276" s="7"/>
      <c r="R1276" s="1"/>
      <c r="S1276" s="1" t="str">
        <f>"6-19/NOS-132-B/17"</f>
        <v>6-19/NOS-132-B/17</v>
      </c>
      <c r="T1276" s="2" t="s">
        <v>33</v>
      </c>
    </row>
    <row r="1277" spans="1:20" ht="25.5" x14ac:dyDescent="0.25">
      <c r="A1277" s="1">
        <v>1273</v>
      </c>
      <c r="B1277" s="1" t="str">
        <f t="shared" si="125"/>
        <v>2017-390</v>
      </c>
      <c r="C1277" s="2" t="s">
        <v>883</v>
      </c>
      <c r="D1277" s="1" t="s">
        <v>382</v>
      </c>
      <c r="E1277" s="3" t="str">
        <f>""</f>
        <v/>
      </c>
      <c r="F1277" s="2" t="s">
        <v>27</v>
      </c>
      <c r="G1277" s="2" t="str">
        <f t="shared" si="126"/>
        <v>M.B. AUTO  d.o.o., KOLEDOVČINA 8, 10000 ZAGREB, OIB: 8902734372</v>
      </c>
      <c r="H1277" s="4"/>
      <c r="I1277" s="1" t="s">
        <v>280</v>
      </c>
      <c r="J1277" s="1" t="s">
        <v>303</v>
      </c>
      <c r="K1277" s="6" t="str">
        <f>"2.112,51"</f>
        <v>2.112,51</v>
      </c>
      <c r="L1277" s="6" t="str">
        <f>"528,13"</f>
        <v>528,13</v>
      </c>
      <c r="M1277" s="6" t="str">
        <f>"2.640,64"</f>
        <v>2.640,64</v>
      </c>
      <c r="N1277" s="5">
        <v>43538</v>
      </c>
      <c r="O1277" s="7"/>
      <c r="P1277" s="6" t="str">
        <f>"2.640,64"</f>
        <v>2.640,64</v>
      </c>
      <c r="Q1277" s="7"/>
      <c r="R1277" s="1"/>
      <c r="S1277" s="1" t="str">
        <f>"7-19/NOS-132-B/17"</f>
        <v>7-19/NOS-132-B/17</v>
      </c>
      <c r="T1277" s="2" t="s">
        <v>33</v>
      </c>
    </row>
    <row r="1278" spans="1:20" ht="25.5" x14ac:dyDescent="0.25">
      <c r="A1278" s="1">
        <v>1274</v>
      </c>
      <c r="B1278" s="1" t="str">
        <f t="shared" si="125"/>
        <v>2017-390</v>
      </c>
      <c r="C1278" s="2" t="s">
        <v>883</v>
      </c>
      <c r="D1278" s="1" t="s">
        <v>382</v>
      </c>
      <c r="E1278" s="3" t="str">
        <f>""</f>
        <v/>
      </c>
      <c r="F1278" s="2" t="s">
        <v>27</v>
      </c>
      <c r="G1278" s="2" t="str">
        <f t="shared" si="126"/>
        <v>M.B. AUTO  d.o.o., KOLEDOVČINA 8, 10000 ZAGREB, OIB: 8902734372</v>
      </c>
      <c r="H1278" s="4"/>
      <c r="I1278" s="1" t="s">
        <v>670</v>
      </c>
      <c r="J1278" s="1" t="s">
        <v>303</v>
      </c>
      <c r="K1278" s="6" t="str">
        <f>"944,48"</f>
        <v>944,48</v>
      </c>
      <c r="L1278" s="6" t="str">
        <f>"236,12"</f>
        <v>236,12</v>
      </c>
      <c r="M1278" s="6" t="str">
        <f>"1.180,60"</f>
        <v>1.180,60</v>
      </c>
      <c r="N1278" s="5">
        <v>43538</v>
      </c>
      <c r="O1278" s="7"/>
      <c r="P1278" s="6" t="str">
        <f>"1.180,60"</f>
        <v>1.180,60</v>
      </c>
      <c r="Q1278" s="7"/>
      <c r="R1278" s="1"/>
      <c r="S1278" s="1" t="str">
        <f>"8-19/NOS-132-B/17"</f>
        <v>8-19/NOS-132-B/17</v>
      </c>
      <c r="T1278" s="2" t="s">
        <v>33</v>
      </c>
    </row>
    <row r="1279" spans="1:20" ht="25.5" x14ac:dyDescent="0.25">
      <c r="A1279" s="1">
        <v>1275</v>
      </c>
      <c r="B1279" s="1" t="str">
        <f t="shared" si="125"/>
        <v>2017-390</v>
      </c>
      <c r="C1279" s="2" t="s">
        <v>883</v>
      </c>
      <c r="D1279" s="1" t="s">
        <v>382</v>
      </c>
      <c r="E1279" s="3" t="str">
        <f>""</f>
        <v/>
      </c>
      <c r="F1279" s="2" t="s">
        <v>27</v>
      </c>
      <c r="G1279" s="2" t="str">
        <f t="shared" si="126"/>
        <v>M.B. AUTO  d.o.o., KOLEDOVČINA 8, 10000 ZAGREB, OIB: 8902734372</v>
      </c>
      <c r="H1279" s="4"/>
      <c r="I1279" s="1" t="s">
        <v>463</v>
      </c>
      <c r="J1279" s="1" t="s">
        <v>303</v>
      </c>
      <c r="K1279" s="6" t="str">
        <f>"885,78"</f>
        <v>885,78</v>
      </c>
      <c r="L1279" s="6" t="str">
        <f>"221,45"</f>
        <v>221,45</v>
      </c>
      <c r="M1279" s="6" t="str">
        <f>"1.107,23"</f>
        <v>1.107,23</v>
      </c>
      <c r="N1279" s="5">
        <v>43551</v>
      </c>
      <c r="O1279" s="7"/>
      <c r="P1279" s="6" t="str">
        <f>"1.107,22"</f>
        <v>1.107,22</v>
      </c>
      <c r="Q1279" s="7"/>
      <c r="R1279" s="1"/>
      <c r="S1279" s="1" t="str">
        <f>"9-19/NOS-132-B/17"</f>
        <v>9-19/NOS-132-B/17</v>
      </c>
      <c r="T1279" s="2" t="s">
        <v>33</v>
      </c>
    </row>
    <row r="1280" spans="1:20" ht="25.5" x14ac:dyDescent="0.25">
      <c r="A1280" s="1">
        <v>1276</v>
      </c>
      <c r="B1280" s="1" t="str">
        <f t="shared" si="125"/>
        <v>2017-390</v>
      </c>
      <c r="C1280" s="2" t="s">
        <v>883</v>
      </c>
      <c r="D1280" s="1" t="s">
        <v>382</v>
      </c>
      <c r="E1280" s="3" t="str">
        <f>""</f>
        <v/>
      </c>
      <c r="F1280" s="2" t="s">
        <v>27</v>
      </c>
      <c r="G1280" s="2" t="str">
        <f t="shared" si="126"/>
        <v>M.B. AUTO  d.o.o., KOLEDOVČINA 8, 10000 ZAGREB, OIB: 8902734372</v>
      </c>
      <c r="H1280" s="4"/>
      <c r="I1280" s="1" t="s">
        <v>244</v>
      </c>
      <c r="J1280" s="1" t="s">
        <v>303</v>
      </c>
      <c r="K1280" s="6" t="str">
        <f>"3.764,45"</f>
        <v>3.764,45</v>
      </c>
      <c r="L1280" s="6" t="str">
        <f>"941,11"</f>
        <v>941,11</v>
      </c>
      <c r="M1280" s="6" t="str">
        <f>"4.705,56"</f>
        <v>4.705,56</v>
      </c>
      <c r="N1280" s="5">
        <v>43556</v>
      </c>
      <c r="O1280" s="7"/>
      <c r="P1280" s="6" t="str">
        <f>"4.705,56"</f>
        <v>4.705,56</v>
      </c>
      <c r="Q1280" s="7"/>
      <c r="R1280" s="1"/>
      <c r="S1280" s="1" t="str">
        <f>"10-19/NOS-132-B/17"</f>
        <v>10-19/NOS-132-B/17</v>
      </c>
      <c r="T1280" s="2" t="s">
        <v>33</v>
      </c>
    </row>
    <row r="1281" spans="1:20" ht="25.5" x14ac:dyDescent="0.25">
      <c r="A1281" s="1">
        <v>1277</v>
      </c>
      <c r="B1281" s="1" t="str">
        <f t="shared" si="125"/>
        <v>2017-390</v>
      </c>
      <c r="C1281" s="2" t="s">
        <v>883</v>
      </c>
      <c r="D1281" s="1" t="s">
        <v>382</v>
      </c>
      <c r="E1281" s="3" t="str">
        <f>""</f>
        <v/>
      </c>
      <c r="F1281" s="2" t="s">
        <v>27</v>
      </c>
      <c r="G1281" s="2" t="str">
        <f t="shared" si="126"/>
        <v>M.B. AUTO  d.o.o., KOLEDOVČINA 8, 10000 ZAGREB, OIB: 8902734372</v>
      </c>
      <c r="H1281" s="4"/>
      <c r="I1281" s="1" t="s">
        <v>302</v>
      </c>
      <c r="J1281" s="1" t="s">
        <v>303</v>
      </c>
      <c r="K1281" s="6" t="str">
        <f>"8.326,11"</f>
        <v>8.326,11</v>
      </c>
      <c r="L1281" s="6" t="str">
        <f>"2.081,53"</f>
        <v>2.081,53</v>
      </c>
      <c r="M1281" s="6" t="str">
        <f>"10.407,64"</f>
        <v>10.407,64</v>
      </c>
      <c r="N1281" s="5">
        <v>43585</v>
      </c>
      <c r="O1281" s="7"/>
      <c r="P1281" s="6" t="str">
        <f>"10.407,64"</f>
        <v>10.407,64</v>
      </c>
      <c r="Q1281" s="7"/>
      <c r="R1281" s="1"/>
      <c r="S1281" s="1" t="str">
        <f>"11-19/NOS-132-B/17"</f>
        <v>11-19/NOS-132-B/17</v>
      </c>
      <c r="T1281" s="2" t="s">
        <v>33</v>
      </c>
    </row>
    <row r="1282" spans="1:20" ht="25.5" x14ac:dyDescent="0.25">
      <c r="A1282" s="1">
        <v>1278</v>
      </c>
      <c r="B1282" s="1" t="str">
        <f t="shared" si="125"/>
        <v>2017-390</v>
      </c>
      <c r="C1282" s="2" t="s">
        <v>883</v>
      </c>
      <c r="D1282" s="1" t="s">
        <v>382</v>
      </c>
      <c r="E1282" s="3" t="str">
        <f>""</f>
        <v/>
      </c>
      <c r="F1282" s="2" t="s">
        <v>27</v>
      </c>
      <c r="G1282" s="2" t="str">
        <f t="shared" si="126"/>
        <v>M.B. AUTO  d.o.o., KOLEDOVČINA 8, 10000 ZAGREB, OIB: 8902734372</v>
      </c>
      <c r="H1282" s="4"/>
      <c r="I1282" s="1" t="s">
        <v>394</v>
      </c>
      <c r="J1282" s="1" t="s">
        <v>303</v>
      </c>
      <c r="K1282" s="6" t="str">
        <f>"3.277,74"</f>
        <v>3.277,74</v>
      </c>
      <c r="L1282" s="6" t="str">
        <f>"819,44"</f>
        <v>819,44</v>
      </c>
      <c r="M1282" s="6" t="str">
        <f>"4.097,18"</f>
        <v>4.097,18</v>
      </c>
      <c r="N1282" s="5">
        <v>43567</v>
      </c>
      <c r="O1282" s="7"/>
      <c r="P1282" s="6" t="str">
        <f>"4.097,18"</f>
        <v>4.097,18</v>
      </c>
      <c r="Q1282" s="7"/>
      <c r="R1282" s="1"/>
      <c r="S1282" s="1" t="str">
        <f>"12-19/NOS-132-B/17"</f>
        <v>12-19/NOS-132-B/17</v>
      </c>
      <c r="T1282" s="2" t="s">
        <v>33</v>
      </c>
    </row>
    <row r="1283" spans="1:20" ht="25.5" x14ac:dyDescent="0.25">
      <c r="A1283" s="1">
        <v>1279</v>
      </c>
      <c r="B1283" s="1" t="str">
        <f t="shared" si="125"/>
        <v>2017-390</v>
      </c>
      <c r="C1283" s="2" t="s">
        <v>883</v>
      </c>
      <c r="D1283" s="1" t="s">
        <v>382</v>
      </c>
      <c r="E1283" s="3" t="str">
        <f>""</f>
        <v/>
      </c>
      <c r="F1283" s="2" t="s">
        <v>27</v>
      </c>
      <c r="G1283" s="2" t="str">
        <f t="shared" si="126"/>
        <v>M.B. AUTO  d.o.o., KOLEDOVČINA 8, 10000 ZAGREB, OIB: 8902734372</v>
      </c>
      <c r="H1283" s="4"/>
      <c r="I1283" s="1" t="s">
        <v>340</v>
      </c>
      <c r="J1283" s="1" t="s">
        <v>303</v>
      </c>
      <c r="K1283" s="6" t="str">
        <f>"2.233,85"</f>
        <v>2.233,85</v>
      </c>
      <c r="L1283" s="6" t="str">
        <f>"558,46"</f>
        <v>558,46</v>
      </c>
      <c r="M1283" s="6" t="str">
        <f>"2.792,31"</f>
        <v>2.792,31</v>
      </c>
      <c r="N1283" s="5">
        <v>43566</v>
      </c>
      <c r="O1283" s="7"/>
      <c r="P1283" s="6" t="str">
        <f>"2.792,31"</f>
        <v>2.792,31</v>
      </c>
      <c r="Q1283" s="7"/>
      <c r="R1283" s="1"/>
      <c r="S1283" s="1" t="str">
        <f>"13-19/NOS-132-B/17"</f>
        <v>13-19/NOS-132-B/17</v>
      </c>
      <c r="T1283" s="2" t="s">
        <v>33</v>
      </c>
    </row>
    <row r="1284" spans="1:20" ht="25.5" x14ac:dyDescent="0.25">
      <c r="A1284" s="1">
        <v>1280</v>
      </c>
      <c r="B1284" s="1" t="str">
        <f t="shared" si="125"/>
        <v>2017-390</v>
      </c>
      <c r="C1284" s="2" t="s">
        <v>883</v>
      </c>
      <c r="D1284" s="1" t="s">
        <v>382</v>
      </c>
      <c r="E1284" s="3" t="str">
        <f>""</f>
        <v/>
      </c>
      <c r="F1284" s="2" t="s">
        <v>27</v>
      </c>
      <c r="G1284" s="2" t="str">
        <f t="shared" si="126"/>
        <v>M.B. AUTO  d.o.o., KOLEDOVČINA 8, 10000 ZAGREB, OIB: 8902734372</v>
      </c>
      <c r="H1284" s="4"/>
      <c r="I1284" s="1" t="s">
        <v>343</v>
      </c>
      <c r="J1284" s="1" t="s">
        <v>303</v>
      </c>
      <c r="K1284" s="6" t="str">
        <f>"4.180,00"</f>
        <v>4.180,00</v>
      </c>
      <c r="L1284" s="6" t="str">
        <f>"1.045,00"</f>
        <v>1.045,00</v>
      </c>
      <c r="M1284" s="6" t="str">
        <f>"5.225,00"</f>
        <v>5.225,00</v>
      </c>
      <c r="N1284" s="5">
        <v>43570</v>
      </c>
      <c r="O1284" s="7"/>
      <c r="P1284" s="6" t="str">
        <f>"5.225,00"</f>
        <v>5.225,00</v>
      </c>
      <c r="Q1284" s="7"/>
      <c r="R1284" s="1"/>
      <c r="S1284" s="1" t="str">
        <f>"14-19/NOS-132-B/17"</f>
        <v>14-19/NOS-132-B/17</v>
      </c>
      <c r="T1284" s="2" t="s">
        <v>29</v>
      </c>
    </row>
    <row r="1285" spans="1:20" ht="25.5" x14ac:dyDescent="0.25">
      <c r="A1285" s="1">
        <v>1281</v>
      </c>
      <c r="B1285" s="1" t="str">
        <f t="shared" si="125"/>
        <v>2017-390</v>
      </c>
      <c r="C1285" s="2" t="s">
        <v>883</v>
      </c>
      <c r="D1285" s="1" t="s">
        <v>382</v>
      </c>
      <c r="E1285" s="3" t="str">
        <f>""</f>
        <v/>
      </c>
      <c r="F1285" s="2" t="s">
        <v>27</v>
      </c>
      <c r="G1285" s="2" t="str">
        <f t="shared" si="126"/>
        <v>M.B. AUTO  d.o.o., KOLEDOVČINA 8, 10000 ZAGREB, OIB: 8902734372</v>
      </c>
      <c r="H1285" s="4"/>
      <c r="I1285" s="1" t="s">
        <v>344</v>
      </c>
      <c r="J1285" s="1" t="s">
        <v>303</v>
      </c>
      <c r="K1285" s="6" t="str">
        <f>"1.060,92"</f>
        <v>1.060,92</v>
      </c>
      <c r="L1285" s="6" t="str">
        <f>"265,23"</f>
        <v>265,23</v>
      </c>
      <c r="M1285" s="6" t="str">
        <f>"1.326,15"</f>
        <v>1.326,15</v>
      </c>
      <c r="N1285" s="5">
        <v>43572</v>
      </c>
      <c r="O1285" s="7"/>
      <c r="P1285" s="6" t="str">
        <f>"1.326,15"</f>
        <v>1.326,15</v>
      </c>
      <c r="Q1285" s="7"/>
      <c r="R1285" s="1"/>
      <c r="S1285" s="1" t="str">
        <f>"15-19/NOS-132-B/17"</f>
        <v>15-19/NOS-132-B/17</v>
      </c>
      <c r="T1285" s="2" t="s">
        <v>29</v>
      </c>
    </row>
    <row r="1286" spans="1:20" ht="25.5" x14ac:dyDescent="0.25">
      <c r="A1286" s="1">
        <v>1282</v>
      </c>
      <c r="B1286" s="1" t="str">
        <f t="shared" si="125"/>
        <v>2017-390</v>
      </c>
      <c r="C1286" s="2" t="s">
        <v>883</v>
      </c>
      <c r="D1286" s="1" t="s">
        <v>382</v>
      </c>
      <c r="E1286" s="3" t="str">
        <f>""</f>
        <v/>
      </c>
      <c r="F1286" s="2" t="s">
        <v>27</v>
      </c>
      <c r="G1286" s="2" t="str">
        <f t="shared" si="126"/>
        <v>M.B. AUTO  d.o.o., KOLEDOVČINA 8, 10000 ZAGREB, OIB: 8902734372</v>
      </c>
      <c r="H1286" s="4"/>
      <c r="I1286" s="1" t="s">
        <v>637</v>
      </c>
      <c r="J1286" s="1" t="s">
        <v>303</v>
      </c>
      <c r="K1286" s="6" t="str">
        <f>"3.409,67"</f>
        <v>3.409,67</v>
      </c>
      <c r="L1286" s="6" t="str">
        <f>"852,42"</f>
        <v>852,42</v>
      </c>
      <c r="M1286" s="6" t="str">
        <f>"4.262,09"</f>
        <v>4.262,09</v>
      </c>
      <c r="N1286" s="5">
        <v>43712</v>
      </c>
      <c r="O1286" s="7"/>
      <c r="P1286" s="6" t="str">
        <f>"4.262,09"</f>
        <v>4.262,09</v>
      </c>
      <c r="Q1286" s="7"/>
      <c r="R1286" s="1"/>
      <c r="S1286" s="1" t="str">
        <f>"16-19/NOS-132-B/17"</f>
        <v>16-19/NOS-132-B/17</v>
      </c>
      <c r="T1286" s="2" t="s">
        <v>29</v>
      </c>
    </row>
    <row r="1287" spans="1:20" ht="25.5" x14ac:dyDescent="0.25">
      <c r="A1287" s="1">
        <v>1283</v>
      </c>
      <c r="B1287" s="1" t="str">
        <f t="shared" si="125"/>
        <v>2017-390</v>
      </c>
      <c r="C1287" s="2" t="s">
        <v>883</v>
      </c>
      <c r="D1287" s="1" t="s">
        <v>382</v>
      </c>
      <c r="E1287" s="3" t="str">
        <f>""</f>
        <v/>
      </c>
      <c r="F1287" s="2" t="s">
        <v>27</v>
      </c>
      <c r="G1287" s="2" t="str">
        <f t="shared" si="126"/>
        <v>M.B. AUTO  d.o.o., KOLEDOVČINA 8, 10000 ZAGREB, OIB: 8902734372</v>
      </c>
      <c r="H1287" s="4"/>
      <c r="I1287" s="1" t="s">
        <v>637</v>
      </c>
      <c r="J1287" s="1" t="s">
        <v>303</v>
      </c>
      <c r="K1287" s="6" t="str">
        <f>"4.101,44"</f>
        <v>4.101,44</v>
      </c>
      <c r="L1287" s="6" t="str">
        <f>"1.025,36"</f>
        <v>1.025,36</v>
      </c>
      <c r="M1287" s="6" t="str">
        <f>"5.126,80"</f>
        <v>5.126,80</v>
      </c>
      <c r="N1287" s="5">
        <v>43712</v>
      </c>
      <c r="O1287" s="7"/>
      <c r="P1287" s="6" t="str">
        <f>"5.126,80"</f>
        <v>5.126,80</v>
      </c>
      <c r="Q1287" s="7"/>
      <c r="R1287" s="1"/>
      <c r="S1287" s="1" t="str">
        <f>"17-19/NOS-132-B/17"</f>
        <v>17-19/NOS-132-B/17</v>
      </c>
      <c r="T1287" s="2" t="s">
        <v>29</v>
      </c>
    </row>
    <row r="1288" spans="1:20" ht="25.5" x14ac:dyDescent="0.25">
      <c r="A1288" s="1">
        <v>1284</v>
      </c>
      <c r="B1288" s="1" t="str">
        <f t="shared" si="125"/>
        <v>2017-390</v>
      </c>
      <c r="C1288" s="2" t="s">
        <v>883</v>
      </c>
      <c r="D1288" s="1" t="s">
        <v>382</v>
      </c>
      <c r="E1288" s="3" t="str">
        <f>""</f>
        <v/>
      </c>
      <c r="F1288" s="2" t="s">
        <v>27</v>
      </c>
      <c r="G1288" s="2" t="str">
        <f t="shared" si="126"/>
        <v>M.B. AUTO  d.o.o., KOLEDOVČINA 8, 10000 ZAGREB, OIB: 8902734372</v>
      </c>
      <c r="H1288" s="4"/>
      <c r="I1288" s="1" t="s">
        <v>401</v>
      </c>
      <c r="J1288" s="1" t="s">
        <v>303</v>
      </c>
      <c r="K1288" s="6" t="str">
        <f>"72,80"</f>
        <v>72,80</v>
      </c>
      <c r="L1288" s="6" t="str">
        <f>"18,20"</f>
        <v>18,20</v>
      </c>
      <c r="M1288" s="6" t="str">
        <f>"91,00"</f>
        <v>91,00</v>
      </c>
      <c r="N1288" s="5">
        <v>43595</v>
      </c>
      <c r="O1288" s="7"/>
      <c r="P1288" s="6" t="str">
        <f>"91,00"</f>
        <v>91,00</v>
      </c>
      <c r="Q1288" s="7"/>
      <c r="R1288" s="1"/>
      <c r="S1288" s="1" t="str">
        <f>"18-19/NOS-132-B/17"</f>
        <v>18-19/NOS-132-B/17</v>
      </c>
      <c r="T1288" s="2" t="s">
        <v>33</v>
      </c>
    </row>
    <row r="1289" spans="1:20" ht="25.5" x14ac:dyDescent="0.25">
      <c r="A1289" s="1">
        <v>1285</v>
      </c>
      <c r="B1289" s="1" t="str">
        <f t="shared" si="125"/>
        <v>2017-390</v>
      </c>
      <c r="C1289" s="2" t="s">
        <v>883</v>
      </c>
      <c r="D1289" s="1" t="s">
        <v>382</v>
      </c>
      <c r="E1289" s="3" t="str">
        <f>""</f>
        <v/>
      </c>
      <c r="F1289" s="2" t="s">
        <v>27</v>
      </c>
      <c r="G1289" s="2" t="str">
        <f t="shared" si="126"/>
        <v>M.B. AUTO  d.o.o., KOLEDOVČINA 8, 10000 ZAGREB, OIB: 8902734372</v>
      </c>
      <c r="H1289" s="4"/>
      <c r="I1289" s="1" t="s">
        <v>401</v>
      </c>
      <c r="J1289" s="1" t="s">
        <v>303</v>
      </c>
      <c r="K1289" s="6" t="str">
        <f>"1.046,90"</f>
        <v>1.046,90</v>
      </c>
      <c r="L1289" s="6" t="str">
        <f>"261,73"</f>
        <v>261,73</v>
      </c>
      <c r="M1289" s="6" t="str">
        <f>"1.308,63"</f>
        <v>1.308,63</v>
      </c>
      <c r="N1289" s="5">
        <v>43602</v>
      </c>
      <c r="O1289" s="7"/>
      <c r="P1289" s="6" t="str">
        <f>"1.308,62"</f>
        <v>1.308,62</v>
      </c>
      <c r="Q1289" s="7"/>
      <c r="R1289" s="1"/>
      <c r="S1289" s="1" t="str">
        <f>"20-19/NOS-132-B/17"</f>
        <v>20-19/NOS-132-B/17</v>
      </c>
      <c r="T1289" s="2" t="s">
        <v>33</v>
      </c>
    </row>
    <row r="1290" spans="1:20" ht="25.5" x14ac:dyDescent="0.25">
      <c r="A1290" s="1">
        <v>1286</v>
      </c>
      <c r="B1290" s="1" t="str">
        <f t="shared" si="125"/>
        <v>2017-390</v>
      </c>
      <c r="C1290" s="2" t="s">
        <v>883</v>
      </c>
      <c r="D1290" s="1" t="s">
        <v>382</v>
      </c>
      <c r="E1290" s="3" t="str">
        <f>""</f>
        <v/>
      </c>
      <c r="F1290" s="2" t="s">
        <v>27</v>
      </c>
      <c r="G1290" s="2" t="str">
        <f t="shared" si="126"/>
        <v>M.B. AUTO  d.o.o., KOLEDOVČINA 8, 10000 ZAGREB, OIB: 8902734372</v>
      </c>
      <c r="H1290" s="4"/>
      <c r="I1290" s="1" t="s">
        <v>590</v>
      </c>
      <c r="J1290" s="1" t="s">
        <v>303</v>
      </c>
      <c r="K1290" s="6" t="str">
        <f>"3.565,57"</f>
        <v>3.565,57</v>
      </c>
      <c r="L1290" s="6" t="str">
        <f>"891,39"</f>
        <v>891,39</v>
      </c>
      <c r="M1290" s="6" t="str">
        <f>"4.456,96"</f>
        <v>4.456,96</v>
      </c>
      <c r="N1290" s="5">
        <v>43607</v>
      </c>
      <c r="O1290" s="7"/>
      <c r="P1290" s="6" t="str">
        <f>"4.456,96"</f>
        <v>4.456,96</v>
      </c>
      <c r="Q1290" s="7"/>
      <c r="R1290" s="1"/>
      <c r="S1290" s="1" t="str">
        <f>"21-19/NOS-132-B/17"</f>
        <v>21-19/NOS-132-B/17</v>
      </c>
      <c r="T1290" s="2" t="s">
        <v>29</v>
      </c>
    </row>
    <row r="1291" spans="1:20" ht="25.5" x14ac:dyDescent="0.25">
      <c r="A1291" s="1">
        <v>1287</v>
      </c>
      <c r="B1291" s="1" t="str">
        <f t="shared" si="125"/>
        <v>2017-390</v>
      </c>
      <c r="C1291" s="2" t="s">
        <v>883</v>
      </c>
      <c r="D1291" s="1" t="s">
        <v>382</v>
      </c>
      <c r="E1291" s="3" t="str">
        <f>""</f>
        <v/>
      </c>
      <c r="F1291" s="2" t="s">
        <v>27</v>
      </c>
      <c r="G1291" s="2" t="str">
        <f t="shared" si="126"/>
        <v>M.B. AUTO  d.o.o., KOLEDOVČINA 8, 10000 ZAGREB, OIB: 8902734372</v>
      </c>
      <c r="H1291" s="4"/>
      <c r="I1291" s="1" t="s">
        <v>464</v>
      </c>
      <c r="J1291" s="1" t="s">
        <v>303</v>
      </c>
      <c r="K1291" s="6" t="str">
        <f>"294,11"</f>
        <v>294,11</v>
      </c>
      <c r="L1291" s="6" t="str">
        <f>"73,53"</f>
        <v>73,53</v>
      </c>
      <c r="M1291" s="6" t="str">
        <f>"367,64"</f>
        <v>367,64</v>
      </c>
      <c r="N1291" s="5">
        <v>43595</v>
      </c>
      <c r="O1291" s="7"/>
      <c r="P1291" s="6" t="str">
        <f>"367,64"</f>
        <v>367,64</v>
      </c>
      <c r="Q1291" s="7"/>
      <c r="R1291" s="1"/>
      <c r="S1291" s="1" t="str">
        <f>"22-19/NOS-132-B/17"</f>
        <v>22-19/NOS-132-B/17</v>
      </c>
      <c r="T1291" s="2" t="s">
        <v>33</v>
      </c>
    </row>
    <row r="1292" spans="1:20" ht="25.5" x14ac:dyDescent="0.25">
      <c r="A1292" s="1">
        <v>1288</v>
      </c>
      <c r="B1292" s="1" t="str">
        <f t="shared" si="125"/>
        <v>2017-390</v>
      </c>
      <c r="C1292" s="2" t="s">
        <v>883</v>
      </c>
      <c r="D1292" s="1" t="s">
        <v>382</v>
      </c>
      <c r="E1292" s="3" t="str">
        <f>""</f>
        <v/>
      </c>
      <c r="F1292" s="2" t="s">
        <v>27</v>
      </c>
      <c r="G1292" s="2" t="str">
        <f t="shared" si="126"/>
        <v>M.B. AUTO  d.o.o., KOLEDOVČINA 8, 10000 ZAGREB, OIB: 8902734372</v>
      </c>
      <c r="H1292" s="4"/>
      <c r="I1292" s="1" t="s">
        <v>590</v>
      </c>
      <c r="J1292" s="1" t="s">
        <v>303</v>
      </c>
      <c r="K1292" s="6" t="str">
        <f>"1.737,82"</f>
        <v>1.737,82</v>
      </c>
      <c r="L1292" s="6" t="str">
        <f>"434,46"</f>
        <v>434,46</v>
      </c>
      <c r="M1292" s="6" t="str">
        <f>"2.172,28"</f>
        <v>2.172,28</v>
      </c>
      <c r="N1292" s="5">
        <v>43607</v>
      </c>
      <c r="O1292" s="7"/>
      <c r="P1292" s="6" t="str">
        <f>"2.172,28"</f>
        <v>2.172,28</v>
      </c>
      <c r="Q1292" s="7"/>
      <c r="R1292" s="1"/>
      <c r="S1292" s="1" t="str">
        <f>"23-19/NOS-132-B/17"</f>
        <v>23-19/NOS-132-B/17</v>
      </c>
      <c r="T1292" s="2" t="s">
        <v>29</v>
      </c>
    </row>
    <row r="1293" spans="1:20" ht="25.5" x14ac:dyDescent="0.25">
      <c r="A1293" s="1">
        <v>1289</v>
      </c>
      <c r="B1293" s="1" t="str">
        <f t="shared" si="125"/>
        <v>2017-390</v>
      </c>
      <c r="C1293" s="2" t="s">
        <v>883</v>
      </c>
      <c r="D1293" s="1" t="s">
        <v>382</v>
      </c>
      <c r="E1293" s="3" t="str">
        <f>""</f>
        <v/>
      </c>
      <c r="F1293" s="2" t="s">
        <v>27</v>
      </c>
      <c r="G1293" s="2" t="str">
        <f t="shared" si="126"/>
        <v>M.B. AUTO  d.o.o., KOLEDOVČINA 8, 10000 ZAGREB, OIB: 8902734372</v>
      </c>
      <c r="H1293" s="4"/>
      <c r="I1293" s="1" t="s">
        <v>590</v>
      </c>
      <c r="J1293" s="1" t="s">
        <v>303</v>
      </c>
      <c r="K1293" s="6" t="str">
        <f>"1.310,68"</f>
        <v>1.310,68</v>
      </c>
      <c r="L1293" s="6" t="str">
        <f>"327,67"</f>
        <v>327,67</v>
      </c>
      <c r="M1293" s="6" t="str">
        <f>"1.638,35"</f>
        <v>1.638,35</v>
      </c>
      <c r="N1293" s="5">
        <v>43607</v>
      </c>
      <c r="O1293" s="7"/>
      <c r="P1293" s="6" t="str">
        <f>"1.638,35"</f>
        <v>1.638,35</v>
      </c>
      <c r="Q1293" s="7"/>
      <c r="R1293" s="1"/>
      <c r="S1293" s="1" t="str">
        <f>"24-19/NOS-132-B/17"</f>
        <v>24-19/NOS-132-B/17</v>
      </c>
      <c r="T1293" s="2" t="s">
        <v>33</v>
      </c>
    </row>
    <row r="1294" spans="1:20" ht="25.5" x14ac:dyDescent="0.25">
      <c r="A1294" s="1">
        <v>1290</v>
      </c>
      <c r="B1294" s="1" t="str">
        <f t="shared" si="125"/>
        <v>2017-390</v>
      </c>
      <c r="C1294" s="2" t="s">
        <v>883</v>
      </c>
      <c r="D1294" s="1" t="s">
        <v>382</v>
      </c>
      <c r="E1294" s="3" t="str">
        <f>""</f>
        <v/>
      </c>
      <c r="F1294" s="2" t="s">
        <v>27</v>
      </c>
      <c r="G1294" s="2" t="str">
        <f t="shared" si="126"/>
        <v>M.B. AUTO  d.o.o., KOLEDOVČINA 8, 10000 ZAGREB, OIB: 8902734372</v>
      </c>
      <c r="H1294" s="4"/>
      <c r="I1294" s="1" t="s">
        <v>355</v>
      </c>
      <c r="J1294" s="1" t="s">
        <v>303</v>
      </c>
      <c r="K1294" s="6" t="str">
        <f>"2.989,88"</f>
        <v>2.989,88</v>
      </c>
      <c r="L1294" s="6" t="str">
        <f>"747,47"</f>
        <v>747,47</v>
      </c>
      <c r="M1294" s="6" t="str">
        <f>"3.737,35"</f>
        <v>3.737,35</v>
      </c>
      <c r="N1294" s="5">
        <v>43630</v>
      </c>
      <c r="O1294" s="7"/>
      <c r="P1294" s="6" t="str">
        <f>"3.737,35"</f>
        <v>3.737,35</v>
      </c>
      <c r="Q1294" s="7"/>
      <c r="R1294" s="1"/>
      <c r="S1294" s="1" t="str">
        <f>"25-19/NOS-132-B/17"</f>
        <v>25-19/NOS-132-B/17</v>
      </c>
      <c r="T1294" s="2" t="s">
        <v>33</v>
      </c>
    </row>
    <row r="1295" spans="1:20" ht="25.5" x14ac:dyDescent="0.25">
      <c r="A1295" s="1">
        <v>1291</v>
      </c>
      <c r="B1295" s="1" t="str">
        <f t="shared" si="125"/>
        <v>2017-390</v>
      </c>
      <c r="C1295" s="2" t="s">
        <v>883</v>
      </c>
      <c r="D1295" s="1" t="s">
        <v>382</v>
      </c>
      <c r="E1295" s="3" t="str">
        <f>""</f>
        <v/>
      </c>
      <c r="F1295" s="2" t="s">
        <v>27</v>
      </c>
      <c r="G1295" s="2" t="str">
        <f t="shared" si="126"/>
        <v>M.B. AUTO  d.o.o., KOLEDOVČINA 8, 10000 ZAGREB, OIB: 8902734372</v>
      </c>
      <c r="H1295" s="4"/>
      <c r="I1295" s="1" t="s">
        <v>334</v>
      </c>
      <c r="J1295" s="1" t="s">
        <v>303</v>
      </c>
      <c r="K1295" s="6" t="str">
        <f>"7.800,10"</f>
        <v>7.800,10</v>
      </c>
      <c r="L1295" s="6" t="str">
        <f>"1.950,03"</f>
        <v>1.950,03</v>
      </c>
      <c r="M1295" s="6" t="str">
        <f>"9.750,13"</f>
        <v>9.750,13</v>
      </c>
      <c r="N1295" s="5">
        <v>43613</v>
      </c>
      <c r="O1295" s="7"/>
      <c r="P1295" s="6" t="str">
        <f>"9.750,12"</f>
        <v>9.750,12</v>
      </c>
      <c r="Q1295" s="7"/>
      <c r="R1295" s="1"/>
      <c r="S1295" s="1" t="str">
        <f>"26-19/NOS-132-B/17"</f>
        <v>26-19/NOS-132-B/17</v>
      </c>
      <c r="T1295" s="2" t="s">
        <v>33</v>
      </c>
    </row>
    <row r="1296" spans="1:20" ht="25.5" x14ac:dyDescent="0.25">
      <c r="A1296" s="1">
        <v>1292</v>
      </c>
      <c r="B1296" s="1" t="str">
        <f t="shared" si="125"/>
        <v>2017-390</v>
      </c>
      <c r="C1296" s="2" t="s">
        <v>883</v>
      </c>
      <c r="D1296" s="1" t="s">
        <v>382</v>
      </c>
      <c r="E1296" s="3" t="str">
        <f>""</f>
        <v/>
      </c>
      <c r="F1296" s="2" t="s">
        <v>27</v>
      </c>
      <c r="G1296" s="2" t="str">
        <f t="shared" si="126"/>
        <v>M.B. AUTO  d.o.o., KOLEDOVČINA 8, 10000 ZAGREB, OIB: 8902734372</v>
      </c>
      <c r="H1296" s="4"/>
      <c r="I1296" s="1" t="s">
        <v>334</v>
      </c>
      <c r="J1296" s="1" t="s">
        <v>303</v>
      </c>
      <c r="K1296" s="6" t="str">
        <f>"1.224,88"</f>
        <v>1.224,88</v>
      </c>
      <c r="L1296" s="6" t="str">
        <f>"306,22"</f>
        <v>306,22</v>
      </c>
      <c r="M1296" s="6" t="str">
        <f>"1.531,10"</f>
        <v>1.531,10</v>
      </c>
      <c r="N1296" s="5">
        <v>43609</v>
      </c>
      <c r="O1296" s="7"/>
      <c r="P1296" s="6" t="str">
        <f>"1.531,10"</f>
        <v>1.531,10</v>
      </c>
      <c r="Q1296" s="7"/>
      <c r="R1296" s="1"/>
      <c r="S1296" s="1" t="str">
        <f>"27-19/NOS-132-B/17"</f>
        <v>27-19/NOS-132-B/17</v>
      </c>
      <c r="T1296" s="2" t="s">
        <v>33</v>
      </c>
    </row>
    <row r="1297" spans="1:20" ht="25.5" x14ac:dyDescent="0.25">
      <c r="A1297" s="1">
        <v>1293</v>
      </c>
      <c r="B1297" s="1" t="str">
        <f t="shared" si="125"/>
        <v>2017-390</v>
      </c>
      <c r="C1297" s="2" t="s">
        <v>883</v>
      </c>
      <c r="D1297" s="1" t="s">
        <v>382</v>
      </c>
      <c r="E1297" s="3" t="str">
        <f>""</f>
        <v/>
      </c>
      <c r="F1297" s="2" t="s">
        <v>27</v>
      </c>
      <c r="G1297" s="2" t="str">
        <f t="shared" si="126"/>
        <v>M.B. AUTO  d.o.o., KOLEDOVČINA 8, 10000 ZAGREB, OIB: 8902734372</v>
      </c>
      <c r="H1297" s="4"/>
      <c r="I1297" s="1" t="s">
        <v>334</v>
      </c>
      <c r="J1297" s="1" t="s">
        <v>303</v>
      </c>
      <c r="K1297" s="6" t="str">
        <f>"1.628,12"</f>
        <v>1.628,12</v>
      </c>
      <c r="L1297" s="6" t="str">
        <f>"407,03"</f>
        <v>407,03</v>
      </c>
      <c r="M1297" s="6" t="str">
        <f>"2.035,15"</f>
        <v>2.035,15</v>
      </c>
      <c r="N1297" s="5">
        <v>43607</v>
      </c>
      <c r="O1297" s="7"/>
      <c r="P1297" s="6" t="str">
        <f>"2.035,15"</f>
        <v>2.035,15</v>
      </c>
      <c r="Q1297" s="7"/>
      <c r="R1297" s="1"/>
      <c r="S1297" s="1" t="str">
        <f>"28-19/NOS-132-B/17"</f>
        <v>28-19/NOS-132-B/17</v>
      </c>
      <c r="T1297" s="2" t="s">
        <v>33</v>
      </c>
    </row>
    <row r="1298" spans="1:20" ht="25.5" x14ac:dyDescent="0.25">
      <c r="A1298" s="1">
        <v>1294</v>
      </c>
      <c r="B1298" s="1" t="str">
        <f t="shared" si="125"/>
        <v>2017-390</v>
      </c>
      <c r="C1298" s="2" t="s">
        <v>883</v>
      </c>
      <c r="D1298" s="1" t="s">
        <v>382</v>
      </c>
      <c r="E1298" s="3" t="str">
        <f>""</f>
        <v/>
      </c>
      <c r="F1298" s="2" t="s">
        <v>27</v>
      </c>
      <c r="G1298" s="2" t="str">
        <f t="shared" si="126"/>
        <v>M.B. AUTO  d.o.o., KOLEDOVČINA 8, 10000 ZAGREB, OIB: 8902734372</v>
      </c>
      <c r="H1298" s="4"/>
      <c r="I1298" s="1" t="s">
        <v>521</v>
      </c>
      <c r="J1298" s="1" t="s">
        <v>303</v>
      </c>
      <c r="K1298" s="6" t="str">
        <f>"36.640,95"</f>
        <v>36.640,95</v>
      </c>
      <c r="L1298" s="6" t="str">
        <f>"9.160,24"</f>
        <v>9.160,24</v>
      </c>
      <c r="M1298" s="6" t="str">
        <f>"45.801,19"</f>
        <v>45.801,19</v>
      </c>
      <c r="N1298" s="5">
        <v>43613</v>
      </c>
      <c r="O1298" s="7"/>
      <c r="P1298" s="6" t="str">
        <f>"45.801,19"</f>
        <v>45.801,19</v>
      </c>
      <c r="Q1298" s="7"/>
      <c r="R1298" s="1"/>
      <c r="S1298" s="1" t="str">
        <f>"29-19/NOS-132-B/17"</f>
        <v>29-19/NOS-132-B/17</v>
      </c>
      <c r="T1298" s="2" t="s">
        <v>33</v>
      </c>
    </row>
    <row r="1299" spans="1:20" ht="25.5" x14ac:dyDescent="0.25">
      <c r="A1299" s="1">
        <v>1295</v>
      </c>
      <c r="B1299" s="1" t="str">
        <f t="shared" si="125"/>
        <v>2017-390</v>
      </c>
      <c r="C1299" s="2" t="s">
        <v>883</v>
      </c>
      <c r="D1299" s="1" t="s">
        <v>382</v>
      </c>
      <c r="E1299" s="3" t="str">
        <f>""</f>
        <v/>
      </c>
      <c r="F1299" s="2" t="s">
        <v>27</v>
      </c>
      <c r="G1299" s="2" t="str">
        <f t="shared" si="126"/>
        <v>M.B. AUTO  d.o.o., KOLEDOVČINA 8, 10000 ZAGREB, OIB: 8902734372</v>
      </c>
      <c r="H1299" s="4"/>
      <c r="I1299" s="1" t="s">
        <v>317</v>
      </c>
      <c r="J1299" s="1" t="s">
        <v>303</v>
      </c>
      <c r="K1299" s="6" t="str">
        <f>"1.591,60"</f>
        <v>1.591,60</v>
      </c>
      <c r="L1299" s="6" t="str">
        <f>"397,90"</f>
        <v>397,90</v>
      </c>
      <c r="M1299" s="6" t="str">
        <f>"1.989,50"</f>
        <v>1.989,50</v>
      </c>
      <c r="N1299" s="5">
        <v>43630</v>
      </c>
      <c r="O1299" s="7"/>
      <c r="P1299" s="6" t="str">
        <f>"1.989,50"</f>
        <v>1.989,50</v>
      </c>
      <c r="Q1299" s="7"/>
      <c r="R1299" s="1"/>
      <c r="S1299" s="1" t="str">
        <f>"30-19/NOS-132-B/17"</f>
        <v>30-19/NOS-132-B/17</v>
      </c>
      <c r="T1299" s="2" t="s">
        <v>33</v>
      </c>
    </row>
    <row r="1300" spans="1:20" ht="25.5" x14ac:dyDescent="0.25">
      <c r="A1300" s="1">
        <v>1296</v>
      </c>
      <c r="B1300" s="1" t="str">
        <f t="shared" si="125"/>
        <v>2017-390</v>
      </c>
      <c r="C1300" s="2" t="s">
        <v>883</v>
      </c>
      <c r="D1300" s="1" t="s">
        <v>382</v>
      </c>
      <c r="E1300" s="3" t="str">
        <f>""</f>
        <v/>
      </c>
      <c r="F1300" s="2" t="s">
        <v>27</v>
      </c>
      <c r="G1300" s="2" t="str">
        <f t="shared" si="126"/>
        <v>M.B. AUTO  d.o.o., KOLEDOVČINA 8, 10000 ZAGREB, OIB: 8902734372</v>
      </c>
      <c r="H1300" s="4"/>
      <c r="I1300" s="1" t="s">
        <v>74</v>
      </c>
      <c r="J1300" s="1" t="s">
        <v>303</v>
      </c>
      <c r="K1300" s="6" t="str">
        <f>"1.480,23"</f>
        <v>1.480,23</v>
      </c>
      <c r="L1300" s="6" t="str">
        <f>"370,06"</f>
        <v>370,06</v>
      </c>
      <c r="M1300" s="6" t="str">
        <f>"1.850,29"</f>
        <v>1.850,29</v>
      </c>
      <c r="N1300" s="5">
        <v>43630</v>
      </c>
      <c r="O1300" s="7"/>
      <c r="P1300" s="6" t="str">
        <f>"1.850,29"</f>
        <v>1.850,29</v>
      </c>
      <c r="Q1300" s="7"/>
      <c r="R1300" s="1"/>
      <c r="S1300" s="1" t="str">
        <f>"31-19/NOS-132-B/17"</f>
        <v>31-19/NOS-132-B/17</v>
      </c>
      <c r="T1300" s="2" t="s">
        <v>33</v>
      </c>
    </row>
    <row r="1301" spans="1:20" ht="25.5" x14ac:dyDescent="0.25">
      <c r="A1301" s="1">
        <v>1297</v>
      </c>
      <c r="B1301" s="1" t="str">
        <f t="shared" si="125"/>
        <v>2017-390</v>
      </c>
      <c r="C1301" s="2" t="s">
        <v>883</v>
      </c>
      <c r="D1301" s="1" t="s">
        <v>382</v>
      </c>
      <c r="E1301" s="3" t="str">
        <f>""</f>
        <v/>
      </c>
      <c r="F1301" s="2" t="s">
        <v>27</v>
      </c>
      <c r="G1301" s="2" t="str">
        <f t="shared" si="126"/>
        <v>M.B. AUTO  d.o.o., KOLEDOVČINA 8, 10000 ZAGREB, OIB: 8902734372</v>
      </c>
      <c r="H1301" s="4"/>
      <c r="I1301" s="1" t="s">
        <v>639</v>
      </c>
      <c r="J1301" s="1" t="s">
        <v>303</v>
      </c>
      <c r="K1301" s="6" t="str">
        <f>"768,72"</f>
        <v>768,72</v>
      </c>
      <c r="L1301" s="6" t="str">
        <f>"0,00"</f>
        <v>0,00</v>
      </c>
      <c r="M1301" s="6" t="str">
        <f>"0,00"</f>
        <v>0,00</v>
      </c>
      <c r="N1301" s="1" t="s">
        <v>117</v>
      </c>
      <c r="O1301" s="7"/>
      <c r="P1301" s="6" t="str">
        <f>"0,00"</f>
        <v>0,00</v>
      </c>
      <c r="Q1301" s="7"/>
      <c r="R1301" s="1"/>
      <c r="S1301" s="1" t="str">
        <f>"32-19/NOS-132-B/17"</f>
        <v>32-19/NOS-132-B/17</v>
      </c>
      <c r="T1301" s="2" t="s">
        <v>29</v>
      </c>
    </row>
    <row r="1302" spans="1:20" ht="25.5" x14ac:dyDescent="0.25">
      <c r="A1302" s="1">
        <v>1298</v>
      </c>
      <c r="B1302" s="1" t="str">
        <f t="shared" si="125"/>
        <v>2017-390</v>
      </c>
      <c r="C1302" s="2" t="s">
        <v>883</v>
      </c>
      <c r="D1302" s="1" t="s">
        <v>382</v>
      </c>
      <c r="E1302" s="3" t="str">
        <f>""</f>
        <v/>
      </c>
      <c r="F1302" s="2" t="s">
        <v>27</v>
      </c>
      <c r="G1302" s="2" t="str">
        <f t="shared" si="126"/>
        <v>M.B. AUTO  d.o.o., KOLEDOVČINA 8, 10000 ZAGREB, OIB: 8902734372</v>
      </c>
      <c r="H1302" s="4"/>
      <c r="I1302" s="1" t="s">
        <v>402</v>
      </c>
      <c r="J1302" s="1" t="s">
        <v>303</v>
      </c>
      <c r="K1302" s="6" t="str">
        <f>"650,82"</f>
        <v>650,82</v>
      </c>
      <c r="L1302" s="6" t="str">
        <f>"162,71"</f>
        <v>162,71</v>
      </c>
      <c r="M1302" s="6" t="str">
        <f>"813,53"</f>
        <v>813,53</v>
      </c>
      <c r="N1302" s="5">
        <v>43635</v>
      </c>
      <c r="O1302" s="7"/>
      <c r="P1302" s="6" t="str">
        <f>"813,52"</f>
        <v>813,52</v>
      </c>
      <c r="Q1302" s="7"/>
      <c r="R1302" s="1"/>
      <c r="S1302" s="1" t="str">
        <f>"33-19/NOS-132-B/17"</f>
        <v>33-19/NOS-132-B/17</v>
      </c>
      <c r="T1302" s="2" t="s">
        <v>29</v>
      </c>
    </row>
    <row r="1303" spans="1:20" ht="25.5" x14ac:dyDescent="0.25">
      <c r="A1303" s="1">
        <v>1299</v>
      </c>
      <c r="B1303" s="1" t="str">
        <f t="shared" si="125"/>
        <v>2017-390</v>
      </c>
      <c r="C1303" s="2" t="s">
        <v>883</v>
      </c>
      <c r="D1303" s="1" t="s">
        <v>382</v>
      </c>
      <c r="E1303" s="3" t="str">
        <f>""</f>
        <v/>
      </c>
      <c r="F1303" s="2" t="s">
        <v>27</v>
      </c>
      <c r="G1303" s="2" t="str">
        <f t="shared" si="126"/>
        <v>M.B. AUTO  d.o.o., KOLEDOVČINA 8, 10000 ZAGREB, OIB: 8902734372</v>
      </c>
      <c r="H1303" s="4"/>
      <c r="I1303" s="1" t="s">
        <v>162</v>
      </c>
      <c r="J1303" s="1" t="s">
        <v>303</v>
      </c>
      <c r="K1303" s="6" t="str">
        <f>"95,34"</f>
        <v>95,34</v>
      </c>
      <c r="L1303" s="6" t="str">
        <f>"23,84"</f>
        <v>23,84</v>
      </c>
      <c r="M1303" s="6" t="str">
        <f>"119,18"</f>
        <v>119,18</v>
      </c>
      <c r="N1303" s="5">
        <v>43635</v>
      </c>
      <c r="O1303" s="7"/>
      <c r="P1303" s="6" t="str">
        <f>"119,18"</f>
        <v>119,18</v>
      </c>
      <c r="Q1303" s="7"/>
      <c r="R1303" s="1"/>
      <c r="S1303" s="1" t="str">
        <f>"34-19/NOS-132-B/17"</f>
        <v>34-19/NOS-132-B/17</v>
      </c>
      <c r="T1303" s="2" t="s">
        <v>33</v>
      </c>
    </row>
    <row r="1304" spans="1:20" ht="25.5" x14ac:dyDescent="0.25">
      <c r="A1304" s="1">
        <v>1300</v>
      </c>
      <c r="B1304" s="1" t="str">
        <f t="shared" si="125"/>
        <v>2017-390</v>
      </c>
      <c r="C1304" s="2" t="s">
        <v>883</v>
      </c>
      <c r="D1304" s="1" t="s">
        <v>382</v>
      </c>
      <c r="E1304" s="3" t="str">
        <f>""</f>
        <v/>
      </c>
      <c r="F1304" s="2" t="s">
        <v>27</v>
      </c>
      <c r="G1304" s="2" t="str">
        <f t="shared" si="126"/>
        <v>M.B. AUTO  d.o.o., KOLEDOVČINA 8, 10000 ZAGREB, OIB: 8902734372</v>
      </c>
      <c r="H1304" s="4"/>
      <c r="I1304" s="1" t="s">
        <v>597</v>
      </c>
      <c r="J1304" s="1" t="s">
        <v>303</v>
      </c>
      <c r="K1304" s="6" t="str">
        <f>"19.256,60"</f>
        <v>19.256,60</v>
      </c>
      <c r="L1304" s="6" t="str">
        <f>"4.814,15"</f>
        <v>4.814,15</v>
      </c>
      <c r="M1304" s="6" t="str">
        <f>"24.070,75"</f>
        <v>24.070,75</v>
      </c>
      <c r="N1304" s="5">
        <v>43637</v>
      </c>
      <c r="O1304" s="7"/>
      <c r="P1304" s="6" t="str">
        <f>"24.070,75"</f>
        <v>24.070,75</v>
      </c>
      <c r="Q1304" s="7"/>
      <c r="R1304" s="1"/>
      <c r="S1304" s="1" t="str">
        <f>"35-19/NOS-132-B/17"</f>
        <v>35-19/NOS-132-B/17</v>
      </c>
      <c r="T1304" s="2" t="s">
        <v>33</v>
      </c>
    </row>
    <row r="1305" spans="1:20" ht="25.5" x14ac:dyDescent="0.25">
      <c r="A1305" s="1">
        <v>1301</v>
      </c>
      <c r="B1305" s="1" t="str">
        <f t="shared" ref="B1305:B1336" si="127">"2017-390"</f>
        <v>2017-390</v>
      </c>
      <c r="C1305" s="2" t="s">
        <v>883</v>
      </c>
      <c r="D1305" s="1" t="s">
        <v>382</v>
      </c>
      <c r="E1305" s="3" t="str">
        <f>""</f>
        <v/>
      </c>
      <c r="F1305" s="2" t="s">
        <v>27</v>
      </c>
      <c r="G1305" s="2" t="str">
        <f t="shared" ref="G1305:G1336" si="128">CONCATENATE("M.B. AUTO  d.o.o.,"," KOLEDOVČINA 8,"," 10000 ZAGREB,"," OIB: 8902734372")</f>
        <v>M.B. AUTO  d.o.o., KOLEDOVČINA 8, 10000 ZAGREB, OIB: 8902734372</v>
      </c>
      <c r="H1305" s="4"/>
      <c r="I1305" s="1" t="s">
        <v>440</v>
      </c>
      <c r="J1305" s="1" t="s">
        <v>303</v>
      </c>
      <c r="K1305" s="6" t="str">
        <f>"2.131,06"</f>
        <v>2.131,06</v>
      </c>
      <c r="L1305" s="6" t="str">
        <f>"0,00"</f>
        <v>0,00</v>
      </c>
      <c r="M1305" s="6" t="str">
        <f>"0,00"</f>
        <v>0,00</v>
      </c>
      <c r="N1305" s="1" t="s">
        <v>117</v>
      </c>
      <c r="O1305" s="7"/>
      <c r="P1305" s="6" t="str">
        <f>"0,00"</f>
        <v>0,00</v>
      </c>
      <c r="Q1305" s="7"/>
      <c r="R1305" s="1"/>
      <c r="S1305" s="1" t="str">
        <f>"36-19/NOS-132-B/17"</f>
        <v>36-19/NOS-132-B/17</v>
      </c>
      <c r="T1305" s="2" t="s">
        <v>29</v>
      </c>
    </row>
    <row r="1306" spans="1:20" ht="25.5" x14ac:dyDescent="0.25">
      <c r="A1306" s="1">
        <v>1302</v>
      </c>
      <c r="B1306" s="1" t="str">
        <f t="shared" si="127"/>
        <v>2017-390</v>
      </c>
      <c r="C1306" s="2" t="s">
        <v>883</v>
      </c>
      <c r="D1306" s="1" t="s">
        <v>382</v>
      </c>
      <c r="E1306" s="3" t="str">
        <f>""</f>
        <v/>
      </c>
      <c r="F1306" s="2" t="s">
        <v>27</v>
      </c>
      <c r="G1306" s="2" t="str">
        <f t="shared" si="128"/>
        <v>M.B. AUTO  d.o.o., KOLEDOVČINA 8, 10000 ZAGREB, OIB: 8902734372</v>
      </c>
      <c r="H1306" s="4"/>
      <c r="I1306" s="1" t="s">
        <v>440</v>
      </c>
      <c r="J1306" s="1" t="s">
        <v>303</v>
      </c>
      <c r="K1306" s="6" t="str">
        <f>"150,80"</f>
        <v>150,80</v>
      </c>
      <c r="L1306" s="6" t="str">
        <f>"37,70"</f>
        <v>37,70</v>
      </c>
      <c r="M1306" s="6" t="str">
        <f>"188,50"</f>
        <v>188,50</v>
      </c>
      <c r="N1306" s="5">
        <v>43643</v>
      </c>
      <c r="O1306" s="7"/>
      <c r="P1306" s="6" t="str">
        <f>"188,50"</f>
        <v>188,50</v>
      </c>
      <c r="Q1306" s="7"/>
      <c r="R1306" s="1"/>
      <c r="S1306" s="1" t="str">
        <f>"37-19/NOS-132-B/17"</f>
        <v>37-19/NOS-132-B/17</v>
      </c>
      <c r="T1306" s="2" t="s">
        <v>33</v>
      </c>
    </row>
    <row r="1307" spans="1:20" ht="25.5" x14ac:dyDescent="0.25">
      <c r="A1307" s="1">
        <v>1303</v>
      </c>
      <c r="B1307" s="1" t="str">
        <f t="shared" si="127"/>
        <v>2017-390</v>
      </c>
      <c r="C1307" s="2" t="s">
        <v>883</v>
      </c>
      <c r="D1307" s="1" t="s">
        <v>382</v>
      </c>
      <c r="E1307" s="3" t="str">
        <f>""</f>
        <v/>
      </c>
      <c r="F1307" s="2" t="s">
        <v>27</v>
      </c>
      <c r="G1307" s="2" t="str">
        <f t="shared" si="128"/>
        <v>M.B. AUTO  d.o.o., KOLEDOVČINA 8, 10000 ZAGREB, OIB: 8902734372</v>
      </c>
      <c r="H1307" s="4"/>
      <c r="I1307" s="1" t="s">
        <v>424</v>
      </c>
      <c r="J1307" s="1" t="s">
        <v>303</v>
      </c>
      <c r="K1307" s="6" t="str">
        <f>"1.114,42"</f>
        <v>1.114,42</v>
      </c>
      <c r="L1307" s="6" t="str">
        <f>"278,61"</f>
        <v>278,61</v>
      </c>
      <c r="M1307" s="6" t="str">
        <f>"1.393,03"</f>
        <v>1.393,03</v>
      </c>
      <c r="N1307" s="5">
        <v>43643</v>
      </c>
      <c r="O1307" s="7"/>
      <c r="P1307" s="6" t="str">
        <f>"1.393,02"</f>
        <v>1.393,02</v>
      </c>
      <c r="Q1307" s="7"/>
      <c r="R1307" s="1"/>
      <c r="S1307" s="1" t="str">
        <f>"38-19/NOS-132-B/17"</f>
        <v>38-19/NOS-132-B/17</v>
      </c>
      <c r="T1307" s="2" t="s">
        <v>33</v>
      </c>
    </row>
    <row r="1308" spans="1:20" ht="25.5" x14ac:dyDescent="0.25">
      <c r="A1308" s="1">
        <v>1304</v>
      </c>
      <c r="B1308" s="1" t="str">
        <f t="shared" si="127"/>
        <v>2017-390</v>
      </c>
      <c r="C1308" s="2" t="s">
        <v>883</v>
      </c>
      <c r="D1308" s="1" t="s">
        <v>382</v>
      </c>
      <c r="E1308" s="3" t="str">
        <f>""</f>
        <v/>
      </c>
      <c r="F1308" s="2" t="s">
        <v>27</v>
      </c>
      <c r="G1308" s="2" t="str">
        <f t="shared" si="128"/>
        <v>M.B. AUTO  d.o.o., KOLEDOVČINA 8, 10000 ZAGREB, OIB: 8902734372</v>
      </c>
      <c r="H1308" s="4"/>
      <c r="I1308" s="1" t="s">
        <v>424</v>
      </c>
      <c r="J1308" s="1" t="s">
        <v>303</v>
      </c>
      <c r="K1308" s="6" t="str">
        <f>"1.671,26"</f>
        <v>1.671,26</v>
      </c>
      <c r="L1308" s="6" t="str">
        <f>"417,82"</f>
        <v>417,82</v>
      </c>
      <c r="M1308" s="6" t="str">
        <f>"2.089,08"</f>
        <v>2.089,08</v>
      </c>
      <c r="N1308" s="5">
        <v>43714</v>
      </c>
      <c r="O1308" s="7"/>
      <c r="P1308" s="6" t="str">
        <f>"2.089,08"</f>
        <v>2.089,08</v>
      </c>
      <c r="Q1308" s="7"/>
      <c r="R1308" s="1"/>
      <c r="S1308" s="1" t="str">
        <f>"39-19/NOS-132-B/17"</f>
        <v>39-19/NOS-132-B/17</v>
      </c>
      <c r="T1308" s="2" t="s">
        <v>33</v>
      </c>
    </row>
    <row r="1309" spans="1:20" ht="25.5" x14ac:dyDescent="0.25">
      <c r="A1309" s="1">
        <v>1305</v>
      </c>
      <c r="B1309" s="1" t="str">
        <f t="shared" si="127"/>
        <v>2017-390</v>
      </c>
      <c r="C1309" s="2" t="s">
        <v>883</v>
      </c>
      <c r="D1309" s="1" t="s">
        <v>382</v>
      </c>
      <c r="E1309" s="3" t="str">
        <f>""</f>
        <v/>
      </c>
      <c r="F1309" s="2" t="s">
        <v>27</v>
      </c>
      <c r="G1309" s="2" t="str">
        <f t="shared" si="128"/>
        <v>M.B. AUTO  d.o.o., KOLEDOVČINA 8, 10000 ZAGREB, OIB: 8902734372</v>
      </c>
      <c r="H1309" s="4"/>
      <c r="I1309" s="1" t="s">
        <v>269</v>
      </c>
      <c r="J1309" s="1" t="s">
        <v>303</v>
      </c>
      <c r="K1309" s="6" t="str">
        <f>"6.067,34"</f>
        <v>6.067,34</v>
      </c>
      <c r="L1309" s="6" t="str">
        <f>"1.516,84"</f>
        <v>1.516,84</v>
      </c>
      <c r="M1309" s="6" t="str">
        <f>"7.584,18"</f>
        <v>7.584,18</v>
      </c>
      <c r="N1309" s="5">
        <v>43643</v>
      </c>
      <c r="O1309" s="7"/>
      <c r="P1309" s="6" t="str">
        <f>"7.584,18"</f>
        <v>7.584,18</v>
      </c>
      <c r="Q1309" s="7"/>
      <c r="R1309" s="1"/>
      <c r="S1309" s="1" t="str">
        <f>"40-19/NOS-132-B/17"</f>
        <v>40-19/NOS-132-B/17</v>
      </c>
      <c r="T1309" s="2" t="s">
        <v>33</v>
      </c>
    </row>
    <row r="1310" spans="1:20" ht="25.5" x14ac:dyDescent="0.25">
      <c r="A1310" s="1">
        <v>1306</v>
      </c>
      <c r="B1310" s="1" t="str">
        <f t="shared" si="127"/>
        <v>2017-390</v>
      </c>
      <c r="C1310" s="2" t="s">
        <v>883</v>
      </c>
      <c r="D1310" s="1" t="s">
        <v>382</v>
      </c>
      <c r="E1310" s="3" t="str">
        <f>""</f>
        <v/>
      </c>
      <c r="F1310" s="2" t="s">
        <v>27</v>
      </c>
      <c r="G1310" s="2" t="str">
        <f t="shared" si="128"/>
        <v>M.B. AUTO  d.o.o., KOLEDOVČINA 8, 10000 ZAGREB, OIB: 8902734372</v>
      </c>
      <c r="H1310" s="4"/>
      <c r="I1310" s="1" t="s">
        <v>403</v>
      </c>
      <c r="J1310" s="1" t="s">
        <v>303</v>
      </c>
      <c r="K1310" s="6" t="str">
        <f>"4.968,05"</f>
        <v>4.968,05</v>
      </c>
      <c r="L1310" s="6" t="str">
        <f>"1.242,01"</f>
        <v>1.242,01</v>
      </c>
      <c r="M1310" s="6" t="str">
        <f>"6.210,06"</f>
        <v>6.210,06</v>
      </c>
      <c r="N1310" s="5">
        <v>43662</v>
      </c>
      <c r="O1310" s="7"/>
      <c r="P1310" s="6" t="str">
        <f>"6.210,06"</f>
        <v>6.210,06</v>
      </c>
      <c r="Q1310" s="7"/>
      <c r="R1310" s="1"/>
      <c r="S1310" s="1" t="str">
        <f>"41-19/NOS-132-B/17"</f>
        <v>41-19/NOS-132-B/17</v>
      </c>
      <c r="T1310" s="2" t="s">
        <v>33</v>
      </c>
    </row>
    <row r="1311" spans="1:20" ht="25.5" x14ac:dyDescent="0.25">
      <c r="A1311" s="1">
        <v>1307</v>
      </c>
      <c r="B1311" s="1" t="str">
        <f t="shared" si="127"/>
        <v>2017-390</v>
      </c>
      <c r="C1311" s="2" t="s">
        <v>883</v>
      </c>
      <c r="D1311" s="1" t="s">
        <v>382</v>
      </c>
      <c r="E1311" s="3" t="str">
        <f>""</f>
        <v/>
      </c>
      <c r="F1311" s="2" t="s">
        <v>27</v>
      </c>
      <c r="G1311" s="2" t="str">
        <f t="shared" si="128"/>
        <v>M.B. AUTO  d.o.o., KOLEDOVČINA 8, 10000 ZAGREB, OIB: 8902734372</v>
      </c>
      <c r="H1311" s="4"/>
      <c r="I1311" s="1" t="s">
        <v>640</v>
      </c>
      <c r="J1311" s="1" t="s">
        <v>303</v>
      </c>
      <c r="K1311" s="6" t="str">
        <f>"256,25"</f>
        <v>256,25</v>
      </c>
      <c r="L1311" s="6" t="str">
        <f>"64,06"</f>
        <v>64,06</v>
      </c>
      <c r="M1311" s="6" t="str">
        <f>"320,31"</f>
        <v>320,31</v>
      </c>
      <c r="N1311" s="5">
        <v>43654</v>
      </c>
      <c r="O1311" s="7"/>
      <c r="P1311" s="6" t="str">
        <f>"320,31"</f>
        <v>320,31</v>
      </c>
      <c r="Q1311" s="7"/>
      <c r="R1311" s="1"/>
      <c r="S1311" s="1" t="str">
        <f>"42-19/NOS-132-B/17"</f>
        <v>42-19/NOS-132-B/17</v>
      </c>
      <c r="T1311" s="2" t="s">
        <v>33</v>
      </c>
    </row>
    <row r="1312" spans="1:20" ht="38.25" x14ac:dyDescent="0.25">
      <c r="A1312" s="1">
        <v>1308</v>
      </c>
      <c r="B1312" s="1" t="str">
        <f t="shared" si="127"/>
        <v>2017-390</v>
      </c>
      <c r="C1312" s="2" t="s">
        <v>883</v>
      </c>
      <c r="D1312" s="1" t="s">
        <v>382</v>
      </c>
      <c r="E1312" s="3" t="str">
        <f>"2017/S 0F2-0015055"</f>
        <v>2017/S 0F2-0015055</v>
      </c>
      <c r="F1312" s="2" t="s">
        <v>23</v>
      </c>
      <c r="G1312" s="2" t="str">
        <f t="shared" si="128"/>
        <v>M.B. AUTO  d.o.o., KOLEDOVČINA 8, 10000 ZAGREB, OIB: 8902734372</v>
      </c>
      <c r="H1312" s="4"/>
      <c r="I1312" s="1" t="s">
        <v>861</v>
      </c>
      <c r="J1312" s="1" t="s">
        <v>862</v>
      </c>
      <c r="K1312" s="6" t="str">
        <f>"2.120.000,00"</f>
        <v>2.120.000,00</v>
      </c>
      <c r="L1312" s="6" t="str">
        <f>"530.000,00"</f>
        <v>530.000,00</v>
      </c>
      <c r="M1312" s="6" t="str">
        <f>"2.650.000,00"</f>
        <v>2.650.000,00</v>
      </c>
      <c r="N1312" s="7"/>
      <c r="O1312" s="7"/>
      <c r="P1312" s="6" t="str">
        <f>""</f>
        <v/>
      </c>
      <c r="Q1312" s="7"/>
      <c r="R1312" s="1"/>
      <c r="S1312" s="1" t="str">
        <f>"NOS-132-C/17"</f>
        <v>NOS-132-C/17</v>
      </c>
      <c r="T1312" s="2" t="s">
        <v>26</v>
      </c>
    </row>
    <row r="1313" spans="1:20" ht="25.5" x14ac:dyDescent="0.25">
      <c r="A1313" s="1">
        <v>1309</v>
      </c>
      <c r="B1313" s="1" t="str">
        <f t="shared" si="127"/>
        <v>2017-390</v>
      </c>
      <c r="C1313" s="2" t="s">
        <v>883</v>
      </c>
      <c r="D1313" s="1" t="s">
        <v>382</v>
      </c>
      <c r="E1313" s="3" t="str">
        <f>""</f>
        <v/>
      </c>
      <c r="F1313" s="2" t="s">
        <v>27</v>
      </c>
      <c r="G1313" s="2" t="str">
        <f t="shared" si="128"/>
        <v>M.B. AUTO  d.o.o., KOLEDOVČINA 8, 10000 ZAGREB, OIB: 8902734372</v>
      </c>
      <c r="H1313" s="4"/>
      <c r="I1313" s="1" t="s">
        <v>461</v>
      </c>
      <c r="J1313" s="1" t="s">
        <v>303</v>
      </c>
      <c r="K1313" s="6" t="str">
        <f>"3.504,88"</f>
        <v>3.504,88</v>
      </c>
      <c r="L1313" s="6" t="str">
        <f>"876,22"</f>
        <v>876,22</v>
      </c>
      <c r="M1313" s="6" t="str">
        <f>"4.381,10"</f>
        <v>4.381,10</v>
      </c>
      <c r="N1313" s="5">
        <v>43524</v>
      </c>
      <c r="O1313" s="7"/>
      <c r="P1313" s="6" t="str">
        <f>"4.381,10"</f>
        <v>4.381,10</v>
      </c>
      <c r="Q1313" s="7"/>
      <c r="R1313" s="1"/>
      <c r="S1313" s="1" t="str">
        <f>"1-19/NOS-132-C/17"</f>
        <v>1-19/NOS-132-C/17</v>
      </c>
      <c r="T1313" s="2" t="s">
        <v>33</v>
      </c>
    </row>
    <row r="1314" spans="1:20" ht="25.5" x14ac:dyDescent="0.25">
      <c r="A1314" s="1">
        <v>1310</v>
      </c>
      <c r="B1314" s="1" t="str">
        <f t="shared" si="127"/>
        <v>2017-390</v>
      </c>
      <c r="C1314" s="2" t="s">
        <v>883</v>
      </c>
      <c r="D1314" s="1" t="s">
        <v>382</v>
      </c>
      <c r="E1314" s="3" t="str">
        <f>""</f>
        <v/>
      </c>
      <c r="F1314" s="2" t="s">
        <v>27</v>
      </c>
      <c r="G1314" s="2" t="str">
        <f t="shared" si="128"/>
        <v>M.B. AUTO  d.o.o., KOLEDOVČINA 8, 10000 ZAGREB, OIB: 8902734372</v>
      </c>
      <c r="H1314" s="4"/>
      <c r="I1314" s="1" t="s">
        <v>195</v>
      </c>
      <c r="J1314" s="1" t="s">
        <v>303</v>
      </c>
      <c r="K1314" s="6" t="str">
        <f>"963,43"</f>
        <v>963,43</v>
      </c>
      <c r="L1314" s="6" t="str">
        <f>"240,86"</f>
        <v>240,86</v>
      </c>
      <c r="M1314" s="6" t="str">
        <f>"1.204,29"</f>
        <v>1.204,29</v>
      </c>
      <c r="N1314" s="5">
        <v>43524</v>
      </c>
      <c r="O1314" s="7"/>
      <c r="P1314" s="6" t="str">
        <f>"1.204,29"</f>
        <v>1.204,29</v>
      </c>
      <c r="Q1314" s="7"/>
      <c r="R1314" s="1"/>
      <c r="S1314" s="1" t="str">
        <f>"2-19/NOS-132-C/17"</f>
        <v>2-19/NOS-132-C/17</v>
      </c>
      <c r="T1314" s="2" t="s">
        <v>33</v>
      </c>
    </row>
    <row r="1315" spans="1:20" ht="25.5" x14ac:dyDescent="0.25">
      <c r="A1315" s="1">
        <v>1311</v>
      </c>
      <c r="B1315" s="1" t="str">
        <f t="shared" si="127"/>
        <v>2017-390</v>
      </c>
      <c r="C1315" s="2" t="s">
        <v>883</v>
      </c>
      <c r="D1315" s="1" t="s">
        <v>382</v>
      </c>
      <c r="E1315" s="3" t="str">
        <f>""</f>
        <v/>
      </c>
      <c r="F1315" s="2" t="s">
        <v>27</v>
      </c>
      <c r="G1315" s="2" t="str">
        <f t="shared" si="128"/>
        <v>M.B. AUTO  d.o.o., KOLEDOVČINA 8, 10000 ZAGREB, OIB: 8902734372</v>
      </c>
      <c r="H1315" s="4"/>
      <c r="I1315" s="1" t="s">
        <v>204</v>
      </c>
      <c r="J1315" s="1" t="s">
        <v>303</v>
      </c>
      <c r="K1315" s="6" t="str">
        <f>"1.219,60"</f>
        <v>1.219,60</v>
      </c>
      <c r="L1315" s="6" t="str">
        <f>"304,90"</f>
        <v>304,90</v>
      </c>
      <c r="M1315" s="6" t="str">
        <f>"1.524,50"</f>
        <v>1.524,50</v>
      </c>
      <c r="N1315" s="5">
        <v>43539</v>
      </c>
      <c r="O1315" s="7"/>
      <c r="P1315" s="6" t="str">
        <f>"1.524,50"</f>
        <v>1.524,50</v>
      </c>
      <c r="Q1315" s="7"/>
      <c r="R1315" s="1"/>
      <c r="S1315" s="1" t="str">
        <f>"3-19/NOS-132-C/17"</f>
        <v>3-19/NOS-132-C/17</v>
      </c>
      <c r="T1315" s="2" t="s">
        <v>33</v>
      </c>
    </row>
    <row r="1316" spans="1:20" ht="25.5" x14ac:dyDescent="0.25">
      <c r="A1316" s="1">
        <v>1312</v>
      </c>
      <c r="B1316" s="1" t="str">
        <f t="shared" si="127"/>
        <v>2017-390</v>
      </c>
      <c r="C1316" s="2" t="s">
        <v>883</v>
      </c>
      <c r="D1316" s="1" t="s">
        <v>382</v>
      </c>
      <c r="E1316" s="3" t="str">
        <f>""</f>
        <v/>
      </c>
      <c r="F1316" s="2" t="s">
        <v>27</v>
      </c>
      <c r="G1316" s="2" t="str">
        <f t="shared" si="128"/>
        <v>M.B. AUTO  d.o.o., KOLEDOVČINA 8, 10000 ZAGREB, OIB: 8902734372</v>
      </c>
      <c r="H1316" s="4"/>
      <c r="I1316" s="1" t="s">
        <v>373</v>
      </c>
      <c r="J1316" s="1" t="s">
        <v>303</v>
      </c>
      <c r="K1316" s="6" t="str">
        <f>"1.529,70"</f>
        <v>1.529,70</v>
      </c>
      <c r="L1316" s="6" t="str">
        <f>"382,43"</f>
        <v>382,43</v>
      </c>
      <c r="M1316" s="6" t="str">
        <f>"1.912,13"</f>
        <v>1.912,13</v>
      </c>
      <c r="N1316" s="5">
        <v>43537</v>
      </c>
      <c r="O1316" s="7"/>
      <c r="P1316" s="6" t="str">
        <f>"1.912,12"</f>
        <v>1.912,12</v>
      </c>
      <c r="Q1316" s="7"/>
      <c r="R1316" s="1"/>
      <c r="S1316" s="1" t="str">
        <f>"4-19/NOS-132-C/17"</f>
        <v>4-19/NOS-132-C/17</v>
      </c>
      <c r="T1316" s="2" t="s">
        <v>33</v>
      </c>
    </row>
    <row r="1317" spans="1:20" ht="25.5" x14ac:dyDescent="0.25">
      <c r="A1317" s="1">
        <v>1313</v>
      </c>
      <c r="B1317" s="1" t="str">
        <f t="shared" si="127"/>
        <v>2017-390</v>
      </c>
      <c r="C1317" s="2" t="s">
        <v>883</v>
      </c>
      <c r="D1317" s="1" t="s">
        <v>382</v>
      </c>
      <c r="E1317" s="3" t="str">
        <f>""</f>
        <v/>
      </c>
      <c r="F1317" s="2" t="s">
        <v>27</v>
      </c>
      <c r="G1317" s="2" t="str">
        <f t="shared" si="128"/>
        <v>M.B. AUTO  d.o.o., KOLEDOVČINA 8, 10000 ZAGREB, OIB: 8902734372</v>
      </c>
      <c r="H1317" s="4"/>
      <c r="I1317" s="1" t="s">
        <v>351</v>
      </c>
      <c r="J1317" s="1" t="s">
        <v>303</v>
      </c>
      <c r="K1317" s="6" t="str">
        <f>"3.137,96"</f>
        <v>3.137,96</v>
      </c>
      <c r="L1317" s="6" t="str">
        <f>"784,49"</f>
        <v>784,49</v>
      </c>
      <c r="M1317" s="6" t="str">
        <f>"3.922,45"</f>
        <v>3.922,45</v>
      </c>
      <c r="N1317" s="5">
        <v>43551</v>
      </c>
      <c r="O1317" s="7"/>
      <c r="P1317" s="6" t="str">
        <f>"3.922,45"</f>
        <v>3.922,45</v>
      </c>
      <c r="Q1317" s="7"/>
      <c r="R1317" s="1"/>
      <c r="S1317" s="1" t="str">
        <f>"5-19/NOS-132-C/17"</f>
        <v>5-19/NOS-132-C/17</v>
      </c>
      <c r="T1317" s="2" t="s">
        <v>33</v>
      </c>
    </row>
    <row r="1318" spans="1:20" ht="25.5" x14ac:dyDescent="0.25">
      <c r="A1318" s="1">
        <v>1314</v>
      </c>
      <c r="B1318" s="1" t="str">
        <f t="shared" si="127"/>
        <v>2017-390</v>
      </c>
      <c r="C1318" s="2" t="s">
        <v>883</v>
      </c>
      <c r="D1318" s="1" t="s">
        <v>382</v>
      </c>
      <c r="E1318" s="3" t="str">
        <f>""</f>
        <v/>
      </c>
      <c r="F1318" s="2" t="s">
        <v>27</v>
      </c>
      <c r="G1318" s="2" t="str">
        <f t="shared" si="128"/>
        <v>M.B. AUTO  d.o.o., KOLEDOVČINA 8, 10000 ZAGREB, OIB: 8902734372</v>
      </c>
      <c r="H1318" s="4"/>
      <c r="I1318" s="1" t="s">
        <v>286</v>
      </c>
      <c r="J1318" s="1" t="s">
        <v>303</v>
      </c>
      <c r="K1318" s="6" t="str">
        <f>"5.151,80"</f>
        <v>5.151,80</v>
      </c>
      <c r="L1318" s="6" t="str">
        <f>"1.287,95"</f>
        <v>1.287,95</v>
      </c>
      <c r="M1318" s="6" t="str">
        <f>"6.439,75"</f>
        <v>6.439,75</v>
      </c>
      <c r="N1318" s="5">
        <v>43551</v>
      </c>
      <c r="O1318" s="7"/>
      <c r="P1318" s="6" t="str">
        <f>"6.439,75"</f>
        <v>6.439,75</v>
      </c>
      <c r="Q1318" s="7"/>
      <c r="R1318" s="1"/>
      <c r="S1318" s="1" t="str">
        <f>"6-19/NOS-132-C/17"</f>
        <v>6-19/NOS-132-C/17</v>
      </c>
      <c r="T1318" s="2" t="s">
        <v>33</v>
      </c>
    </row>
    <row r="1319" spans="1:20" ht="25.5" x14ac:dyDescent="0.25">
      <c r="A1319" s="1">
        <v>1315</v>
      </c>
      <c r="B1319" s="1" t="str">
        <f t="shared" si="127"/>
        <v>2017-390</v>
      </c>
      <c r="C1319" s="2" t="s">
        <v>883</v>
      </c>
      <c r="D1319" s="1" t="s">
        <v>382</v>
      </c>
      <c r="E1319" s="3" t="str">
        <f>""</f>
        <v/>
      </c>
      <c r="F1319" s="2" t="s">
        <v>27</v>
      </c>
      <c r="G1319" s="2" t="str">
        <f t="shared" si="128"/>
        <v>M.B. AUTO  d.o.o., KOLEDOVČINA 8, 10000 ZAGREB, OIB: 8902734372</v>
      </c>
      <c r="H1319" s="4"/>
      <c r="I1319" s="1" t="s">
        <v>297</v>
      </c>
      <c r="J1319" s="1" t="s">
        <v>303</v>
      </c>
      <c r="K1319" s="6" t="str">
        <f>"605,31"</f>
        <v>605,31</v>
      </c>
      <c r="L1319" s="6" t="str">
        <f>"151,33"</f>
        <v>151,33</v>
      </c>
      <c r="M1319" s="6" t="str">
        <f>"756,64"</f>
        <v>756,64</v>
      </c>
      <c r="N1319" s="5">
        <v>43554</v>
      </c>
      <c r="O1319" s="7"/>
      <c r="P1319" s="6" t="str">
        <f>"756,64"</f>
        <v>756,64</v>
      </c>
      <c r="Q1319" s="7"/>
      <c r="R1319" s="1"/>
      <c r="S1319" s="1" t="str">
        <f>"7-19/NOS-132-C/17"</f>
        <v>7-19/NOS-132-C/17</v>
      </c>
      <c r="T1319" s="2" t="s">
        <v>33</v>
      </c>
    </row>
    <row r="1320" spans="1:20" ht="25.5" x14ac:dyDescent="0.25">
      <c r="A1320" s="1">
        <v>1316</v>
      </c>
      <c r="B1320" s="1" t="str">
        <f t="shared" si="127"/>
        <v>2017-390</v>
      </c>
      <c r="C1320" s="2" t="s">
        <v>883</v>
      </c>
      <c r="D1320" s="1" t="s">
        <v>382</v>
      </c>
      <c r="E1320" s="3" t="str">
        <f>""</f>
        <v/>
      </c>
      <c r="F1320" s="2" t="s">
        <v>27</v>
      </c>
      <c r="G1320" s="2" t="str">
        <f t="shared" si="128"/>
        <v>M.B. AUTO  d.o.o., KOLEDOVČINA 8, 10000 ZAGREB, OIB: 8902734372</v>
      </c>
      <c r="H1320" s="4"/>
      <c r="I1320" s="1" t="s">
        <v>301</v>
      </c>
      <c r="J1320" s="1" t="s">
        <v>303</v>
      </c>
      <c r="K1320" s="6" t="str">
        <f>"965,48"</f>
        <v>965,48</v>
      </c>
      <c r="L1320" s="6" t="str">
        <f>"241,37"</f>
        <v>241,37</v>
      </c>
      <c r="M1320" s="6" t="str">
        <f>"1.206,85"</f>
        <v>1.206,85</v>
      </c>
      <c r="N1320" s="5">
        <v>43560</v>
      </c>
      <c r="O1320" s="7"/>
      <c r="P1320" s="6" t="str">
        <f>"1.206,85"</f>
        <v>1.206,85</v>
      </c>
      <c r="Q1320" s="7"/>
      <c r="R1320" s="1"/>
      <c r="S1320" s="1" t="str">
        <f>"8-19/NOS-132-C/17"</f>
        <v>8-19/NOS-132-C/17</v>
      </c>
      <c r="T1320" s="2" t="s">
        <v>33</v>
      </c>
    </row>
    <row r="1321" spans="1:20" ht="25.5" x14ac:dyDescent="0.25">
      <c r="A1321" s="1">
        <v>1317</v>
      </c>
      <c r="B1321" s="1" t="str">
        <f t="shared" si="127"/>
        <v>2017-390</v>
      </c>
      <c r="C1321" s="2" t="s">
        <v>883</v>
      </c>
      <c r="D1321" s="1" t="s">
        <v>382</v>
      </c>
      <c r="E1321" s="3" t="str">
        <f>""</f>
        <v/>
      </c>
      <c r="F1321" s="2" t="s">
        <v>27</v>
      </c>
      <c r="G1321" s="2" t="str">
        <f t="shared" si="128"/>
        <v>M.B. AUTO  d.o.o., KOLEDOVČINA 8, 10000 ZAGREB, OIB: 8902734372</v>
      </c>
      <c r="H1321" s="4"/>
      <c r="I1321" s="1" t="s">
        <v>302</v>
      </c>
      <c r="J1321" s="1" t="s">
        <v>303</v>
      </c>
      <c r="K1321" s="6" t="str">
        <f>"9.571,28"</f>
        <v>9.571,28</v>
      </c>
      <c r="L1321" s="6" t="str">
        <f>"2.392,82"</f>
        <v>2.392,82</v>
      </c>
      <c r="M1321" s="6" t="str">
        <f>"11.964,10"</f>
        <v>11.964,10</v>
      </c>
      <c r="N1321" s="5">
        <v>43566</v>
      </c>
      <c r="O1321" s="7"/>
      <c r="P1321" s="6" t="str">
        <f>"11.964,10"</f>
        <v>11.964,10</v>
      </c>
      <c r="Q1321" s="7"/>
      <c r="R1321" s="1"/>
      <c r="S1321" s="1" t="str">
        <f>"9-19/NOS-132-C/17"</f>
        <v>9-19/NOS-132-C/17</v>
      </c>
      <c r="T1321" s="2" t="s">
        <v>33</v>
      </c>
    </row>
    <row r="1322" spans="1:20" ht="25.5" x14ac:dyDescent="0.25">
      <c r="A1322" s="1">
        <v>1318</v>
      </c>
      <c r="B1322" s="1" t="str">
        <f t="shared" si="127"/>
        <v>2017-390</v>
      </c>
      <c r="C1322" s="2" t="s">
        <v>883</v>
      </c>
      <c r="D1322" s="1" t="s">
        <v>382</v>
      </c>
      <c r="E1322" s="3" t="str">
        <f>""</f>
        <v/>
      </c>
      <c r="F1322" s="2" t="s">
        <v>27</v>
      </c>
      <c r="G1322" s="2" t="str">
        <f t="shared" si="128"/>
        <v>M.B. AUTO  d.o.o., KOLEDOVČINA 8, 10000 ZAGREB, OIB: 8902734372</v>
      </c>
      <c r="H1322" s="4"/>
      <c r="I1322" s="1" t="s">
        <v>394</v>
      </c>
      <c r="J1322" s="1" t="s">
        <v>303</v>
      </c>
      <c r="K1322" s="6" t="str">
        <f>"566,65"</f>
        <v>566,65</v>
      </c>
      <c r="L1322" s="6" t="str">
        <f>"141,66"</f>
        <v>141,66</v>
      </c>
      <c r="M1322" s="6" t="str">
        <f>"708,31"</f>
        <v>708,31</v>
      </c>
      <c r="N1322" s="5">
        <v>43567</v>
      </c>
      <c r="O1322" s="7"/>
      <c r="P1322" s="6" t="str">
        <f>"708,31"</f>
        <v>708,31</v>
      </c>
      <c r="Q1322" s="7"/>
      <c r="R1322" s="1"/>
      <c r="S1322" s="1" t="str">
        <f>"10-19/NOS-132-C/17"</f>
        <v>10-19/NOS-132-C/17</v>
      </c>
      <c r="T1322" s="2" t="s">
        <v>33</v>
      </c>
    </row>
    <row r="1323" spans="1:20" ht="25.5" x14ac:dyDescent="0.25">
      <c r="A1323" s="1">
        <v>1319</v>
      </c>
      <c r="B1323" s="1" t="str">
        <f t="shared" si="127"/>
        <v>2017-390</v>
      </c>
      <c r="C1323" s="2" t="s">
        <v>883</v>
      </c>
      <c r="D1323" s="1" t="s">
        <v>382</v>
      </c>
      <c r="E1323" s="3" t="str">
        <f>""</f>
        <v/>
      </c>
      <c r="F1323" s="2" t="s">
        <v>27</v>
      </c>
      <c r="G1323" s="2" t="str">
        <f t="shared" si="128"/>
        <v>M.B. AUTO  d.o.o., KOLEDOVČINA 8, 10000 ZAGREB, OIB: 8902734372</v>
      </c>
      <c r="H1323" s="4"/>
      <c r="I1323" s="1" t="s">
        <v>340</v>
      </c>
      <c r="J1323" s="1" t="s">
        <v>303</v>
      </c>
      <c r="K1323" s="6" t="str">
        <f>"964,54"</f>
        <v>964,54</v>
      </c>
      <c r="L1323" s="6" t="str">
        <f>"241,14"</f>
        <v>241,14</v>
      </c>
      <c r="M1323" s="6" t="str">
        <f>"1.205,68"</f>
        <v>1.205,68</v>
      </c>
      <c r="N1323" s="5">
        <v>43566</v>
      </c>
      <c r="O1323" s="7"/>
      <c r="P1323" s="6" t="str">
        <f>"1.205,68"</f>
        <v>1.205,68</v>
      </c>
      <c r="Q1323" s="7"/>
      <c r="R1323" s="1"/>
      <c r="S1323" s="1" t="str">
        <f>"11-19/NOS-132-C/17"</f>
        <v>11-19/NOS-132-C/17</v>
      </c>
      <c r="T1323" s="2" t="s">
        <v>33</v>
      </c>
    </row>
    <row r="1324" spans="1:20" ht="25.5" x14ac:dyDescent="0.25">
      <c r="A1324" s="1">
        <v>1320</v>
      </c>
      <c r="B1324" s="1" t="str">
        <f t="shared" si="127"/>
        <v>2017-390</v>
      </c>
      <c r="C1324" s="2" t="s">
        <v>883</v>
      </c>
      <c r="D1324" s="1" t="s">
        <v>382</v>
      </c>
      <c r="E1324" s="3" t="str">
        <f>""</f>
        <v/>
      </c>
      <c r="F1324" s="2" t="s">
        <v>27</v>
      </c>
      <c r="G1324" s="2" t="str">
        <f t="shared" si="128"/>
        <v>M.B. AUTO  d.o.o., KOLEDOVČINA 8, 10000 ZAGREB, OIB: 8902734372</v>
      </c>
      <c r="H1324" s="4"/>
      <c r="I1324" s="1" t="s">
        <v>344</v>
      </c>
      <c r="J1324" s="1" t="s">
        <v>303</v>
      </c>
      <c r="K1324" s="6" t="str">
        <f>"841,61"</f>
        <v>841,61</v>
      </c>
      <c r="L1324" s="6" t="str">
        <f>"210,40"</f>
        <v>210,40</v>
      </c>
      <c r="M1324" s="6" t="str">
        <f>"1.052,01"</f>
        <v>1.052,01</v>
      </c>
      <c r="N1324" s="5">
        <v>43572</v>
      </c>
      <c r="O1324" s="7"/>
      <c r="P1324" s="6" t="str">
        <f>"1.052,01"</f>
        <v>1.052,01</v>
      </c>
      <c r="Q1324" s="7"/>
      <c r="R1324" s="1"/>
      <c r="S1324" s="1" t="str">
        <f>"12-19/NOS-132-C/17"</f>
        <v>12-19/NOS-132-C/17</v>
      </c>
      <c r="T1324" s="2" t="s">
        <v>29</v>
      </c>
    </row>
    <row r="1325" spans="1:20" ht="25.5" x14ac:dyDescent="0.25">
      <c r="A1325" s="1">
        <v>1321</v>
      </c>
      <c r="B1325" s="1" t="str">
        <f t="shared" si="127"/>
        <v>2017-390</v>
      </c>
      <c r="C1325" s="2" t="s">
        <v>883</v>
      </c>
      <c r="D1325" s="1" t="s">
        <v>382</v>
      </c>
      <c r="E1325" s="3" t="str">
        <f>""</f>
        <v/>
      </c>
      <c r="F1325" s="2" t="s">
        <v>27</v>
      </c>
      <c r="G1325" s="2" t="str">
        <f t="shared" si="128"/>
        <v>M.B. AUTO  d.o.o., KOLEDOVČINA 8, 10000 ZAGREB, OIB: 8902734372</v>
      </c>
      <c r="H1325" s="4"/>
      <c r="I1325" s="1" t="s">
        <v>30</v>
      </c>
      <c r="J1325" s="1" t="s">
        <v>303</v>
      </c>
      <c r="K1325" s="6" t="str">
        <f>"1.967,70"</f>
        <v>1.967,70</v>
      </c>
      <c r="L1325" s="6" t="str">
        <f>"491,93"</f>
        <v>491,93</v>
      </c>
      <c r="M1325" s="6" t="str">
        <f>"2.459,63"</f>
        <v>2.459,63</v>
      </c>
      <c r="N1325" s="5">
        <v>43584</v>
      </c>
      <c r="O1325" s="7"/>
      <c r="P1325" s="6" t="str">
        <f>"2.459,62"</f>
        <v>2.459,62</v>
      </c>
      <c r="Q1325" s="7"/>
      <c r="R1325" s="1"/>
      <c r="S1325" s="1" t="str">
        <f>"13-19/NOS-132-C/17"</f>
        <v>13-19/NOS-132-C/17</v>
      </c>
      <c r="T1325" s="2" t="s">
        <v>33</v>
      </c>
    </row>
    <row r="1326" spans="1:20" ht="25.5" x14ac:dyDescent="0.25">
      <c r="A1326" s="1">
        <v>1322</v>
      </c>
      <c r="B1326" s="1" t="str">
        <f t="shared" si="127"/>
        <v>2017-390</v>
      </c>
      <c r="C1326" s="2" t="s">
        <v>883</v>
      </c>
      <c r="D1326" s="1" t="s">
        <v>382</v>
      </c>
      <c r="E1326" s="3" t="str">
        <f>""</f>
        <v/>
      </c>
      <c r="F1326" s="2" t="s">
        <v>27</v>
      </c>
      <c r="G1326" s="2" t="str">
        <f t="shared" si="128"/>
        <v>M.B. AUTO  d.o.o., KOLEDOVČINA 8, 10000 ZAGREB, OIB: 8902734372</v>
      </c>
      <c r="H1326" s="4"/>
      <c r="I1326" s="1" t="s">
        <v>318</v>
      </c>
      <c r="J1326" s="1" t="s">
        <v>303</v>
      </c>
      <c r="K1326" s="6" t="str">
        <f>"1.948,82"</f>
        <v>1.948,82</v>
      </c>
      <c r="L1326" s="6" t="str">
        <f>"487,21"</f>
        <v>487,21</v>
      </c>
      <c r="M1326" s="6" t="str">
        <f>"2.436,03"</f>
        <v>2.436,03</v>
      </c>
      <c r="N1326" s="5">
        <v>43579</v>
      </c>
      <c r="O1326" s="7"/>
      <c r="P1326" s="6" t="str">
        <f>"2.436,02"</f>
        <v>2.436,02</v>
      </c>
      <c r="Q1326" s="7"/>
      <c r="R1326" s="1"/>
      <c r="S1326" s="1" t="str">
        <f>"14-19/NOS-132-C/17"</f>
        <v>14-19/NOS-132-C/17</v>
      </c>
      <c r="T1326" s="2" t="s">
        <v>29</v>
      </c>
    </row>
    <row r="1327" spans="1:20" ht="25.5" x14ac:dyDescent="0.25">
      <c r="A1327" s="1">
        <v>1323</v>
      </c>
      <c r="B1327" s="1" t="str">
        <f t="shared" si="127"/>
        <v>2017-390</v>
      </c>
      <c r="C1327" s="2" t="s">
        <v>883</v>
      </c>
      <c r="D1327" s="1" t="s">
        <v>382</v>
      </c>
      <c r="E1327" s="3" t="str">
        <f>""</f>
        <v/>
      </c>
      <c r="F1327" s="2" t="s">
        <v>27</v>
      </c>
      <c r="G1327" s="2" t="str">
        <f t="shared" si="128"/>
        <v>M.B. AUTO  d.o.o., KOLEDOVČINA 8, 10000 ZAGREB, OIB: 8902734372</v>
      </c>
      <c r="H1327" s="4"/>
      <c r="I1327" s="1" t="s">
        <v>431</v>
      </c>
      <c r="J1327" s="1" t="s">
        <v>303</v>
      </c>
      <c r="K1327" s="6" t="str">
        <f>"1.281,28"</f>
        <v>1.281,28</v>
      </c>
      <c r="L1327" s="6" t="str">
        <f>"320,32"</f>
        <v>320,32</v>
      </c>
      <c r="M1327" s="6" t="str">
        <f>"1.601,60"</f>
        <v>1.601,60</v>
      </c>
      <c r="N1327" s="5">
        <v>43585</v>
      </c>
      <c r="O1327" s="7"/>
      <c r="P1327" s="6" t="str">
        <f>"1.601,60"</f>
        <v>1.601,60</v>
      </c>
      <c r="Q1327" s="7"/>
      <c r="R1327" s="1"/>
      <c r="S1327" s="1" t="str">
        <f>"15-19/NOS-132-C/17"</f>
        <v>15-19/NOS-132-C/17</v>
      </c>
      <c r="T1327" s="2" t="s">
        <v>33</v>
      </c>
    </row>
    <row r="1328" spans="1:20" ht="25.5" x14ac:dyDescent="0.25">
      <c r="A1328" s="1">
        <v>1324</v>
      </c>
      <c r="B1328" s="1" t="str">
        <f t="shared" si="127"/>
        <v>2017-390</v>
      </c>
      <c r="C1328" s="2" t="s">
        <v>883</v>
      </c>
      <c r="D1328" s="1" t="s">
        <v>382</v>
      </c>
      <c r="E1328" s="3" t="str">
        <f>""</f>
        <v/>
      </c>
      <c r="F1328" s="2" t="s">
        <v>27</v>
      </c>
      <c r="G1328" s="2" t="str">
        <f t="shared" si="128"/>
        <v>M.B. AUTO  d.o.o., KOLEDOVČINA 8, 10000 ZAGREB, OIB: 8902734372</v>
      </c>
      <c r="H1328" s="4"/>
      <c r="I1328" s="1" t="s">
        <v>431</v>
      </c>
      <c r="J1328" s="1" t="s">
        <v>303</v>
      </c>
      <c r="K1328" s="6" t="str">
        <f>"2.156,80"</f>
        <v>2.156,80</v>
      </c>
      <c r="L1328" s="6" t="str">
        <f>"539,20"</f>
        <v>539,20</v>
      </c>
      <c r="M1328" s="6" t="str">
        <f>"2.696,00"</f>
        <v>2.696,00</v>
      </c>
      <c r="N1328" s="5">
        <v>43598</v>
      </c>
      <c r="O1328" s="7"/>
      <c r="P1328" s="6" t="str">
        <f>"2.696,00"</f>
        <v>2.696,00</v>
      </c>
      <c r="Q1328" s="7"/>
      <c r="R1328" s="1"/>
      <c r="S1328" s="1" t="str">
        <f>"16-19/NOS-132-C/17"</f>
        <v>16-19/NOS-132-C/17</v>
      </c>
      <c r="T1328" s="2" t="s">
        <v>33</v>
      </c>
    </row>
    <row r="1329" spans="1:20" ht="25.5" x14ac:dyDescent="0.25">
      <c r="A1329" s="1">
        <v>1325</v>
      </c>
      <c r="B1329" s="1" t="str">
        <f t="shared" si="127"/>
        <v>2017-390</v>
      </c>
      <c r="C1329" s="2" t="s">
        <v>883</v>
      </c>
      <c r="D1329" s="1" t="s">
        <v>382</v>
      </c>
      <c r="E1329" s="3" t="str">
        <f>""</f>
        <v/>
      </c>
      <c r="F1329" s="2" t="s">
        <v>27</v>
      </c>
      <c r="G1329" s="2" t="str">
        <f t="shared" si="128"/>
        <v>M.B. AUTO  d.o.o., KOLEDOVČINA 8, 10000 ZAGREB, OIB: 8902734372</v>
      </c>
      <c r="H1329" s="4"/>
      <c r="I1329" s="1" t="s">
        <v>401</v>
      </c>
      <c r="J1329" s="1" t="s">
        <v>303</v>
      </c>
      <c r="K1329" s="6" t="str">
        <f>"57,10"</f>
        <v>57,10</v>
      </c>
      <c r="L1329" s="6" t="str">
        <f>"14,28"</f>
        <v>14,28</v>
      </c>
      <c r="M1329" s="6" t="str">
        <f>"71,38"</f>
        <v>71,38</v>
      </c>
      <c r="N1329" s="5">
        <v>43595</v>
      </c>
      <c r="O1329" s="7"/>
      <c r="P1329" s="6" t="str">
        <f>"71,38"</f>
        <v>71,38</v>
      </c>
      <c r="Q1329" s="7"/>
      <c r="R1329" s="1"/>
      <c r="S1329" s="1" t="str">
        <f>"18-19/NOS-132-C/17"</f>
        <v>18-19/NOS-132-C/17</v>
      </c>
      <c r="T1329" s="2" t="s">
        <v>33</v>
      </c>
    </row>
    <row r="1330" spans="1:20" ht="25.5" x14ac:dyDescent="0.25">
      <c r="A1330" s="1">
        <v>1326</v>
      </c>
      <c r="B1330" s="1" t="str">
        <f t="shared" si="127"/>
        <v>2017-390</v>
      </c>
      <c r="C1330" s="2" t="s">
        <v>883</v>
      </c>
      <c r="D1330" s="1" t="s">
        <v>382</v>
      </c>
      <c r="E1330" s="3" t="str">
        <f>""</f>
        <v/>
      </c>
      <c r="F1330" s="2" t="s">
        <v>27</v>
      </c>
      <c r="G1330" s="2" t="str">
        <f t="shared" si="128"/>
        <v>M.B. AUTO  d.o.o., KOLEDOVČINA 8, 10000 ZAGREB, OIB: 8902734372</v>
      </c>
      <c r="H1330" s="4"/>
      <c r="I1330" s="1" t="s">
        <v>637</v>
      </c>
      <c r="J1330" s="1" t="s">
        <v>303</v>
      </c>
      <c r="K1330" s="6" t="str">
        <f>"1.065,79"</f>
        <v>1.065,79</v>
      </c>
      <c r="L1330" s="6" t="str">
        <f>"266,45"</f>
        <v>266,45</v>
      </c>
      <c r="M1330" s="6" t="str">
        <f>"1.332,24"</f>
        <v>1.332,24</v>
      </c>
      <c r="N1330" s="5">
        <v>43602</v>
      </c>
      <c r="O1330" s="7"/>
      <c r="P1330" s="6" t="str">
        <f>"1.332,24"</f>
        <v>1.332,24</v>
      </c>
      <c r="Q1330" s="7"/>
      <c r="R1330" s="1"/>
      <c r="S1330" s="1" t="str">
        <f>"19-19/NOS-132-C/17"</f>
        <v>19-19/NOS-132-C/17</v>
      </c>
      <c r="T1330" s="2" t="s">
        <v>33</v>
      </c>
    </row>
    <row r="1331" spans="1:20" ht="25.5" x14ac:dyDescent="0.25">
      <c r="A1331" s="1">
        <v>1327</v>
      </c>
      <c r="B1331" s="1" t="str">
        <f t="shared" si="127"/>
        <v>2017-390</v>
      </c>
      <c r="C1331" s="2" t="s">
        <v>883</v>
      </c>
      <c r="D1331" s="1" t="s">
        <v>382</v>
      </c>
      <c r="E1331" s="3" t="str">
        <f>""</f>
        <v/>
      </c>
      <c r="F1331" s="2" t="s">
        <v>27</v>
      </c>
      <c r="G1331" s="2" t="str">
        <f t="shared" si="128"/>
        <v>M.B. AUTO  d.o.o., KOLEDOVČINA 8, 10000 ZAGREB, OIB: 8902734372</v>
      </c>
      <c r="H1331" s="4"/>
      <c r="I1331" s="1" t="s">
        <v>590</v>
      </c>
      <c r="J1331" s="1" t="s">
        <v>303</v>
      </c>
      <c r="K1331" s="6" t="str">
        <f>"2.275,78"</f>
        <v>2.275,78</v>
      </c>
      <c r="L1331" s="6" t="str">
        <f>"568,95"</f>
        <v>568,95</v>
      </c>
      <c r="M1331" s="6" t="str">
        <f>"2.844,73"</f>
        <v>2.844,73</v>
      </c>
      <c r="N1331" s="5">
        <v>43607</v>
      </c>
      <c r="O1331" s="7"/>
      <c r="P1331" s="6" t="str">
        <f>"2.844,72"</f>
        <v>2.844,72</v>
      </c>
      <c r="Q1331" s="7"/>
      <c r="R1331" s="1"/>
      <c r="S1331" s="1" t="str">
        <f>"20-19/NOS-132-C/17"</f>
        <v>20-19/NOS-132-C/17</v>
      </c>
      <c r="T1331" s="2" t="s">
        <v>29</v>
      </c>
    </row>
    <row r="1332" spans="1:20" ht="25.5" x14ac:dyDescent="0.25">
      <c r="A1332" s="1">
        <v>1328</v>
      </c>
      <c r="B1332" s="1" t="str">
        <f t="shared" si="127"/>
        <v>2017-390</v>
      </c>
      <c r="C1332" s="2" t="s">
        <v>883</v>
      </c>
      <c r="D1332" s="1" t="s">
        <v>382</v>
      </c>
      <c r="E1332" s="3" t="str">
        <f>""</f>
        <v/>
      </c>
      <c r="F1332" s="2" t="s">
        <v>27</v>
      </c>
      <c r="G1332" s="2" t="str">
        <f t="shared" si="128"/>
        <v>M.B. AUTO  d.o.o., KOLEDOVČINA 8, 10000 ZAGREB, OIB: 8902734372</v>
      </c>
      <c r="H1332" s="4"/>
      <c r="I1332" s="1" t="s">
        <v>590</v>
      </c>
      <c r="J1332" s="1" t="s">
        <v>303</v>
      </c>
      <c r="K1332" s="6" t="str">
        <f>"1.487,25"</f>
        <v>1.487,25</v>
      </c>
      <c r="L1332" s="6" t="str">
        <f>"371,81"</f>
        <v>371,81</v>
      </c>
      <c r="M1332" s="6" t="str">
        <f>"1.859,06"</f>
        <v>1.859,06</v>
      </c>
      <c r="N1332" s="5">
        <v>43607</v>
      </c>
      <c r="O1332" s="7"/>
      <c r="P1332" s="6" t="str">
        <f>"1.859,06"</f>
        <v>1.859,06</v>
      </c>
      <c r="Q1332" s="7"/>
      <c r="R1332" s="1"/>
      <c r="S1332" s="1" t="str">
        <f>"21-19/NOS-132-C/17"</f>
        <v>21-19/NOS-132-C/17</v>
      </c>
      <c r="T1332" s="2" t="s">
        <v>29</v>
      </c>
    </row>
    <row r="1333" spans="1:20" ht="25.5" x14ac:dyDescent="0.25">
      <c r="A1333" s="1">
        <v>1329</v>
      </c>
      <c r="B1333" s="1" t="str">
        <f t="shared" si="127"/>
        <v>2017-390</v>
      </c>
      <c r="C1333" s="2" t="s">
        <v>883</v>
      </c>
      <c r="D1333" s="1" t="s">
        <v>382</v>
      </c>
      <c r="E1333" s="3" t="str">
        <f>""</f>
        <v/>
      </c>
      <c r="F1333" s="2" t="s">
        <v>27</v>
      </c>
      <c r="G1333" s="2" t="str">
        <f t="shared" si="128"/>
        <v>M.B. AUTO  d.o.o., KOLEDOVČINA 8, 10000 ZAGREB, OIB: 8902734372</v>
      </c>
      <c r="H1333" s="4"/>
      <c r="I1333" s="1" t="s">
        <v>641</v>
      </c>
      <c r="J1333" s="1" t="s">
        <v>303</v>
      </c>
      <c r="K1333" s="6" t="str">
        <f>"1.337,48"</f>
        <v>1.337,48</v>
      </c>
      <c r="L1333" s="6" t="str">
        <f>"334,37"</f>
        <v>334,37</v>
      </c>
      <c r="M1333" s="6" t="str">
        <f>"1.671,85"</f>
        <v>1.671,85</v>
      </c>
      <c r="N1333" s="5">
        <v>43607</v>
      </c>
      <c r="O1333" s="7"/>
      <c r="P1333" s="6" t="str">
        <f>"1.671,85"</f>
        <v>1.671,85</v>
      </c>
      <c r="Q1333" s="7"/>
      <c r="R1333" s="1"/>
      <c r="S1333" s="1" t="str">
        <f>"22-19/NOS-132-C/17"</f>
        <v>22-19/NOS-132-C/17</v>
      </c>
      <c r="T1333" s="2" t="s">
        <v>33</v>
      </c>
    </row>
    <row r="1334" spans="1:20" ht="25.5" x14ac:dyDescent="0.25">
      <c r="A1334" s="1">
        <v>1330</v>
      </c>
      <c r="B1334" s="1" t="str">
        <f t="shared" si="127"/>
        <v>2017-390</v>
      </c>
      <c r="C1334" s="2" t="s">
        <v>883</v>
      </c>
      <c r="D1334" s="1" t="s">
        <v>382</v>
      </c>
      <c r="E1334" s="3" t="str">
        <f>""</f>
        <v/>
      </c>
      <c r="F1334" s="2" t="s">
        <v>27</v>
      </c>
      <c r="G1334" s="2" t="str">
        <f t="shared" si="128"/>
        <v>M.B. AUTO  d.o.o., KOLEDOVČINA 8, 10000 ZAGREB, OIB: 8902734372</v>
      </c>
      <c r="H1334" s="4"/>
      <c r="I1334" s="1" t="s">
        <v>355</v>
      </c>
      <c r="J1334" s="1" t="s">
        <v>303</v>
      </c>
      <c r="K1334" s="6" t="str">
        <f>"132,50"</f>
        <v>132,50</v>
      </c>
      <c r="L1334" s="6" t="str">
        <f>"33,13"</f>
        <v>33,13</v>
      </c>
      <c r="M1334" s="6" t="str">
        <f>"165,63"</f>
        <v>165,63</v>
      </c>
      <c r="N1334" s="5">
        <v>43607</v>
      </c>
      <c r="O1334" s="7"/>
      <c r="P1334" s="6" t="str">
        <f>"165,62"</f>
        <v>165,62</v>
      </c>
      <c r="Q1334" s="7"/>
      <c r="R1334" s="1"/>
      <c r="S1334" s="1" t="str">
        <f>"23-19/NOS-132-C/17"</f>
        <v>23-19/NOS-132-C/17</v>
      </c>
      <c r="T1334" s="2" t="s">
        <v>33</v>
      </c>
    </row>
    <row r="1335" spans="1:20" ht="25.5" x14ac:dyDescent="0.25">
      <c r="A1335" s="1">
        <v>1331</v>
      </c>
      <c r="B1335" s="1" t="str">
        <f t="shared" si="127"/>
        <v>2017-390</v>
      </c>
      <c r="C1335" s="2" t="s">
        <v>883</v>
      </c>
      <c r="D1335" s="1" t="s">
        <v>382</v>
      </c>
      <c r="E1335" s="3" t="str">
        <f>""</f>
        <v/>
      </c>
      <c r="F1335" s="2" t="s">
        <v>27</v>
      </c>
      <c r="G1335" s="2" t="str">
        <f t="shared" si="128"/>
        <v>M.B. AUTO  d.o.o., KOLEDOVČINA 8, 10000 ZAGREB, OIB: 8902734372</v>
      </c>
      <c r="H1335" s="4"/>
      <c r="I1335" s="1" t="s">
        <v>355</v>
      </c>
      <c r="J1335" s="1" t="s">
        <v>303</v>
      </c>
      <c r="K1335" s="6" t="str">
        <f>"1.282,13"</f>
        <v>1.282,13</v>
      </c>
      <c r="L1335" s="6" t="str">
        <f>"320,53"</f>
        <v>320,53</v>
      </c>
      <c r="M1335" s="6" t="str">
        <f>"1.602,66"</f>
        <v>1.602,66</v>
      </c>
      <c r="N1335" s="5">
        <v>43664</v>
      </c>
      <c r="O1335" s="7"/>
      <c r="P1335" s="6" t="str">
        <f>"1.602,66"</f>
        <v>1.602,66</v>
      </c>
      <c r="Q1335" s="7"/>
      <c r="R1335" s="1"/>
      <c r="S1335" s="1" t="str">
        <f>"24-19/NOS-132-C/17"</f>
        <v>24-19/NOS-132-C/17</v>
      </c>
      <c r="T1335" s="2" t="s">
        <v>33</v>
      </c>
    </row>
    <row r="1336" spans="1:20" ht="25.5" x14ac:dyDescent="0.25">
      <c r="A1336" s="1">
        <v>1332</v>
      </c>
      <c r="B1336" s="1" t="str">
        <f t="shared" si="127"/>
        <v>2017-390</v>
      </c>
      <c r="C1336" s="2" t="s">
        <v>883</v>
      </c>
      <c r="D1336" s="1" t="s">
        <v>382</v>
      </c>
      <c r="E1336" s="3" t="str">
        <f>""</f>
        <v/>
      </c>
      <c r="F1336" s="2" t="s">
        <v>27</v>
      </c>
      <c r="G1336" s="2" t="str">
        <f t="shared" si="128"/>
        <v>M.B. AUTO  d.o.o., KOLEDOVČINA 8, 10000 ZAGREB, OIB: 8902734372</v>
      </c>
      <c r="H1336" s="4"/>
      <c r="I1336" s="1" t="s">
        <v>334</v>
      </c>
      <c r="J1336" s="1" t="s">
        <v>303</v>
      </c>
      <c r="K1336" s="6" t="str">
        <f>"13.192,13"</f>
        <v>13.192,13</v>
      </c>
      <c r="L1336" s="6" t="str">
        <f>"3.298,03"</f>
        <v>3.298,03</v>
      </c>
      <c r="M1336" s="6" t="str">
        <f>"16.490,16"</f>
        <v>16.490,16</v>
      </c>
      <c r="N1336" s="5">
        <v>43623</v>
      </c>
      <c r="O1336" s="7"/>
      <c r="P1336" s="6" t="str">
        <f>"16.490,16"</f>
        <v>16.490,16</v>
      </c>
      <c r="Q1336" s="7"/>
      <c r="R1336" s="1"/>
      <c r="S1336" s="1" t="str">
        <f>"25-19/NOS-132-C/17"</f>
        <v>25-19/NOS-132-C/17</v>
      </c>
      <c r="T1336" s="2" t="s">
        <v>33</v>
      </c>
    </row>
    <row r="1337" spans="1:20" ht="25.5" x14ac:dyDescent="0.25">
      <c r="A1337" s="1">
        <v>1333</v>
      </c>
      <c r="B1337" s="1" t="str">
        <f t="shared" ref="B1337:B1359" si="129">"2017-390"</f>
        <v>2017-390</v>
      </c>
      <c r="C1337" s="2" t="s">
        <v>883</v>
      </c>
      <c r="D1337" s="1" t="s">
        <v>382</v>
      </c>
      <c r="E1337" s="3" t="str">
        <f>""</f>
        <v/>
      </c>
      <c r="F1337" s="2" t="s">
        <v>27</v>
      </c>
      <c r="G1337" s="2" t="str">
        <f t="shared" ref="G1337:G1351" si="130">CONCATENATE("M.B. AUTO  d.o.o.,"," KOLEDOVČINA 8,"," 10000 ZAGREB,"," OIB: 8902734372")</f>
        <v>M.B. AUTO  d.o.o., KOLEDOVČINA 8, 10000 ZAGREB, OIB: 8902734372</v>
      </c>
      <c r="H1337" s="4"/>
      <c r="I1337" s="1" t="s">
        <v>334</v>
      </c>
      <c r="J1337" s="1" t="s">
        <v>303</v>
      </c>
      <c r="K1337" s="6" t="str">
        <f>"1.539,00"</f>
        <v>1.539,00</v>
      </c>
      <c r="L1337" s="6" t="str">
        <f>"384,75"</f>
        <v>384,75</v>
      </c>
      <c r="M1337" s="6" t="str">
        <f>"1.923,75"</f>
        <v>1.923,75</v>
      </c>
      <c r="N1337" s="5">
        <v>43609</v>
      </c>
      <c r="O1337" s="7"/>
      <c r="P1337" s="6" t="str">
        <f>"1.923,75"</f>
        <v>1.923,75</v>
      </c>
      <c r="Q1337" s="7"/>
      <c r="R1337" s="1"/>
      <c r="S1337" s="1" t="str">
        <f>"26-19/NOS-132-C/17"</f>
        <v>26-19/NOS-132-C/17</v>
      </c>
      <c r="T1337" s="2" t="s">
        <v>33</v>
      </c>
    </row>
    <row r="1338" spans="1:20" ht="25.5" x14ac:dyDescent="0.25">
      <c r="A1338" s="1">
        <v>1334</v>
      </c>
      <c r="B1338" s="1" t="str">
        <f t="shared" si="129"/>
        <v>2017-390</v>
      </c>
      <c r="C1338" s="2" t="s">
        <v>883</v>
      </c>
      <c r="D1338" s="1" t="s">
        <v>382</v>
      </c>
      <c r="E1338" s="3" t="str">
        <f>""</f>
        <v/>
      </c>
      <c r="F1338" s="2" t="s">
        <v>27</v>
      </c>
      <c r="G1338" s="2" t="str">
        <f t="shared" si="130"/>
        <v>M.B. AUTO  d.o.o., KOLEDOVČINA 8, 10000 ZAGREB, OIB: 8902734372</v>
      </c>
      <c r="H1338" s="4"/>
      <c r="I1338" s="1" t="s">
        <v>25</v>
      </c>
      <c r="J1338" s="1" t="s">
        <v>303</v>
      </c>
      <c r="K1338" s="6" t="str">
        <f>"474,62"</f>
        <v>474,62</v>
      </c>
      <c r="L1338" s="6" t="str">
        <f>"118,66"</f>
        <v>118,66</v>
      </c>
      <c r="M1338" s="6" t="str">
        <f>"593,28"</f>
        <v>593,28</v>
      </c>
      <c r="N1338" s="5">
        <v>43609</v>
      </c>
      <c r="O1338" s="7"/>
      <c r="P1338" s="6" t="str">
        <f>"593,28"</f>
        <v>593,28</v>
      </c>
      <c r="Q1338" s="7"/>
      <c r="R1338" s="1"/>
      <c r="S1338" s="1" t="str">
        <f>"27-19/NOS-132-C/17"</f>
        <v>27-19/NOS-132-C/17</v>
      </c>
      <c r="T1338" s="2" t="s">
        <v>33</v>
      </c>
    </row>
    <row r="1339" spans="1:20" ht="25.5" x14ac:dyDescent="0.25">
      <c r="A1339" s="1">
        <v>1335</v>
      </c>
      <c r="B1339" s="1" t="str">
        <f t="shared" si="129"/>
        <v>2017-390</v>
      </c>
      <c r="C1339" s="2" t="s">
        <v>883</v>
      </c>
      <c r="D1339" s="1" t="s">
        <v>382</v>
      </c>
      <c r="E1339" s="3" t="str">
        <f>""</f>
        <v/>
      </c>
      <c r="F1339" s="2" t="s">
        <v>27</v>
      </c>
      <c r="G1339" s="2" t="str">
        <f t="shared" si="130"/>
        <v>M.B. AUTO  d.o.o., KOLEDOVČINA 8, 10000 ZAGREB, OIB: 8902734372</v>
      </c>
      <c r="H1339" s="4"/>
      <c r="I1339" s="1" t="s">
        <v>32</v>
      </c>
      <c r="J1339" s="1" t="s">
        <v>303</v>
      </c>
      <c r="K1339" s="6" t="str">
        <f>"1.088,40"</f>
        <v>1.088,40</v>
      </c>
      <c r="L1339" s="6" t="str">
        <f>"272,10"</f>
        <v>272,10</v>
      </c>
      <c r="M1339" s="6" t="str">
        <f>"1.360,50"</f>
        <v>1.360,50</v>
      </c>
      <c r="N1339" s="5">
        <v>43623</v>
      </c>
      <c r="O1339" s="7"/>
      <c r="P1339" s="6" t="str">
        <f>"1.360,50"</f>
        <v>1.360,50</v>
      </c>
      <c r="Q1339" s="7"/>
      <c r="R1339" s="1"/>
      <c r="S1339" s="1" t="str">
        <f>"28-19/NOS-132-C/17"</f>
        <v>28-19/NOS-132-C/17</v>
      </c>
      <c r="T1339" s="2" t="s">
        <v>33</v>
      </c>
    </row>
    <row r="1340" spans="1:20" ht="25.5" x14ac:dyDescent="0.25">
      <c r="A1340" s="1">
        <v>1336</v>
      </c>
      <c r="B1340" s="1" t="str">
        <f t="shared" si="129"/>
        <v>2017-390</v>
      </c>
      <c r="C1340" s="2" t="s">
        <v>883</v>
      </c>
      <c r="D1340" s="1" t="s">
        <v>382</v>
      </c>
      <c r="E1340" s="3" t="str">
        <f>""</f>
        <v/>
      </c>
      <c r="F1340" s="2" t="s">
        <v>27</v>
      </c>
      <c r="G1340" s="2" t="str">
        <f t="shared" si="130"/>
        <v>M.B. AUTO  d.o.o., KOLEDOVČINA 8, 10000 ZAGREB, OIB: 8902734372</v>
      </c>
      <c r="H1340" s="4"/>
      <c r="I1340" s="1" t="s">
        <v>499</v>
      </c>
      <c r="J1340" s="1" t="s">
        <v>303</v>
      </c>
      <c r="K1340" s="6" t="str">
        <f>"5.540,40"</f>
        <v>5.540,40</v>
      </c>
      <c r="L1340" s="6" t="str">
        <f>"1.385,10"</f>
        <v>1.385,10</v>
      </c>
      <c r="M1340" s="6" t="str">
        <f>"6.925,50"</f>
        <v>6.925,50</v>
      </c>
      <c r="N1340" s="5">
        <v>43623</v>
      </c>
      <c r="O1340" s="7"/>
      <c r="P1340" s="6" t="str">
        <f>"6.925,50"</f>
        <v>6.925,50</v>
      </c>
      <c r="Q1340" s="7"/>
      <c r="R1340" s="1"/>
      <c r="S1340" s="1" t="str">
        <f>"29-19/NOS-132-C/17"</f>
        <v>29-19/NOS-132-C/17</v>
      </c>
      <c r="T1340" s="2" t="s">
        <v>33</v>
      </c>
    </row>
    <row r="1341" spans="1:20" ht="25.5" x14ac:dyDescent="0.25">
      <c r="A1341" s="1">
        <v>1337</v>
      </c>
      <c r="B1341" s="1" t="str">
        <f t="shared" si="129"/>
        <v>2017-390</v>
      </c>
      <c r="C1341" s="2" t="s">
        <v>883</v>
      </c>
      <c r="D1341" s="1" t="s">
        <v>382</v>
      </c>
      <c r="E1341" s="3" t="str">
        <f>""</f>
        <v/>
      </c>
      <c r="F1341" s="2" t="s">
        <v>27</v>
      </c>
      <c r="G1341" s="2" t="str">
        <f t="shared" si="130"/>
        <v>M.B. AUTO  d.o.o., KOLEDOVČINA 8, 10000 ZAGREB, OIB: 8902734372</v>
      </c>
      <c r="H1341" s="4"/>
      <c r="I1341" s="1" t="s">
        <v>74</v>
      </c>
      <c r="J1341" s="1" t="s">
        <v>303</v>
      </c>
      <c r="K1341" s="6" t="str">
        <f>"342,92"</f>
        <v>342,92</v>
      </c>
      <c r="L1341" s="6" t="str">
        <f>"85,73"</f>
        <v>85,73</v>
      </c>
      <c r="M1341" s="6" t="str">
        <f>"428,65"</f>
        <v>428,65</v>
      </c>
      <c r="N1341" s="5">
        <v>43623</v>
      </c>
      <c r="O1341" s="7"/>
      <c r="P1341" s="6" t="str">
        <f>"428,65"</f>
        <v>428,65</v>
      </c>
      <c r="Q1341" s="7"/>
      <c r="R1341" s="1"/>
      <c r="S1341" s="1" t="str">
        <f>"30-19/NOS-132-C/17"</f>
        <v>30-19/NOS-132-C/17</v>
      </c>
      <c r="T1341" s="2" t="s">
        <v>33</v>
      </c>
    </row>
    <row r="1342" spans="1:20" ht="25.5" x14ac:dyDescent="0.25">
      <c r="A1342" s="1">
        <v>1338</v>
      </c>
      <c r="B1342" s="1" t="str">
        <f t="shared" si="129"/>
        <v>2017-390</v>
      </c>
      <c r="C1342" s="2" t="s">
        <v>883</v>
      </c>
      <c r="D1342" s="1" t="s">
        <v>382</v>
      </c>
      <c r="E1342" s="3" t="str">
        <f>""</f>
        <v/>
      </c>
      <c r="F1342" s="2" t="s">
        <v>27</v>
      </c>
      <c r="G1342" s="2" t="str">
        <f t="shared" si="130"/>
        <v>M.B. AUTO  d.o.o., KOLEDOVČINA 8, 10000 ZAGREB, OIB: 8902734372</v>
      </c>
      <c r="H1342" s="4"/>
      <c r="I1342" s="1" t="s">
        <v>320</v>
      </c>
      <c r="J1342" s="1" t="s">
        <v>303</v>
      </c>
      <c r="K1342" s="6" t="str">
        <f>"2.358,44"</f>
        <v>2.358,44</v>
      </c>
      <c r="L1342" s="6" t="str">
        <f>"589,61"</f>
        <v>589,61</v>
      </c>
      <c r="M1342" s="6" t="str">
        <f>"2.948,05"</f>
        <v>2.948,05</v>
      </c>
      <c r="N1342" s="5">
        <v>43623</v>
      </c>
      <c r="O1342" s="7"/>
      <c r="P1342" s="6" t="str">
        <f>"2.948,05"</f>
        <v>2.948,05</v>
      </c>
      <c r="Q1342" s="7"/>
      <c r="R1342" s="1"/>
      <c r="S1342" s="1" t="str">
        <f>"31-19/NOS-132-C/17"</f>
        <v>31-19/NOS-132-C/17</v>
      </c>
      <c r="T1342" s="2" t="s">
        <v>33</v>
      </c>
    </row>
    <row r="1343" spans="1:20" ht="25.5" x14ac:dyDescent="0.25">
      <c r="A1343" s="1">
        <v>1339</v>
      </c>
      <c r="B1343" s="1" t="str">
        <f t="shared" si="129"/>
        <v>2017-390</v>
      </c>
      <c r="C1343" s="2" t="s">
        <v>883</v>
      </c>
      <c r="D1343" s="1" t="s">
        <v>382</v>
      </c>
      <c r="E1343" s="3" t="str">
        <f>""</f>
        <v/>
      </c>
      <c r="F1343" s="2" t="s">
        <v>27</v>
      </c>
      <c r="G1343" s="2" t="str">
        <f t="shared" si="130"/>
        <v>M.B. AUTO  d.o.o., KOLEDOVČINA 8, 10000 ZAGREB, OIB: 8902734372</v>
      </c>
      <c r="H1343" s="4"/>
      <c r="I1343" s="1" t="s">
        <v>402</v>
      </c>
      <c r="J1343" s="1" t="s">
        <v>303</v>
      </c>
      <c r="K1343" s="6" t="str">
        <f>"282,35"</f>
        <v>282,35</v>
      </c>
      <c r="L1343" s="6" t="str">
        <f>"70,59"</f>
        <v>70,59</v>
      </c>
      <c r="M1343" s="6" t="str">
        <f>"352,94"</f>
        <v>352,94</v>
      </c>
      <c r="N1343" s="5">
        <v>43628</v>
      </c>
      <c r="O1343" s="7"/>
      <c r="P1343" s="6" t="str">
        <f>"352,94"</f>
        <v>352,94</v>
      </c>
      <c r="Q1343" s="7"/>
      <c r="R1343" s="1"/>
      <c r="S1343" s="1" t="str">
        <f>"32-19/NOS-132-C/17"</f>
        <v>32-19/NOS-132-C/17</v>
      </c>
      <c r="T1343" s="2" t="s">
        <v>29</v>
      </c>
    </row>
    <row r="1344" spans="1:20" ht="25.5" x14ac:dyDescent="0.25">
      <c r="A1344" s="1">
        <v>1340</v>
      </c>
      <c r="B1344" s="1" t="str">
        <f t="shared" si="129"/>
        <v>2017-390</v>
      </c>
      <c r="C1344" s="2" t="s">
        <v>883</v>
      </c>
      <c r="D1344" s="1" t="s">
        <v>382</v>
      </c>
      <c r="E1344" s="3" t="str">
        <f>""</f>
        <v/>
      </c>
      <c r="F1344" s="2" t="s">
        <v>27</v>
      </c>
      <c r="G1344" s="2" t="str">
        <f t="shared" si="130"/>
        <v>M.B. AUTO  d.o.o., KOLEDOVČINA 8, 10000 ZAGREB, OIB: 8902734372</v>
      </c>
      <c r="H1344" s="4"/>
      <c r="I1344" s="1" t="s">
        <v>162</v>
      </c>
      <c r="J1344" s="1" t="s">
        <v>303</v>
      </c>
      <c r="K1344" s="6" t="str">
        <f>"7.619,16"</f>
        <v>7.619,16</v>
      </c>
      <c r="L1344" s="6" t="str">
        <f>"1.904,79"</f>
        <v>1.904,79</v>
      </c>
      <c r="M1344" s="6" t="str">
        <f>"9.523,95"</f>
        <v>9.523,95</v>
      </c>
      <c r="N1344" s="5">
        <v>43635</v>
      </c>
      <c r="O1344" s="7"/>
      <c r="P1344" s="6" t="str">
        <f>"9.523,95"</f>
        <v>9.523,95</v>
      </c>
      <c r="Q1344" s="7"/>
      <c r="R1344" s="1"/>
      <c r="S1344" s="1" t="str">
        <f>"33-19/NOS-132-C/17"</f>
        <v>33-19/NOS-132-C/17</v>
      </c>
      <c r="T1344" s="2" t="s">
        <v>33</v>
      </c>
    </row>
    <row r="1345" spans="1:20" ht="25.5" x14ac:dyDescent="0.25">
      <c r="A1345" s="1">
        <v>1341</v>
      </c>
      <c r="B1345" s="1" t="str">
        <f t="shared" si="129"/>
        <v>2017-390</v>
      </c>
      <c r="C1345" s="2" t="s">
        <v>883</v>
      </c>
      <c r="D1345" s="1" t="s">
        <v>382</v>
      </c>
      <c r="E1345" s="3" t="str">
        <f>""</f>
        <v/>
      </c>
      <c r="F1345" s="2" t="s">
        <v>27</v>
      </c>
      <c r="G1345" s="2" t="str">
        <f t="shared" si="130"/>
        <v>M.B. AUTO  d.o.o., KOLEDOVČINA 8, 10000 ZAGREB, OIB: 8902734372</v>
      </c>
      <c r="H1345" s="4"/>
      <c r="I1345" s="1" t="s">
        <v>402</v>
      </c>
      <c r="J1345" s="1" t="s">
        <v>303</v>
      </c>
      <c r="K1345" s="6" t="str">
        <f>"1.102,58"</f>
        <v>1.102,58</v>
      </c>
      <c r="L1345" s="6" t="str">
        <f>"275,65"</f>
        <v>275,65</v>
      </c>
      <c r="M1345" s="6" t="str">
        <f>"1.378,23"</f>
        <v>1.378,23</v>
      </c>
      <c r="N1345" s="5">
        <v>43635</v>
      </c>
      <c r="O1345" s="7"/>
      <c r="P1345" s="6" t="str">
        <f>"1.378,22"</f>
        <v>1.378,22</v>
      </c>
      <c r="Q1345" s="7"/>
      <c r="R1345" s="1"/>
      <c r="S1345" s="1" t="str">
        <f>"34-19/NOS-132-C/17"</f>
        <v>34-19/NOS-132-C/17</v>
      </c>
      <c r="T1345" s="2" t="s">
        <v>33</v>
      </c>
    </row>
    <row r="1346" spans="1:20" ht="25.5" x14ac:dyDescent="0.25">
      <c r="A1346" s="1">
        <v>1342</v>
      </c>
      <c r="B1346" s="1" t="str">
        <f t="shared" si="129"/>
        <v>2017-390</v>
      </c>
      <c r="C1346" s="2" t="s">
        <v>883</v>
      </c>
      <c r="D1346" s="1" t="s">
        <v>382</v>
      </c>
      <c r="E1346" s="3" t="str">
        <f>""</f>
        <v/>
      </c>
      <c r="F1346" s="2" t="s">
        <v>27</v>
      </c>
      <c r="G1346" s="2" t="str">
        <f t="shared" si="130"/>
        <v>M.B. AUTO  d.o.o., KOLEDOVČINA 8, 10000 ZAGREB, OIB: 8902734372</v>
      </c>
      <c r="H1346" s="4"/>
      <c r="I1346" s="1" t="s">
        <v>597</v>
      </c>
      <c r="J1346" s="1" t="s">
        <v>303</v>
      </c>
      <c r="K1346" s="6" t="str">
        <f>"5.113,40"</f>
        <v>5.113,40</v>
      </c>
      <c r="L1346" s="6" t="str">
        <f>"1.278,35"</f>
        <v>1.278,35</v>
      </c>
      <c r="M1346" s="6" t="str">
        <f>"6.391,75"</f>
        <v>6.391,75</v>
      </c>
      <c r="N1346" s="5">
        <v>43637</v>
      </c>
      <c r="O1346" s="7"/>
      <c r="P1346" s="6" t="str">
        <f>"6.391,75"</f>
        <v>6.391,75</v>
      </c>
      <c r="Q1346" s="7"/>
      <c r="R1346" s="1"/>
      <c r="S1346" s="1" t="str">
        <f>"35-19/NOS-132-C/17"</f>
        <v>35-19/NOS-132-C/17</v>
      </c>
      <c r="T1346" s="2" t="s">
        <v>33</v>
      </c>
    </row>
    <row r="1347" spans="1:20" ht="25.5" x14ac:dyDescent="0.25">
      <c r="A1347" s="1">
        <v>1343</v>
      </c>
      <c r="B1347" s="1" t="str">
        <f t="shared" si="129"/>
        <v>2017-390</v>
      </c>
      <c r="C1347" s="2" t="s">
        <v>883</v>
      </c>
      <c r="D1347" s="1" t="s">
        <v>382</v>
      </c>
      <c r="E1347" s="3" t="str">
        <f>""</f>
        <v/>
      </c>
      <c r="F1347" s="2" t="s">
        <v>27</v>
      </c>
      <c r="G1347" s="2" t="str">
        <f t="shared" si="130"/>
        <v>M.B. AUTO  d.o.o., KOLEDOVČINA 8, 10000 ZAGREB, OIB: 8902734372</v>
      </c>
      <c r="H1347" s="4"/>
      <c r="I1347" s="1" t="s">
        <v>46</v>
      </c>
      <c r="J1347" s="1" t="s">
        <v>303</v>
      </c>
      <c r="K1347" s="6" t="str">
        <f>"3.398,96"</f>
        <v>3.398,96</v>
      </c>
      <c r="L1347" s="6" t="str">
        <f>"849,74"</f>
        <v>849,74</v>
      </c>
      <c r="M1347" s="6" t="str">
        <f>"4.248,70"</f>
        <v>4.248,70</v>
      </c>
      <c r="N1347" s="5">
        <v>43643</v>
      </c>
      <c r="O1347" s="7"/>
      <c r="P1347" s="6" t="str">
        <f>"4.248,70"</f>
        <v>4.248,70</v>
      </c>
      <c r="Q1347" s="7"/>
      <c r="R1347" s="1"/>
      <c r="S1347" s="1" t="str">
        <f>"36-19/NOS-132-C/17"</f>
        <v>36-19/NOS-132-C/17</v>
      </c>
      <c r="T1347" s="2" t="s">
        <v>33</v>
      </c>
    </row>
    <row r="1348" spans="1:20" ht="25.5" x14ac:dyDescent="0.25">
      <c r="A1348" s="1">
        <v>1344</v>
      </c>
      <c r="B1348" s="1" t="str">
        <f t="shared" si="129"/>
        <v>2017-390</v>
      </c>
      <c r="C1348" s="2" t="s">
        <v>883</v>
      </c>
      <c r="D1348" s="1" t="s">
        <v>382</v>
      </c>
      <c r="E1348" s="3" t="str">
        <f>""</f>
        <v/>
      </c>
      <c r="F1348" s="2" t="s">
        <v>27</v>
      </c>
      <c r="G1348" s="2" t="str">
        <f t="shared" si="130"/>
        <v>M.B. AUTO  d.o.o., KOLEDOVČINA 8, 10000 ZAGREB, OIB: 8902734372</v>
      </c>
      <c r="H1348" s="4"/>
      <c r="I1348" s="1" t="s">
        <v>424</v>
      </c>
      <c r="J1348" s="1" t="s">
        <v>303</v>
      </c>
      <c r="K1348" s="6" t="str">
        <f>"302,84"</f>
        <v>302,84</v>
      </c>
      <c r="L1348" s="6" t="str">
        <f>"75,71"</f>
        <v>75,71</v>
      </c>
      <c r="M1348" s="6" t="str">
        <f>"378,55"</f>
        <v>378,55</v>
      </c>
      <c r="N1348" s="5">
        <v>43643</v>
      </c>
      <c r="O1348" s="7"/>
      <c r="P1348" s="6" t="str">
        <f>"378,55"</f>
        <v>378,55</v>
      </c>
      <c r="Q1348" s="7"/>
      <c r="R1348" s="1"/>
      <c r="S1348" s="1" t="str">
        <f>"37-19/NOS-132-C/17"</f>
        <v>37-19/NOS-132-C/17</v>
      </c>
      <c r="T1348" s="2" t="s">
        <v>33</v>
      </c>
    </row>
    <row r="1349" spans="1:20" ht="25.5" x14ac:dyDescent="0.25">
      <c r="A1349" s="1">
        <v>1345</v>
      </c>
      <c r="B1349" s="1" t="str">
        <f t="shared" si="129"/>
        <v>2017-390</v>
      </c>
      <c r="C1349" s="2" t="s">
        <v>883</v>
      </c>
      <c r="D1349" s="1" t="s">
        <v>382</v>
      </c>
      <c r="E1349" s="3" t="str">
        <f>""</f>
        <v/>
      </c>
      <c r="F1349" s="2" t="s">
        <v>27</v>
      </c>
      <c r="G1349" s="2" t="str">
        <f t="shared" si="130"/>
        <v>M.B. AUTO  d.o.o., KOLEDOVČINA 8, 10000 ZAGREB, OIB: 8902734372</v>
      </c>
      <c r="H1349" s="4"/>
      <c r="I1349" s="1" t="s">
        <v>46</v>
      </c>
      <c r="J1349" s="1" t="s">
        <v>303</v>
      </c>
      <c r="K1349" s="6" t="str">
        <f>"640,60"</f>
        <v>640,60</v>
      </c>
      <c r="L1349" s="6" t="str">
        <f>"160,15"</f>
        <v>160,15</v>
      </c>
      <c r="M1349" s="6" t="str">
        <f>"800,75"</f>
        <v>800,75</v>
      </c>
      <c r="N1349" s="5">
        <v>43644</v>
      </c>
      <c r="O1349" s="7"/>
      <c r="P1349" s="6" t="str">
        <f>"800,75"</f>
        <v>800,75</v>
      </c>
      <c r="Q1349" s="7"/>
      <c r="R1349" s="1"/>
      <c r="S1349" s="1" t="str">
        <f>"38-19/NOS-132-C/17"</f>
        <v>38-19/NOS-132-C/17</v>
      </c>
      <c r="T1349" s="2" t="s">
        <v>33</v>
      </c>
    </row>
    <row r="1350" spans="1:20" ht="25.5" x14ac:dyDescent="0.25">
      <c r="A1350" s="1">
        <v>1346</v>
      </c>
      <c r="B1350" s="1" t="str">
        <f t="shared" si="129"/>
        <v>2017-390</v>
      </c>
      <c r="C1350" s="2" t="s">
        <v>883</v>
      </c>
      <c r="D1350" s="1" t="s">
        <v>382</v>
      </c>
      <c r="E1350" s="3" t="str">
        <f>""</f>
        <v/>
      </c>
      <c r="F1350" s="2" t="s">
        <v>27</v>
      </c>
      <c r="G1350" s="2" t="str">
        <f t="shared" si="130"/>
        <v>M.B. AUTO  d.o.o., KOLEDOVČINA 8, 10000 ZAGREB, OIB: 8902734372</v>
      </c>
      <c r="H1350" s="4"/>
      <c r="I1350" s="1" t="s">
        <v>640</v>
      </c>
      <c r="J1350" s="1" t="s">
        <v>303</v>
      </c>
      <c r="K1350" s="6" t="str">
        <f>"91,94"</f>
        <v>91,94</v>
      </c>
      <c r="L1350" s="6" t="str">
        <f>"22,99"</f>
        <v>22,99</v>
      </c>
      <c r="M1350" s="6" t="str">
        <f>"114,93"</f>
        <v>114,93</v>
      </c>
      <c r="N1350" s="5">
        <v>43684</v>
      </c>
      <c r="O1350" s="7"/>
      <c r="P1350" s="6" t="str">
        <f>"114,92"</f>
        <v>114,92</v>
      </c>
      <c r="Q1350" s="7"/>
      <c r="R1350" s="1"/>
      <c r="S1350" s="1" t="str">
        <f>"39-19/NOS-132-C/17"</f>
        <v>39-19/NOS-132-C/17</v>
      </c>
      <c r="T1350" s="2" t="s">
        <v>29</v>
      </c>
    </row>
    <row r="1351" spans="1:20" ht="25.5" x14ac:dyDescent="0.25">
      <c r="A1351" s="1">
        <v>1347</v>
      </c>
      <c r="B1351" s="1" t="str">
        <f t="shared" si="129"/>
        <v>2017-390</v>
      </c>
      <c r="C1351" s="2" t="s">
        <v>883</v>
      </c>
      <c r="D1351" s="1" t="s">
        <v>382</v>
      </c>
      <c r="E1351" s="3" t="str">
        <f>""</f>
        <v/>
      </c>
      <c r="F1351" s="2" t="s">
        <v>27</v>
      </c>
      <c r="G1351" s="2" t="str">
        <f t="shared" si="130"/>
        <v>M.B. AUTO  d.o.o., KOLEDOVČINA 8, 10000 ZAGREB, OIB: 8902734372</v>
      </c>
      <c r="H1351" s="4"/>
      <c r="I1351" s="1" t="s">
        <v>638</v>
      </c>
      <c r="J1351" s="1" t="s">
        <v>303</v>
      </c>
      <c r="K1351" s="6" t="str">
        <f>"285,40"</f>
        <v>285,40</v>
      </c>
      <c r="L1351" s="6" t="str">
        <f>"71,35"</f>
        <v>71,35</v>
      </c>
      <c r="M1351" s="6" t="str">
        <f>"356,75"</f>
        <v>356,75</v>
      </c>
      <c r="N1351" s="5">
        <v>43644</v>
      </c>
      <c r="O1351" s="7"/>
      <c r="P1351" s="6" t="str">
        <f>"356,75"</f>
        <v>356,75</v>
      </c>
      <c r="Q1351" s="7"/>
      <c r="R1351" s="1"/>
      <c r="S1351" s="1" t="str">
        <f>"40-19/NOS-132-C/17"</f>
        <v>40-19/NOS-132-C/17</v>
      </c>
      <c r="T1351" s="2" t="s">
        <v>33</v>
      </c>
    </row>
    <row r="1352" spans="1:20" ht="38.25" x14ac:dyDescent="0.25">
      <c r="A1352" s="1">
        <v>1348</v>
      </c>
      <c r="B1352" s="1" t="str">
        <f t="shared" si="129"/>
        <v>2017-390</v>
      </c>
      <c r="C1352" s="2" t="s">
        <v>883</v>
      </c>
      <c r="D1352" s="1" t="s">
        <v>382</v>
      </c>
      <c r="E1352" s="3" t="str">
        <f>"2017/S 0F2-0015055"</f>
        <v>2017/S 0F2-0015055</v>
      </c>
      <c r="F1352" s="2" t="s">
        <v>23</v>
      </c>
      <c r="G1352" s="2" t="str">
        <f t="shared" ref="G1352:G1359" si="131">CONCATENATE("EMIL FREY AUTO CENTAR D.O.O.,"," KOVINSKA 5,"," 10000 ZAGREB,"," OIB: 01930677284")</f>
        <v>EMIL FREY AUTO CENTAR D.O.O., KOVINSKA 5, 10000 ZAGREB, OIB: 01930677284</v>
      </c>
      <c r="H1352" s="4"/>
      <c r="I1352" s="1" t="s">
        <v>857</v>
      </c>
      <c r="J1352" s="1" t="s">
        <v>884</v>
      </c>
      <c r="K1352" s="6" t="str">
        <f>"1.000.000,00"</f>
        <v>1.000.000,00</v>
      </c>
      <c r="L1352" s="6" t="str">
        <f>"250.000,00"</f>
        <v>250.000,00</v>
      </c>
      <c r="M1352" s="6" t="str">
        <f>"1.250.000,00"</f>
        <v>1.250.000,00</v>
      </c>
      <c r="N1352" s="7"/>
      <c r="O1352" s="7"/>
      <c r="P1352" s="6" t="str">
        <f>""</f>
        <v/>
      </c>
      <c r="Q1352" s="7"/>
      <c r="R1352" s="1"/>
      <c r="S1352" s="1" t="str">
        <f>"NOS-132-D/17"</f>
        <v>NOS-132-D/17</v>
      </c>
      <c r="T1352" s="2" t="s">
        <v>26</v>
      </c>
    </row>
    <row r="1353" spans="1:20" ht="25.5" x14ac:dyDescent="0.25">
      <c r="A1353" s="1">
        <v>1349</v>
      </c>
      <c r="B1353" s="1" t="str">
        <f t="shared" si="129"/>
        <v>2017-390</v>
      </c>
      <c r="C1353" s="2" t="s">
        <v>883</v>
      </c>
      <c r="D1353" s="1" t="s">
        <v>382</v>
      </c>
      <c r="E1353" s="3" t="str">
        <f>""</f>
        <v/>
      </c>
      <c r="F1353" s="2" t="s">
        <v>27</v>
      </c>
      <c r="G1353" s="2" t="str">
        <f t="shared" si="131"/>
        <v>EMIL FREY AUTO CENTAR D.O.O., KOVINSKA 5, 10000 ZAGREB, OIB: 01930677284</v>
      </c>
      <c r="H1353" s="4"/>
      <c r="I1353" s="1" t="s">
        <v>293</v>
      </c>
      <c r="J1353" s="1" t="s">
        <v>303</v>
      </c>
      <c r="K1353" s="6" t="str">
        <f>"3.166,94"</f>
        <v>3.166,94</v>
      </c>
      <c r="L1353" s="6" t="str">
        <f>"791,73"</f>
        <v>791,73</v>
      </c>
      <c r="M1353" s="6" t="str">
        <f>"3.958,67"</f>
        <v>3.958,67</v>
      </c>
      <c r="N1353" s="5">
        <v>43538</v>
      </c>
      <c r="O1353" s="7"/>
      <c r="P1353" s="6" t="str">
        <f>"3.958,68"</f>
        <v>3.958,68</v>
      </c>
      <c r="Q1353" s="7"/>
      <c r="R1353" s="1"/>
      <c r="S1353" s="1" t="str">
        <f>"1-19/NOS-132-D/17"</f>
        <v>1-19/NOS-132-D/17</v>
      </c>
      <c r="T1353" s="2" t="s">
        <v>33</v>
      </c>
    </row>
    <row r="1354" spans="1:20" ht="25.5" x14ac:dyDescent="0.25">
      <c r="A1354" s="1">
        <v>1350</v>
      </c>
      <c r="B1354" s="1" t="str">
        <f t="shared" si="129"/>
        <v>2017-390</v>
      </c>
      <c r="C1354" s="2" t="s">
        <v>883</v>
      </c>
      <c r="D1354" s="1" t="s">
        <v>382</v>
      </c>
      <c r="E1354" s="3" t="str">
        <f>""</f>
        <v/>
      </c>
      <c r="F1354" s="2" t="s">
        <v>27</v>
      </c>
      <c r="G1354" s="2" t="str">
        <f t="shared" si="131"/>
        <v>EMIL FREY AUTO CENTAR D.O.O., KOVINSKA 5, 10000 ZAGREB, OIB: 01930677284</v>
      </c>
      <c r="H1354" s="4"/>
      <c r="I1354" s="1" t="s">
        <v>339</v>
      </c>
      <c r="J1354" s="1" t="s">
        <v>303</v>
      </c>
      <c r="K1354" s="6" t="str">
        <f>"1.355,06"</f>
        <v>1.355,06</v>
      </c>
      <c r="L1354" s="6" t="str">
        <f>"338,77"</f>
        <v>338,77</v>
      </c>
      <c r="M1354" s="6" t="str">
        <f>"1.693,83"</f>
        <v>1.693,83</v>
      </c>
      <c r="N1354" s="5">
        <v>43550</v>
      </c>
      <c r="O1354" s="7"/>
      <c r="P1354" s="6" t="str">
        <f>"1.693,82"</f>
        <v>1.693,82</v>
      </c>
      <c r="Q1354" s="7"/>
      <c r="R1354" s="1"/>
      <c r="S1354" s="1" t="str">
        <f>"2-19/NOS-132-D/17"</f>
        <v>2-19/NOS-132-D/17</v>
      </c>
      <c r="T1354" s="2" t="s">
        <v>33</v>
      </c>
    </row>
    <row r="1355" spans="1:20" ht="25.5" x14ac:dyDescent="0.25">
      <c r="A1355" s="1">
        <v>1351</v>
      </c>
      <c r="B1355" s="1" t="str">
        <f t="shared" si="129"/>
        <v>2017-390</v>
      </c>
      <c r="C1355" s="2" t="s">
        <v>883</v>
      </c>
      <c r="D1355" s="1" t="s">
        <v>382</v>
      </c>
      <c r="E1355" s="3" t="str">
        <f>""</f>
        <v/>
      </c>
      <c r="F1355" s="2" t="s">
        <v>27</v>
      </c>
      <c r="G1355" s="2" t="str">
        <f t="shared" si="131"/>
        <v>EMIL FREY AUTO CENTAR D.O.O., KOVINSKA 5, 10000 ZAGREB, OIB: 01930677284</v>
      </c>
      <c r="H1355" s="4"/>
      <c r="I1355" s="1" t="s">
        <v>641</v>
      </c>
      <c r="J1355" s="1" t="s">
        <v>303</v>
      </c>
      <c r="K1355" s="6" t="str">
        <f>"592,66"</f>
        <v>592,66</v>
      </c>
      <c r="L1355" s="6" t="str">
        <f>"148,17"</f>
        <v>148,17</v>
      </c>
      <c r="M1355" s="6" t="str">
        <f>"740,83"</f>
        <v>740,83</v>
      </c>
      <c r="N1355" s="5">
        <v>43608</v>
      </c>
      <c r="O1355" s="7"/>
      <c r="P1355" s="6" t="str">
        <f>"740,82"</f>
        <v>740,82</v>
      </c>
      <c r="Q1355" s="7"/>
      <c r="R1355" s="1"/>
      <c r="S1355" s="1" t="str">
        <f>"3-19/NOS-132-D/17"</f>
        <v>3-19/NOS-132-D/17</v>
      </c>
      <c r="T1355" s="2" t="s">
        <v>33</v>
      </c>
    </row>
    <row r="1356" spans="1:20" ht="25.5" x14ac:dyDescent="0.25">
      <c r="A1356" s="1">
        <v>1352</v>
      </c>
      <c r="B1356" s="1" t="str">
        <f t="shared" si="129"/>
        <v>2017-390</v>
      </c>
      <c r="C1356" s="2" t="s">
        <v>883</v>
      </c>
      <c r="D1356" s="1" t="s">
        <v>382</v>
      </c>
      <c r="E1356" s="3" t="str">
        <f>""</f>
        <v/>
      </c>
      <c r="F1356" s="2" t="s">
        <v>27</v>
      </c>
      <c r="G1356" s="2" t="str">
        <f t="shared" si="131"/>
        <v>EMIL FREY AUTO CENTAR D.O.O., KOVINSKA 5, 10000 ZAGREB, OIB: 01930677284</v>
      </c>
      <c r="H1356" s="4"/>
      <c r="I1356" s="1" t="s">
        <v>25</v>
      </c>
      <c r="J1356" s="1" t="s">
        <v>303</v>
      </c>
      <c r="K1356" s="6" t="str">
        <f>"179,15"</f>
        <v>179,15</v>
      </c>
      <c r="L1356" s="6" t="str">
        <f>"44,79"</f>
        <v>44,79</v>
      </c>
      <c r="M1356" s="6" t="str">
        <f>"223,94"</f>
        <v>223,94</v>
      </c>
      <c r="N1356" s="5">
        <v>43608</v>
      </c>
      <c r="O1356" s="7"/>
      <c r="P1356" s="6" t="str">
        <f>"223,94"</f>
        <v>223,94</v>
      </c>
      <c r="Q1356" s="7"/>
      <c r="R1356" s="1"/>
      <c r="S1356" s="1" t="str">
        <f>"4-19/NOS-132-D/17"</f>
        <v>4-19/NOS-132-D/17</v>
      </c>
      <c r="T1356" s="2" t="s">
        <v>33</v>
      </c>
    </row>
    <row r="1357" spans="1:20" ht="25.5" x14ac:dyDescent="0.25">
      <c r="A1357" s="1">
        <v>1353</v>
      </c>
      <c r="B1357" s="1" t="str">
        <f t="shared" si="129"/>
        <v>2017-390</v>
      </c>
      <c r="C1357" s="2" t="s">
        <v>883</v>
      </c>
      <c r="D1357" s="1" t="s">
        <v>382</v>
      </c>
      <c r="E1357" s="3" t="str">
        <f>""</f>
        <v/>
      </c>
      <c r="F1357" s="2" t="s">
        <v>27</v>
      </c>
      <c r="G1357" s="2" t="str">
        <f t="shared" si="131"/>
        <v>EMIL FREY AUTO CENTAR D.O.O., KOVINSKA 5, 10000 ZAGREB, OIB: 01930677284</v>
      </c>
      <c r="H1357" s="4"/>
      <c r="I1357" s="1" t="s">
        <v>74</v>
      </c>
      <c r="J1357" s="1" t="s">
        <v>303</v>
      </c>
      <c r="K1357" s="6" t="str">
        <f>"12.946,87"</f>
        <v>12.946,87</v>
      </c>
      <c r="L1357" s="6" t="str">
        <f>"3.236,72"</f>
        <v>3.236,72</v>
      </c>
      <c r="M1357" s="6" t="str">
        <f>"16.183,59"</f>
        <v>16.183,59</v>
      </c>
      <c r="N1357" s="5">
        <v>43622</v>
      </c>
      <c r="O1357" s="7"/>
      <c r="P1357" s="6" t="str">
        <f>"16.183,59"</f>
        <v>16.183,59</v>
      </c>
      <c r="Q1357" s="7"/>
      <c r="R1357" s="1"/>
      <c r="S1357" s="1" t="str">
        <f>"5-19/NOS-132-D/17"</f>
        <v>5-19/NOS-132-D/17</v>
      </c>
      <c r="T1357" s="2" t="s">
        <v>33</v>
      </c>
    </row>
    <row r="1358" spans="1:20" ht="25.5" x14ac:dyDescent="0.25">
      <c r="A1358" s="1">
        <v>1354</v>
      </c>
      <c r="B1358" s="1" t="str">
        <f t="shared" si="129"/>
        <v>2017-390</v>
      </c>
      <c r="C1358" s="2" t="s">
        <v>883</v>
      </c>
      <c r="D1358" s="1" t="s">
        <v>382</v>
      </c>
      <c r="E1358" s="3" t="str">
        <f>""</f>
        <v/>
      </c>
      <c r="F1358" s="2" t="s">
        <v>27</v>
      </c>
      <c r="G1358" s="2" t="str">
        <f t="shared" si="131"/>
        <v>EMIL FREY AUTO CENTAR D.O.O., KOVINSKA 5, 10000 ZAGREB, OIB: 01930677284</v>
      </c>
      <c r="H1358" s="4"/>
      <c r="I1358" s="1" t="s">
        <v>320</v>
      </c>
      <c r="J1358" s="1" t="s">
        <v>303</v>
      </c>
      <c r="K1358" s="6" t="str">
        <f>"4.753,94"</f>
        <v>4.753,94</v>
      </c>
      <c r="L1358" s="6" t="str">
        <f>"1.188,48"</f>
        <v>1.188,48</v>
      </c>
      <c r="M1358" s="6" t="str">
        <f>"5.942,42"</f>
        <v>5.942,42</v>
      </c>
      <c r="N1358" s="5">
        <v>43627</v>
      </c>
      <c r="O1358" s="7"/>
      <c r="P1358" s="6" t="str">
        <f>"5.942,42"</f>
        <v>5.942,42</v>
      </c>
      <c r="Q1358" s="7"/>
      <c r="R1358" s="1"/>
      <c r="S1358" s="1" t="str">
        <f>"6-19/NOS-132-D/17"</f>
        <v>6-19/NOS-132-D/17</v>
      </c>
      <c r="T1358" s="2" t="s">
        <v>33</v>
      </c>
    </row>
    <row r="1359" spans="1:20" ht="25.5" x14ac:dyDescent="0.25">
      <c r="A1359" s="1">
        <v>1355</v>
      </c>
      <c r="B1359" s="1" t="str">
        <f t="shared" si="129"/>
        <v>2017-390</v>
      </c>
      <c r="C1359" s="2" t="s">
        <v>883</v>
      </c>
      <c r="D1359" s="1" t="s">
        <v>382</v>
      </c>
      <c r="E1359" s="3" t="str">
        <f>""</f>
        <v/>
      </c>
      <c r="F1359" s="2" t="s">
        <v>27</v>
      </c>
      <c r="G1359" s="2" t="str">
        <f t="shared" si="131"/>
        <v>EMIL FREY AUTO CENTAR D.O.O., KOVINSKA 5, 10000 ZAGREB, OIB: 01930677284</v>
      </c>
      <c r="H1359" s="4"/>
      <c r="I1359" s="1" t="s">
        <v>440</v>
      </c>
      <c r="J1359" s="1" t="s">
        <v>303</v>
      </c>
      <c r="K1359" s="6" t="str">
        <f>"2.608,45"</f>
        <v>2.608,45</v>
      </c>
      <c r="L1359" s="6" t="str">
        <f>"652,11"</f>
        <v>652,11</v>
      </c>
      <c r="M1359" s="6" t="str">
        <f>"3.260,56"</f>
        <v>3.260,56</v>
      </c>
      <c r="N1359" s="5">
        <v>43640</v>
      </c>
      <c r="O1359" s="7"/>
      <c r="P1359" s="6" t="str">
        <f>"3.260,56"</f>
        <v>3.260,56</v>
      </c>
      <c r="Q1359" s="7"/>
      <c r="R1359" s="1"/>
      <c r="S1359" s="1" t="str">
        <f>"7-19/NOS-132-D/17"</f>
        <v>7-19/NOS-132-D/17</v>
      </c>
      <c r="T1359" s="2" t="s">
        <v>33</v>
      </c>
    </row>
    <row r="1360" spans="1:20" ht="38.25" x14ac:dyDescent="0.25">
      <c r="A1360" s="1">
        <v>1356</v>
      </c>
      <c r="B1360" s="1" t="str">
        <f>"2017-2488"</f>
        <v>2017-2488</v>
      </c>
      <c r="C1360" s="2" t="s">
        <v>885</v>
      </c>
      <c r="D1360" s="1" t="s">
        <v>651</v>
      </c>
      <c r="E1360" s="3" t="str">
        <f>"2017/S 0F2-0026163"</f>
        <v>2017/S 0F2-0026163</v>
      </c>
      <c r="F1360" s="2" t="s">
        <v>23</v>
      </c>
      <c r="G1360" s="2" t="str">
        <f>CONCATENATE("OMEGA SOFTWARE D.O.O.,"," KAMENARKA 37,"," 10010 ZAGREB-SLOBOŠTINA,"," OIB: 40102169932")</f>
        <v>OMEGA SOFTWARE D.O.O., KAMENARKA 37, 10010 ZAGREB-SLOBOŠTINA, OIB: 40102169932</v>
      </c>
      <c r="H1360" s="4"/>
      <c r="I1360" s="1" t="s">
        <v>886</v>
      </c>
      <c r="J1360" s="1" t="s">
        <v>887</v>
      </c>
      <c r="K1360" s="6" t="str">
        <f>"7.500.000,00"</f>
        <v>7.500.000,00</v>
      </c>
      <c r="L1360" s="6" t="str">
        <f>"1.875.000,00"</f>
        <v>1.875.000,00</v>
      </c>
      <c r="M1360" s="6" t="str">
        <f>"9.375.000,00"</f>
        <v>9.375.000,00</v>
      </c>
      <c r="N1360" s="7"/>
      <c r="O1360" s="7"/>
      <c r="P1360" s="6" t="str">
        <f>""</f>
        <v/>
      </c>
      <c r="Q1360" s="7"/>
      <c r="R1360" s="1"/>
      <c r="S1360" s="1" t="str">
        <f>"NOS-133/17"</f>
        <v>NOS-133/17</v>
      </c>
      <c r="T1360" s="2" t="s">
        <v>33</v>
      </c>
    </row>
    <row r="1361" spans="1:20" ht="38.25" x14ac:dyDescent="0.25">
      <c r="A1361" s="1">
        <v>1357</v>
      </c>
      <c r="B1361" s="1" t="str">
        <f>"2017-2488"</f>
        <v>2017-2488</v>
      </c>
      <c r="C1361" s="2" t="s">
        <v>885</v>
      </c>
      <c r="D1361" s="4"/>
      <c r="E1361" s="3" t="str">
        <f>""</f>
        <v/>
      </c>
      <c r="F1361" s="2" t="s">
        <v>27</v>
      </c>
      <c r="G1361" s="2" t="str">
        <f>CONCATENATE("OMEGA SOFTWARE D.O.O.,"," KAMENARKA 37,"," 10010 ZAGREB-SLOBOŠTINA,"," OIB: 40102169932")</f>
        <v>OMEGA SOFTWARE D.O.O., KAMENARKA 37, 10010 ZAGREB-SLOBOŠTINA, OIB: 40102169932</v>
      </c>
      <c r="H1361" s="4"/>
      <c r="I1361" s="1" t="s">
        <v>888</v>
      </c>
      <c r="J1361" s="1" t="s">
        <v>71</v>
      </c>
      <c r="K1361" s="6" t="str">
        <f>"796.000,00"</f>
        <v>796.000,00</v>
      </c>
      <c r="L1361" s="6" t="str">
        <f>"199.000,00"</f>
        <v>199.000,00</v>
      </c>
      <c r="M1361" s="6" t="str">
        <f>"995.000,00"</f>
        <v>995.000,00</v>
      </c>
      <c r="N1361" s="5">
        <v>43524</v>
      </c>
      <c r="O1361" s="7"/>
      <c r="P1361" s="6" t="str">
        <f>"995.000,00"</f>
        <v>995.000,00</v>
      </c>
      <c r="Q1361" s="7"/>
      <c r="R1361" s="1"/>
      <c r="S1361" s="1" t="str">
        <f>"2-18/NOS-133/17"</f>
        <v>2-18/NOS-133/17</v>
      </c>
      <c r="T1361" s="2" t="s">
        <v>33</v>
      </c>
    </row>
    <row r="1362" spans="1:20" ht="38.25" x14ac:dyDescent="0.25">
      <c r="A1362" s="1">
        <v>1358</v>
      </c>
      <c r="B1362" s="1" t="str">
        <f>"2017-2488"</f>
        <v>2017-2488</v>
      </c>
      <c r="C1362" s="2" t="s">
        <v>885</v>
      </c>
      <c r="D1362" s="4"/>
      <c r="E1362" s="3" t="str">
        <f>""</f>
        <v/>
      </c>
      <c r="F1362" s="2" t="s">
        <v>27</v>
      </c>
      <c r="G1362" s="2" t="str">
        <f>CONCATENATE("OMEGA SOFTWARE D.O.O.,"," KAMENARKA 37,"," 10010 ZAGREB-SLOBOŠTINA,"," OIB: 40102169932")</f>
        <v>OMEGA SOFTWARE D.O.O., KAMENARKA 37, 10010 ZAGREB-SLOBOŠTINA, OIB: 40102169932</v>
      </c>
      <c r="H1362" s="4"/>
      <c r="I1362" s="1" t="s">
        <v>74</v>
      </c>
      <c r="J1362" s="1" t="s">
        <v>221</v>
      </c>
      <c r="K1362" s="6" t="str">
        <f>"1.094.500,00"</f>
        <v>1.094.500,00</v>
      </c>
      <c r="L1362" s="6" t="str">
        <f>"273.625,00"</f>
        <v>273.625,00</v>
      </c>
      <c r="M1362" s="6" t="str">
        <f>"1.368.125,00"</f>
        <v>1.368.125,00</v>
      </c>
      <c r="N1362" s="5">
        <v>43677</v>
      </c>
      <c r="O1362" s="7"/>
      <c r="P1362" s="6" t="str">
        <f>"373.125,00"</f>
        <v>373.125,00</v>
      </c>
      <c r="Q1362" s="7"/>
      <c r="R1362" s="1"/>
      <c r="S1362" s="1" t="str">
        <f>"3-19/NOS-133/17"</f>
        <v>3-19/NOS-133/17</v>
      </c>
      <c r="T1362" s="2" t="s">
        <v>33</v>
      </c>
    </row>
    <row r="1363" spans="1:20" ht="38.25" x14ac:dyDescent="0.25">
      <c r="A1363" s="1">
        <v>1359</v>
      </c>
      <c r="B1363" s="1" t="str">
        <f>"2017-2488"</f>
        <v>2017-2488</v>
      </c>
      <c r="C1363" s="2" t="s">
        <v>885</v>
      </c>
      <c r="D1363" s="1" t="s">
        <v>651</v>
      </c>
      <c r="E1363" s="3" t="str">
        <f>""</f>
        <v/>
      </c>
      <c r="F1363" s="2" t="s">
        <v>27</v>
      </c>
      <c r="G1363" s="2" t="str">
        <f>CONCATENATE("OMEGA SOFTWARE D.O.O.,"," KAMENARKA 37,"," 10010 ZAGREB-SLOBOŠTINA,"," OIB: 40102169932")</f>
        <v>OMEGA SOFTWARE D.O.O., KAMENARKA 37, 10010 ZAGREB-SLOBOŠTINA, OIB: 40102169932</v>
      </c>
      <c r="H1363" s="4"/>
      <c r="I1363" s="1" t="s">
        <v>257</v>
      </c>
      <c r="J1363" s="4"/>
      <c r="K1363" s="6" t="str">
        <f>"199.000,00"</f>
        <v>199.000,00</v>
      </c>
      <c r="L1363" s="6" t="str">
        <f>"49.750,00"</f>
        <v>49.750,00</v>
      </c>
      <c r="M1363" s="6" t="str">
        <f>"248.750,00"</f>
        <v>248.750,00</v>
      </c>
      <c r="N1363" s="5">
        <v>43585</v>
      </c>
      <c r="O1363" s="7"/>
      <c r="P1363" s="6" t="str">
        <f>"248.750,00"</f>
        <v>248.750,00</v>
      </c>
      <c r="Q1363" s="7"/>
      <c r="R1363" s="1"/>
      <c r="S1363" s="1" t="str">
        <f>"1-19/NOS-133/17"</f>
        <v>1-19/NOS-133/17</v>
      </c>
      <c r="T1363" s="2" t="s">
        <v>33</v>
      </c>
    </row>
    <row r="1364" spans="1:20" ht="51" x14ac:dyDescent="0.25">
      <c r="A1364" s="1">
        <v>1360</v>
      </c>
      <c r="B1364" s="1" t="str">
        <f>"2017-2745"</f>
        <v>2017-2745</v>
      </c>
      <c r="C1364" s="2" t="s">
        <v>889</v>
      </c>
      <c r="D1364" s="1" t="s">
        <v>890</v>
      </c>
      <c r="E1364" s="3" t="str">
        <f>"2017/S 0F2-0019923"</f>
        <v>2017/S 0F2-0019923</v>
      </c>
      <c r="F1364" s="2" t="s">
        <v>23</v>
      </c>
      <c r="G1364" s="2" t="str">
        <f>CONCATENATE("HT D.D.,"," OIB: 8179314656")</f>
        <v>HT D.D., OIB: 8179314656</v>
      </c>
      <c r="H1364" s="4"/>
      <c r="I1364" s="1" t="s">
        <v>861</v>
      </c>
      <c r="J1364" s="1" t="s">
        <v>891</v>
      </c>
      <c r="K1364" s="6" t="str">
        <f>"9.000.000,00"</f>
        <v>9.000.000,00</v>
      </c>
      <c r="L1364" s="6" t="str">
        <f>"2.250.000,00"</f>
        <v>2.250.000,00</v>
      </c>
      <c r="M1364" s="6" t="str">
        <f>"11.250.000,00"</f>
        <v>11.250.000,00</v>
      </c>
      <c r="N1364" s="7"/>
      <c r="O1364" s="7"/>
      <c r="P1364" s="6" t="str">
        <f>""</f>
        <v/>
      </c>
      <c r="Q1364" s="7"/>
      <c r="R1364" s="1"/>
      <c r="S1364" s="1" t="str">
        <f>"NOS-134-A/17"</f>
        <v>NOS-134-A/17</v>
      </c>
      <c r="T1364" s="2" t="s">
        <v>33</v>
      </c>
    </row>
    <row r="1365" spans="1:20" ht="51" x14ac:dyDescent="0.25">
      <c r="A1365" s="1">
        <v>1361</v>
      </c>
      <c r="B1365" s="1" t="str">
        <f>"2017-2745"</f>
        <v>2017-2745</v>
      </c>
      <c r="C1365" s="2" t="s">
        <v>889</v>
      </c>
      <c r="D1365" s="1" t="s">
        <v>890</v>
      </c>
      <c r="E1365" s="3" t="str">
        <f>"2017/S 0F2-0019923"</f>
        <v>2017/S 0F2-0019923</v>
      </c>
      <c r="F1365" s="2" t="s">
        <v>23</v>
      </c>
      <c r="G1365" s="2" t="str">
        <f>CONCATENATE("A1 HRVATSKA D.O.O.,"," VRTNI PUT 1,"," 10000 ZAGREB,"," OIB: 29524210204")</f>
        <v>A1 HRVATSKA D.O.O., VRTNI PUT 1, 10000 ZAGREB, OIB: 29524210204</v>
      </c>
      <c r="H1365" s="4"/>
      <c r="I1365" s="1" t="s">
        <v>892</v>
      </c>
      <c r="J1365" s="1" t="s">
        <v>893</v>
      </c>
      <c r="K1365" s="6" t="str">
        <f>"10.900.000,00"</f>
        <v>10.900.000,00</v>
      </c>
      <c r="L1365" s="6" t="str">
        <f>"2.725.000,00"</f>
        <v>2.725.000,00</v>
      </c>
      <c r="M1365" s="6" t="str">
        <f>"13.625.000,00"</f>
        <v>13.625.000,00</v>
      </c>
      <c r="N1365" s="7"/>
      <c r="O1365" s="7"/>
      <c r="P1365" s="6" t="str">
        <f>""</f>
        <v/>
      </c>
      <c r="Q1365" s="7"/>
      <c r="R1365" s="1"/>
      <c r="S1365" s="1" t="str">
        <f>"NOS-134-B/17"</f>
        <v>NOS-134-B/17</v>
      </c>
      <c r="T1365" s="2" t="s">
        <v>33</v>
      </c>
    </row>
    <row r="1366" spans="1:20" ht="51" x14ac:dyDescent="0.25">
      <c r="A1366" s="1">
        <v>1362</v>
      </c>
      <c r="B1366" s="1" t="str">
        <f>"2017-2745"</f>
        <v>2017-2745</v>
      </c>
      <c r="C1366" s="2" t="s">
        <v>889</v>
      </c>
      <c r="D1366" s="1" t="s">
        <v>890</v>
      </c>
      <c r="E1366" s="3" t="str">
        <f>"2017/S 0F2-0019923"</f>
        <v>2017/S 0F2-0019923</v>
      </c>
      <c r="F1366" s="2" t="s">
        <v>23</v>
      </c>
      <c r="G1366" s="2" t="str">
        <f>CONCATENATE("STORM COMPUTERS D.O.O.,"," SAVICA I. 127,"," 10000 ZAGREB,"," OIB: 20142998436")</f>
        <v>STORM COMPUTERS D.O.O., SAVICA I. 127, 10000 ZAGREB, OIB: 20142998436</v>
      </c>
      <c r="H1366" s="4"/>
      <c r="I1366" s="1" t="s">
        <v>861</v>
      </c>
      <c r="J1366" s="1" t="s">
        <v>891</v>
      </c>
      <c r="K1366" s="6" t="str">
        <f>"6.000.000,00"</f>
        <v>6.000.000,00</v>
      </c>
      <c r="L1366" s="6" t="str">
        <f>"1.500.000,00"</f>
        <v>1.500.000,00</v>
      </c>
      <c r="M1366" s="6" t="str">
        <f>"7.500.000,00"</f>
        <v>7.500.000,00</v>
      </c>
      <c r="N1366" s="7"/>
      <c r="O1366" s="7"/>
      <c r="P1366" s="6" t="str">
        <f>""</f>
        <v/>
      </c>
      <c r="Q1366" s="7"/>
      <c r="R1366" s="1"/>
      <c r="S1366" s="1" t="str">
        <f>"NOS-134-C/17"</f>
        <v>NOS-134-C/17</v>
      </c>
      <c r="T1366" s="2" t="s">
        <v>33</v>
      </c>
    </row>
    <row r="1367" spans="1:20" ht="38.25" x14ac:dyDescent="0.25">
      <c r="A1367" s="1">
        <v>1363</v>
      </c>
      <c r="B1367" s="1" t="str">
        <f t="shared" ref="B1367:B1375" si="132">"2017-2471"</f>
        <v>2017-2471</v>
      </c>
      <c r="C1367" s="2" t="s">
        <v>894</v>
      </c>
      <c r="D1367" s="1" t="s">
        <v>895</v>
      </c>
      <c r="E1367" s="3" t="str">
        <f>"2017/S 0F2-0023766"</f>
        <v>2017/S 0F2-0023766</v>
      </c>
      <c r="F1367" s="2" t="s">
        <v>23</v>
      </c>
      <c r="G1367" s="2" t="str">
        <f t="shared" ref="G1367:G1373" si="133">CONCATENATE("BIJELA HARMONIJA D.O.O.,"," SAMOBORSKA CESTA 266,"," 10000 ZAGREB,"," OIB: 31022857153")</f>
        <v>BIJELA HARMONIJA D.O.O., SAMOBORSKA CESTA 266, 10000 ZAGREB, OIB: 31022857153</v>
      </c>
      <c r="H1367" s="4"/>
      <c r="I1367" s="1" t="s">
        <v>879</v>
      </c>
      <c r="J1367" s="1" t="s">
        <v>896</v>
      </c>
      <c r="K1367" s="6" t="str">
        <f>"1.430.000,00"</f>
        <v>1.430.000,00</v>
      </c>
      <c r="L1367" s="6" t="str">
        <f>"357.500,00"</f>
        <v>357.500,00</v>
      </c>
      <c r="M1367" s="6" t="str">
        <f>"1.787.500,00"</f>
        <v>1.787.500,00</v>
      </c>
      <c r="N1367" s="7"/>
      <c r="O1367" s="7"/>
      <c r="P1367" s="6" t="str">
        <f>""</f>
        <v/>
      </c>
      <c r="Q1367" s="7"/>
      <c r="R1367" s="1"/>
      <c r="S1367" s="1" t="str">
        <f>"NOS-135-A/17"</f>
        <v>NOS-135-A/17</v>
      </c>
      <c r="T1367" s="2" t="s">
        <v>167</v>
      </c>
    </row>
    <row r="1368" spans="1:20" ht="38.25" x14ac:dyDescent="0.25">
      <c r="A1368" s="1">
        <v>1364</v>
      </c>
      <c r="B1368" s="1" t="str">
        <f t="shared" si="132"/>
        <v>2017-2471</v>
      </c>
      <c r="C1368" s="2" t="s">
        <v>894</v>
      </c>
      <c r="D1368" s="1" t="s">
        <v>895</v>
      </c>
      <c r="E1368" s="3" t="str">
        <f>""</f>
        <v/>
      </c>
      <c r="F1368" s="2" t="s">
        <v>27</v>
      </c>
      <c r="G1368" s="2" t="str">
        <f t="shared" si="133"/>
        <v>BIJELA HARMONIJA D.O.O., SAMOBORSKA CESTA 266, 10000 ZAGREB, OIB: 31022857153</v>
      </c>
      <c r="H1368" s="4"/>
      <c r="I1368" s="1" t="s">
        <v>43</v>
      </c>
      <c r="J1368" s="1" t="s">
        <v>114</v>
      </c>
      <c r="K1368" s="6" t="str">
        <f>"56.029,50"</f>
        <v>56.029,50</v>
      </c>
      <c r="L1368" s="6" t="str">
        <f>"14.007,38"</f>
        <v>14.007,38</v>
      </c>
      <c r="M1368" s="6" t="str">
        <f>"70.036,88"</f>
        <v>70.036,88</v>
      </c>
      <c r="N1368" s="5">
        <v>43555</v>
      </c>
      <c r="O1368" s="7"/>
      <c r="P1368" s="6" t="str">
        <f>"27.685,25"</f>
        <v>27.685,25</v>
      </c>
      <c r="Q1368" s="7"/>
      <c r="R1368" s="1"/>
      <c r="S1368" s="1" t="str">
        <f>"12-18/NOS-135-A/17"</f>
        <v>12-18/NOS-135-A/17</v>
      </c>
      <c r="T1368" s="2" t="s">
        <v>33</v>
      </c>
    </row>
    <row r="1369" spans="1:20" ht="38.25" x14ac:dyDescent="0.25">
      <c r="A1369" s="1">
        <v>1365</v>
      </c>
      <c r="B1369" s="1" t="str">
        <f t="shared" si="132"/>
        <v>2017-2471</v>
      </c>
      <c r="C1369" s="2" t="s">
        <v>894</v>
      </c>
      <c r="D1369" s="1" t="s">
        <v>895</v>
      </c>
      <c r="E1369" s="3" t="str">
        <f>""</f>
        <v/>
      </c>
      <c r="F1369" s="2" t="s">
        <v>27</v>
      </c>
      <c r="G1369" s="2" t="str">
        <f t="shared" si="133"/>
        <v>BIJELA HARMONIJA D.O.O., SAMOBORSKA CESTA 266, 10000 ZAGREB, OIB: 31022857153</v>
      </c>
      <c r="H1369" s="4"/>
      <c r="I1369" s="1" t="s">
        <v>195</v>
      </c>
      <c r="J1369" s="1" t="s">
        <v>121</v>
      </c>
      <c r="K1369" s="6" t="str">
        <f>"17.999,50"</f>
        <v>17.999,50</v>
      </c>
      <c r="L1369" s="6" t="str">
        <f>"4.499,88"</f>
        <v>4.499,88</v>
      </c>
      <c r="M1369" s="6" t="str">
        <f>"22.499,38"</f>
        <v>22.499,38</v>
      </c>
      <c r="N1369" s="5">
        <v>43524</v>
      </c>
      <c r="O1369" s="7"/>
      <c r="P1369" s="6" t="str">
        <f>"22.499,38"</f>
        <v>22.499,38</v>
      </c>
      <c r="Q1369" s="7"/>
      <c r="R1369" s="1"/>
      <c r="S1369" s="1" t="str">
        <f>"1-19/NOS-135-A/17"</f>
        <v>1-19/NOS-135-A/17</v>
      </c>
      <c r="T1369" s="2" t="s">
        <v>33</v>
      </c>
    </row>
    <row r="1370" spans="1:20" ht="38.25" x14ac:dyDescent="0.25">
      <c r="A1370" s="1">
        <v>1366</v>
      </c>
      <c r="B1370" s="1" t="str">
        <f t="shared" si="132"/>
        <v>2017-2471</v>
      </c>
      <c r="C1370" s="2" t="s">
        <v>894</v>
      </c>
      <c r="D1370" s="1" t="s">
        <v>895</v>
      </c>
      <c r="E1370" s="3" t="str">
        <f>""</f>
        <v/>
      </c>
      <c r="F1370" s="2" t="s">
        <v>27</v>
      </c>
      <c r="G1370" s="2" t="str">
        <f t="shared" si="133"/>
        <v>BIJELA HARMONIJA D.O.O., SAMOBORSKA CESTA 266, 10000 ZAGREB, OIB: 31022857153</v>
      </c>
      <c r="H1370" s="4"/>
      <c r="I1370" s="1" t="s">
        <v>639</v>
      </c>
      <c r="J1370" s="1" t="s">
        <v>121</v>
      </c>
      <c r="K1370" s="6" t="str">
        <f>"15.370,75"</f>
        <v>15.370,75</v>
      </c>
      <c r="L1370" s="6" t="str">
        <f>"3.842,69"</f>
        <v>3.842,69</v>
      </c>
      <c r="M1370" s="6" t="str">
        <f>"19.213,44"</f>
        <v>19.213,44</v>
      </c>
      <c r="N1370" s="5">
        <v>43591</v>
      </c>
      <c r="O1370" s="7"/>
      <c r="P1370" s="6" t="str">
        <f>"19.213,44"</f>
        <v>19.213,44</v>
      </c>
      <c r="Q1370" s="7"/>
      <c r="R1370" s="1"/>
      <c r="S1370" s="1" t="str">
        <f>"2-19/NOS-135-A/17"</f>
        <v>2-19/NOS-135-A/17</v>
      </c>
      <c r="T1370" s="2" t="s">
        <v>33</v>
      </c>
    </row>
    <row r="1371" spans="1:20" ht="38.25" x14ac:dyDescent="0.25">
      <c r="A1371" s="1">
        <v>1367</v>
      </c>
      <c r="B1371" s="1" t="str">
        <f t="shared" si="132"/>
        <v>2017-2471</v>
      </c>
      <c r="C1371" s="2" t="s">
        <v>894</v>
      </c>
      <c r="D1371" s="1" t="s">
        <v>895</v>
      </c>
      <c r="E1371" s="3" t="str">
        <f>""</f>
        <v/>
      </c>
      <c r="F1371" s="2" t="s">
        <v>27</v>
      </c>
      <c r="G1371" s="2" t="str">
        <f t="shared" si="133"/>
        <v>BIJELA HARMONIJA D.O.O., SAMOBORSKA CESTA 266, 10000 ZAGREB, OIB: 31022857153</v>
      </c>
      <c r="H1371" s="4"/>
      <c r="I1371" s="1" t="s">
        <v>424</v>
      </c>
      <c r="J1371" s="1" t="s">
        <v>588</v>
      </c>
      <c r="K1371" s="6" t="str">
        <f>"20.501,20"</f>
        <v>20.501,20</v>
      </c>
      <c r="L1371" s="6" t="str">
        <f>"4.864,11"</f>
        <v>4.864,11</v>
      </c>
      <c r="M1371" s="6" t="str">
        <f>"24.320,56"</f>
        <v>24.320,56</v>
      </c>
      <c r="N1371" s="5">
        <v>43616</v>
      </c>
      <c r="O1371" s="7"/>
      <c r="P1371" s="6" t="str">
        <f>"24.320,56"</f>
        <v>24.320,56</v>
      </c>
      <c r="Q1371" s="7"/>
      <c r="R1371" s="1"/>
      <c r="S1371" s="1" t="str">
        <f>"3-19/NOS-135-A/17"</f>
        <v>3-19/NOS-135-A/17</v>
      </c>
      <c r="T1371" s="2" t="s">
        <v>33</v>
      </c>
    </row>
    <row r="1372" spans="1:20" ht="38.25" x14ac:dyDescent="0.25">
      <c r="A1372" s="1">
        <v>1368</v>
      </c>
      <c r="B1372" s="1" t="str">
        <f t="shared" si="132"/>
        <v>2017-2471</v>
      </c>
      <c r="C1372" s="2" t="s">
        <v>894</v>
      </c>
      <c r="D1372" s="1" t="s">
        <v>895</v>
      </c>
      <c r="E1372" s="3" t="str">
        <f>""</f>
        <v/>
      </c>
      <c r="F1372" s="2" t="s">
        <v>27</v>
      </c>
      <c r="G1372" s="2" t="str">
        <f t="shared" si="133"/>
        <v>BIJELA HARMONIJA D.O.O., SAMOBORSKA CESTA 266, 10000 ZAGREB, OIB: 31022857153</v>
      </c>
      <c r="H1372" s="4"/>
      <c r="I1372" s="1" t="s">
        <v>372</v>
      </c>
      <c r="J1372" s="1" t="s">
        <v>140</v>
      </c>
      <c r="K1372" s="6" t="str">
        <f>"1.200,00"</f>
        <v>1.200,00</v>
      </c>
      <c r="L1372" s="6" t="str">
        <f>"300,00"</f>
        <v>300,00</v>
      </c>
      <c r="M1372" s="6" t="str">
        <f>"1.500,00"</f>
        <v>1.500,00</v>
      </c>
      <c r="N1372" s="1" t="s">
        <v>117</v>
      </c>
      <c r="O1372" s="7"/>
      <c r="P1372" s="6" t="str">
        <f>""</f>
        <v/>
      </c>
      <c r="Q1372" s="7"/>
      <c r="R1372" s="1"/>
      <c r="S1372" s="1" t="str">
        <f>"11-18/NOS-135-A/17"</f>
        <v>11-18/NOS-135-A/17</v>
      </c>
      <c r="T1372" s="2" t="s">
        <v>33</v>
      </c>
    </row>
    <row r="1373" spans="1:20" ht="38.25" x14ac:dyDescent="0.25">
      <c r="A1373" s="1">
        <v>1369</v>
      </c>
      <c r="B1373" s="1" t="str">
        <f t="shared" si="132"/>
        <v>2017-2471</v>
      </c>
      <c r="C1373" s="2" t="s">
        <v>894</v>
      </c>
      <c r="D1373" s="1" t="s">
        <v>895</v>
      </c>
      <c r="E1373" s="3" t="str">
        <f>"2017/S 0F2-0023766"</f>
        <v>2017/S 0F2-0023766</v>
      </c>
      <c r="F1373" s="2" t="s">
        <v>23</v>
      </c>
      <c r="G1373" s="2" t="str">
        <f t="shared" si="133"/>
        <v>BIJELA HARMONIJA D.O.O., SAMOBORSKA CESTA 266, 10000 ZAGREB, OIB: 31022857153</v>
      </c>
      <c r="H1373" s="4"/>
      <c r="I1373" s="1" t="s">
        <v>897</v>
      </c>
      <c r="J1373" s="1" t="s">
        <v>898</v>
      </c>
      <c r="K1373" s="6" t="str">
        <f>"14.217.750,00"</f>
        <v>14.217.750,00</v>
      </c>
      <c r="L1373" s="6" t="str">
        <f>"3.554.437,50"</f>
        <v>3.554.437,50</v>
      </c>
      <c r="M1373" s="6" t="str">
        <f>"17.772.187,50"</f>
        <v>17.772.187,50</v>
      </c>
      <c r="N1373" s="7"/>
      <c r="O1373" s="7"/>
      <c r="P1373" s="6" t="str">
        <f>""</f>
        <v/>
      </c>
      <c r="Q1373" s="7"/>
      <c r="R1373" s="1"/>
      <c r="S1373" s="1" t="str">
        <f>"NOS-135-B/17"</f>
        <v>NOS-135-B/17</v>
      </c>
      <c r="T1373" s="2" t="s">
        <v>167</v>
      </c>
    </row>
    <row r="1374" spans="1:20" ht="38.25" x14ac:dyDescent="0.25">
      <c r="A1374" s="1">
        <v>1370</v>
      </c>
      <c r="B1374" s="1" t="str">
        <f t="shared" si="132"/>
        <v>2017-2471</v>
      </c>
      <c r="C1374" s="2" t="s">
        <v>894</v>
      </c>
      <c r="D1374" s="1" t="s">
        <v>895</v>
      </c>
      <c r="E1374" s="3" t="str">
        <f>"2017/S 0F2-0023766"</f>
        <v>2017/S 0F2-0023766</v>
      </c>
      <c r="F1374" s="2" t="s">
        <v>23</v>
      </c>
      <c r="G1374" s="2" t="str">
        <f>CONCATENATE("KROKOTEKS D.O.O.,"," ZAGREBAČKA 60,"," 10380 SV.IVAN ZELINA,"," OIB: 47621316514")</f>
        <v>KROKOTEKS D.O.O., ZAGREBAČKA 60, 10380 SV.IVAN ZELINA, OIB: 47621316514</v>
      </c>
      <c r="H1374" s="4"/>
      <c r="I1374" s="1" t="s">
        <v>879</v>
      </c>
      <c r="J1374" s="1" t="s">
        <v>896</v>
      </c>
      <c r="K1374" s="6" t="str">
        <f>"2.986.400,00"</f>
        <v>2.986.400,00</v>
      </c>
      <c r="L1374" s="6" t="str">
        <f>"746.600,00"</f>
        <v>746.600,00</v>
      </c>
      <c r="M1374" s="6" t="str">
        <f>"3.733.000,00"</f>
        <v>3.733.000,00</v>
      </c>
      <c r="N1374" s="7"/>
      <c r="O1374" s="7"/>
      <c r="P1374" s="6" t="str">
        <f>""</f>
        <v/>
      </c>
      <c r="Q1374" s="7"/>
      <c r="R1374" s="1"/>
      <c r="S1374" s="1" t="str">
        <f>"NOS-135-C/17"</f>
        <v>NOS-135-C/17</v>
      </c>
      <c r="T1374" s="2" t="s">
        <v>167</v>
      </c>
    </row>
    <row r="1375" spans="1:20" ht="25.5" x14ac:dyDescent="0.25">
      <c r="A1375" s="1">
        <v>1371</v>
      </c>
      <c r="B1375" s="1" t="str">
        <f t="shared" si="132"/>
        <v>2017-2471</v>
      </c>
      <c r="C1375" s="2" t="s">
        <v>894</v>
      </c>
      <c r="D1375" s="1" t="s">
        <v>895</v>
      </c>
      <c r="E1375" s="3" t="str">
        <f>""</f>
        <v/>
      </c>
      <c r="F1375" s="2" t="s">
        <v>27</v>
      </c>
      <c r="G1375" s="2" t="str">
        <f>CONCATENATE("KROKOTEKS D.O.O.,"," ZAGREBAČKA 60,"," 10380 SV.IVAN ZELINA,"," OIB: 47621316514")</f>
        <v>KROKOTEKS D.O.O., ZAGREBAČKA 60, 10380 SV.IVAN ZELINA, OIB: 47621316514</v>
      </c>
      <c r="H1375" s="4"/>
      <c r="I1375" s="1" t="s">
        <v>62</v>
      </c>
      <c r="J1375" s="1" t="s">
        <v>74</v>
      </c>
      <c r="K1375" s="6" t="str">
        <f>"141.000,00"</f>
        <v>141.000,00</v>
      </c>
      <c r="L1375" s="6" t="str">
        <f>"35.250,00"</f>
        <v>35.250,00</v>
      </c>
      <c r="M1375" s="6" t="str">
        <f>"176.250,00"</f>
        <v>176.250,00</v>
      </c>
      <c r="N1375" s="5">
        <v>43677</v>
      </c>
      <c r="O1375" s="7"/>
      <c r="P1375" s="6" t="str">
        <f>"15.075,00"</f>
        <v>15.075,00</v>
      </c>
      <c r="Q1375" s="7"/>
      <c r="R1375" s="1"/>
      <c r="S1375" s="1" t="str">
        <f>"1-18/NOS-135-C/17"</f>
        <v>1-18/NOS-135-C/17</v>
      </c>
      <c r="T1375" s="2" t="s">
        <v>33</v>
      </c>
    </row>
    <row r="1376" spans="1:20" ht="38.25" x14ac:dyDescent="0.25">
      <c r="A1376" s="1">
        <v>1372</v>
      </c>
      <c r="B1376" s="1" t="str">
        <f>"2017-2487"</f>
        <v>2017-2487</v>
      </c>
      <c r="C1376" s="2" t="s">
        <v>899</v>
      </c>
      <c r="D1376" s="1" t="s">
        <v>223</v>
      </c>
      <c r="E1376" s="3" t="str">
        <f>"2017/S 0F2-0027363"</f>
        <v>2017/S 0F2-0027363</v>
      </c>
      <c r="F1376" s="2" t="s">
        <v>23</v>
      </c>
      <c r="G1376" s="2" t="str">
        <f>CONCATENATE("LAUS CC D.O.O.,"," VUKOVARSKA 23,"," 20000 DUBROVNIK,"," OIB: 59806315787")</f>
        <v>LAUS CC D.O.O., VUKOVARSKA 23, 20000 DUBROVNIK, OIB: 59806315787</v>
      </c>
      <c r="H1376" s="4"/>
      <c r="I1376" s="1" t="s">
        <v>900</v>
      </c>
      <c r="J1376" s="1" t="s">
        <v>901</v>
      </c>
      <c r="K1376" s="6" t="str">
        <f>"10.000.000,00"</f>
        <v>10.000.000,00</v>
      </c>
      <c r="L1376" s="6" t="str">
        <f>"2.500.000,00"</f>
        <v>2.500.000,00</v>
      </c>
      <c r="M1376" s="6" t="str">
        <f>"12.500.000,00"</f>
        <v>12.500.000,00</v>
      </c>
      <c r="N1376" s="7"/>
      <c r="O1376" s="7"/>
      <c r="P1376" s="6" t="str">
        <f>""</f>
        <v/>
      </c>
      <c r="Q1376" s="7"/>
      <c r="R1376" s="1"/>
      <c r="S1376" s="1" t="str">
        <f>"NOS-136/17"</f>
        <v>NOS-136/17</v>
      </c>
      <c r="T1376" s="2" t="s">
        <v>33</v>
      </c>
    </row>
    <row r="1377" spans="1:20" ht="25.5" x14ac:dyDescent="0.25">
      <c r="A1377" s="1">
        <v>1373</v>
      </c>
      <c r="B1377" s="1" t="str">
        <f>"2017-2487"</f>
        <v>2017-2487</v>
      </c>
      <c r="C1377" s="2" t="s">
        <v>899</v>
      </c>
      <c r="D1377" s="4"/>
      <c r="E1377" s="3" t="str">
        <f>""</f>
        <v/>
      </c>
      <c r="F1377" s="2" t="s">
        <v>27</v>
      </c>
      <c r="G1377" s="2" t="str">
        <f>CONCATENATE("LAUS CC D.O.O.,"," VUKOVARSKA 23,"," 20000 DUBROVNIK,"," OIB: 59806315787")</f>
        <v>LAUS CC D.O.O., VUKOVARSKA 23, 20000 DUBROVNIK, OIB: 59806315787</v>
      </c>
      <c r="H1377" s="4"/>
      <c r="I1377" s="1" t="s">
        <v>902</v>
      </c>
      <c r="J1377" s="1" t="s">
        <v>71</v>
      </c>
      <c r="K1377" s="6" t="str">
        <f>"1.020.500,00"</f>
        <v>1.020.500,00</v>
      </c>
      <c r="L1377" s="6" t="str">
        <f>"255.125,00"</f>
        <v>255.125,00</v>
      </c>
      <c r="M1377" s="6" t="str">
        <f>"1.275.625,00"</f>
        <v>1.275.625,00</v>
      </c>
      <c r="N1377" s="5">
        <v>43524</v>
      </c>
      <c r="O1377" s="7"/>
      <c r="P1377" s="6" t="str">
        <f>"1.142.875,00"</f>
        <v>1.142.875,00</v>
      </c>
      <c r="Q1377" s="7"/>
      <c r="R1377" s="1"/>
      <c r="S1377" s="1" t="str">
        <f>"2-18/NOS-136/17"</f>
        <v>2-18/NOS-136/17</v>
      </c>
      <c r="T1377" s="2" t="s">
        <v>33</v>
      </c>
    </row>
    <row r="1378" spans="1:20" ht="25.5" x14ac:dyDescent="0.25">
      <c r="A1378" s="1">
        <v>1374</v>
      </c>
      <c r="B1378" s="1" t="str">
        <f>"2017-2487"</f>
        <v>2017-2487</v>
      </c>
      <c r="C1378" s="2" t="s">
        <v>899</v>
      </c>
      <c r="D1378" s="4"/>
      <c r="E1378" s="3" t="str">
        <f>""</f>
        <v/>
      </c>
      <c r="F1378" s="2" t="s">
        <v>27</v>
      </c>
      <c r="G1378" s="2" t="str">
        <f>CONCATENATE("LAUS CC D.O.O.,"," VUKOVARSKA 23,"," 20000 DUBROVNIK,"," OIB: 59806315787")</f>
        <v>LAUS CC D.O.O., VUKOVARSKA 23, 20000 DUBROVNIK, OIB: 59806315787</v>
      </c>
      <c r="H1378" s="4"/>
      <c r="I1378" s="1" t="s">
        <v>74</v>
      </c>
      <c r="J1378" s="1" t="s">
        <v>817</v>
      </c>
      <c r="K1378" s="6" t="str">
        <f>"999.000,00"</f>
        <v>999.000,00</v>
      </c>
      <c r="L1378" s="6" t="str">
        <f>"249.750,00"</f>
        <v>249.750,00</v>
      </c>
      <c r="M1378" s="6" t="str">
        <f>"1.248.750,00"</f>
        <v>1.248.750,00</v>
      </c>
      <c r="N1378" s="5">
        <v>43677</v>
      </c>
      <c r="O1378" s="7"/>
      <c r="P1378" s="6" t="str">
        <f>"384.562,50"</f>
        <v>384.562,50</v>
      </c>
      <c r="Q1378" s="7"/>
      <c r="R1378" s="1"/>
      <c r="S1378" s="1" t="str">
        <f>"2-19/NOS-136/17"</f>
        <v>2-19/NOS-136/17</v>
      </c>
      <c r="T1378" s="2" t="s">
        <v>33</v>
      </c>
    </row>
    <row r="1379" spans="1:20" ht="25.5" x14ac:dyDescent="0.25">
      <c r="A1379" s="1">
        <v>1375</v>
      </c>
      <c r="B1379" s="1" t="str">
        <f>"2017-2487"</f>
        <v>2017-2487</v>
      </c>
      <c r="C1379" s="2" t="s">
        <v>899</v>
      </c>
      <c r="D1379" s="1" t="s">
        <v>223</v>
      </c>
      <c r="E1379" s="3" t="str">
        <f>""</f>
        <v/>
      </c>
      <c r="F1379" s="2" t="s">
        <v>27</v>
      </c>
      <c r="G1379" s="2" t="str">
        <f>CONCATENATE("LAUS CC D.O.O.,"," VUKOVARSKA 23,"," 20000 DUBROVNIK,"," OIB: 59806315787")</f>
        <v>LAUS CC D.O.O., VUKOVARSKA 23, 20000 DUBROVNIK, OIB: 59806315787</v>
      </c>
      <c r="H1379" s="4"/>
      <c r="I1379" s="1" t="s">
        <v>240</v>
      </c>
      <c r="J1379" s="4"/>
      <c r="K1379" s="6" t="str">
        <f>"245.000,00"</f>
        <v>245.000,00</v>
      </c>
      <c r="L1379" s="6" t="str">
        <f>"59.787,50"</f>
        <v>59.787,50</v>
      </c>
      <c r="M1379" s="6" t="str">
        <f>"298.937,50"</f>
        <v>298.937,50</v>
      </c>
      <c r="N1379" s="5">
        <v>43646</v>
      </c>
      <c r="O1379" s="7"/>
      <c r="P1379" s="6" t="str">
        <f>"298.937,50"</f>
        <v>298.937,50</v>
      </c>
      <c r="Q1379" s="7"/>
      <c r="R1379" s="1"/>
      <c r="S1379" s="1" t="str">
        <f>"1-19/NOS-136/17"</f>
        <v>1-19/NOS-136/17</v>
      </c>
      <c r="T1379" s="2" t="s">
        <v>33</v>
      </c>
    </row>
    <row r="1380" spans="1:20" ht="38.25" x14ac:dyDescent="0.25">
      <c r="A1380" s="1">
        <v>1376</v>
      </c>
      <c r="B1380" s="1" t="str">
        <f>"2017-2463"</f>
        <v>2017-2463</v>
      </c>
      <c r="C1380" s="2" t="s">
        <v>903</v>
      </c>
      <c r="D1380" s="1" t="s">
        <v>382</v>
      </c>
      <c r="E1380" s="3" t="str">
        <f>"2017/S 0F2-0024260"</f>
        <v>2017/S 0F2-0024260</v>
      </c>
      <c r="F1380" s="2" t="s">
        <v>23</v>
      </c>
      <c r="G1380" s="2" t="str">
        <f>CONCATENATE("VOITH TURBO D.O.O.,"," GREBENŠČICA 11,"," 10000 ZAGREB,"," OIB: 4276955995")</f>
        <v>VOITH TURBO D.O.O., GREBENŠČICA 11, 10000 ZAGREB, OIB: 4276955995</v>
      </c>
      <c r="H1380" s="4"/>
      <c r="I1380" s="1" t="s">
        <v>900</v>
      </c>
      <c r="J1380" s="1" t="s">
        <v>901</v>
      </c>
      <c r="K1380" s="6" t="str">
        <f>"5.000.000,00"</f>
        <v>5.000.000,00</v>
      </c>
      <c r="L1380" s="6" t="str">
        <f>"1.250.000,00"</f>
        <v>1.250.000,00</v>
      </c>
      <c r="M1380" s="6" t="str">
        <f>"6.250.000,00"</f>
        <v>6.250.000,00</v>
      </c>
      <c r="N1380" s="7"/>
      <c r="O1380" s="7"/>
      <c r="P1380" s="6" t="str">
        <f>""</f>
        <v/>
      </c>
      <c r="Q1380" s="7"/>
      <c r="R1380" s="1"/>
      <c r="S1380" s="1" t="str">
        <f>"NOS-137/17"</f>
        <v>NOS-137/17</v>
      </c>
      <c r="T1380" s="2" t="s">
        <v>33</v>
      </c>
    </row>
    <row r="1381" spans="1:20" ht="51" x14ac:dyDescent="0.25">
      <c r="A1381" s="1">
        <v>1377</v>
      </c>
      <c r="B1381" s="1" t="str">
        <f>"2017-376"</f>
        <v>2017-376</v>
      </c>
      <c r="C1381" s="2" t="s">
        <v>904</v>
      </c>
      <c r="D1381" s="1" t="s">
        <v>357</v>
      </c>
      <c r="E1381" s="3" t="str">
        <f>"2017/S 0F2-0026492"</f>
        <v>2017/S 0F2-0026492</v>
      </c>
      <c r="F1381" s="2" t="s">
        <v>23</v>
      </c>
      <c r="G1381" s="2" t="str">
        <f>CONCATENATE("ELEKTROKEM D.O.O.,"," VUGROVEC,"," AUGUSTA ŠENOE 69,"," 10360 SESVETE,"," OIB: 38411868043")</f>
        <v>ELEKTROKEM D.O.O., VUGROVEC, AUGUSTA ŠENOE 69, 10360 SESVETE, OIB: 38411868043</v>
      </c>
      <c r="H1381" s="4"/>
      <c r="I1381" s="1" t="s">
        <v>900</v>
      </c>
      <c r="J1381" s="1" t="s">
        <v>901</v>
      </c>
      <c r="K1381" s="6" t="str">
        <f>"1.000.000,00"</f>
        <v>1.000.000,00</v>
      </c>
      <c r="L1381" s="6" t="str">
        <f>"250.000,00"</f>
        <v>250.000,00</v>
      </c>
      <c r="M1381" s="6" t="str">
        <f>"1.250.000,00"</f>
        <v>1.250.000,00</v>
      </c>
      <c r="N1381" s="7"/>
      <c r="O1381" s="7"/>
      <c r="P1381" s="6" t="str">
        <f>""</f>
        <v/>
      </c>
      <c r="Q1381" s="7"/>
      <c r="R1381" s="1"/>
      <c r="S1381" s="1" t="str">
        <f>"NOS-138/17"</f>
        <v>NOS-138/17</v>
      </c>
      <c r="T1381" s="2" t="s">
        <v>33</v>
      </c>
    </row>
    <row r="1382" spans="1:20" ht="38.25" x14ac:dyDescent="0.25">
      <c r="A1382" s="1">
        <v>1378</v>
      </c>
      <c r="B1382" s="1" t="str">
        <f>"2017-2486"</f>
        <v>2017-2486</v>
      </c>
      <c r="C1382" s="2" t="s">
        <v>905</v>
      </c>
      <c r="D1382" s="1" t="s">
        <v>223</v>
      </c>
      <c r="E1382" s="3" t="str">
        <f>"2017/S 0F2-0028153"</f>
        <v>2017/S 0F2-0028153</v>
      </c>
      <c r="F1382" s="2" t="s">
        <v>23</v>
      </c>
      <c r="G1382" s="2" t="str">
        <f>CONCATENATE("INFODATA,"," VL. DRŽISLAV DLESK,"," CMP SAVICA ŠANCI 111,"," 10000 ZAGREB,"," OIB: 5950645445")</f>
        <v>INFODATA, VL. DRŽISLAV DLESK, CMP SAVICA ŠANCI 111, 10000 ZAGREB, OIB: 5950645445</v>
      </c>
      <c r="H1382" s="4"/>
      <c r="I1382" s="1" t="s">
        <v>900</v>
      </c>
      <c r="J1382" s="1" t="s">
        <v>901</v>
      </c>
      <c r="K1382" s="6" t="str">
        <f>"600.000,00"</f>
        <v>600.000,00</v>
      </c>
      <c r="L1382" s="6" t="str">
        <f>"150.000,00"</f>
        <v>150.000,00</v>
      </c>
      <c r="M1382" s="6" t="str">
        <f>"750.000,00"</f>
        <v>750.000,00</v>
      </c>
      <c r="N1382" s="7"/>
      <c r="O1382" s="7"/>
      <c r="P1382" s="6" t="str">
        <f>""</f>
        <v/>
      </c>
      <c r="Q1382" s="7"/>
      <c r="R1382" s="1"/>
      <c r="S1382" s="1" t="str">
        <f>"NOS-139/17"</f>
        <v>NOS-139/17</v>
      </c>
      <c r="T1382" s="2" t="s">
        <v>33</v>
      </c>
    </row>
    <row r="1383" spans="1:20" ht="38.25" x14ac:dyDescent="0.25">
      <c r="A1383" s="1">
        <v>1379</v>
      </c>
      <c r="B1383" s="1" t="str">
        <f>"2017-2486"</f>
        <v>2017-2486</v>
      </c>
      <c r="C1383" s="2" t="s">
        <v>905</v>
      </c>
      <c r="D1383" s="4"/>
      <c r="E1383" s="3" t="str">
        <f>""</f>
        <v/>
      </c>
      <c r="F1383" s="2" t="s">
        <v>27</v>
      </c>
      <c r="G1383" s="2" t="str">
        <f>CONCATENATE("INFODATA,"," VL. DRŽISLAV DLESK,"," CMP SAVICA ŠANCI 111,"," 10000 ZAGREB,"," OIB: 5950645445")</f>
        <v>INFODATA, VL. DRŽISLAV DLESK, CMP SAVICA ŠANCI 111, 10000 ZAGREB, OIB: 5950645445</v>
      </c>
      <c r="H1383" s="4"/>
      <c r="I1383" s="1" t="s">
        <v>462</v>
      </c>
      <c r="J1383" s="1" t="s">
        <v>74</v>
      </c>
      <c r="K1383" s="6" t="str">
        <f>"111.350,00"</f>
        <v>111.350,00</v>
      </c>
      <c r="L1383" s="6" t="str">
        <f>"27.837,50"</f>
        <v>27.837,50</v>
      </c>
      <c r="M1383" s="6" t="str">
        <f>"139.187,50"</f>
        <v>139.187,50</v>
      </c>
      <c r="N1383" s="5">
        <v>43616</v>
      </c>
      <c r="O1383" s="7"/>
      <c r="P1383" s="6" t="str">
        <f>"139.187,50"</f>
        <v>139.187,50</v>
      </c>
      <c r="Q1383" s="7"/>
      <c r="R1383" s="1"/>
      <c r="S1383" s="1" t="str">
        <f>"2-19/NOS-139/17"</f>
        <v>2-19/NOS-139/17</v>
      </c>
      <c r="T1383" s="2" t="s">
        <v>33</v>
      </c>
    </row>
    <row r="1384" spans="1:20" ht="38.25" x14ac:dyDescent="0.25">
      <c r="A1384" s="1">
        <v>1380</v>
      </c>
      <c r="B1384" s="1" t="str">
        <f>"2017-2486"</f>
        <v>2017-2486</v>
      </c>
      <c r="C1384" s="2" t="s">
        <v>905</v>
      </c>
      <c r="D1384" s="4"/>
      <c r="E1384" s="3" t="str">
        <f>""</f>
        <v/>
      </c>
      <c r="F1384" s="2" t="s">
        <v>27</v>
      </c>
      <c r="G1384" s="2" t="str">
        <f>CONCATENATE("INFODATA,"," VL. DRŽISLAV DLESK,"," CMP SAVICA ŠANCI 111,"," 10000 ZAGREB,"," OIB: 5950645445")</f>
        <v>INFODATA, VL. DRŽISLAV DLESK, CMP SAVICA ŠANCI 111, 10000 ZAGREB, OIB: 5950645445</v>
      </c>
      <c r="H1384" s="4"/>
      <c r="I1384" s="1" t="s">
        <v>74</v>
      </c>
      <c r="J1384" s="1" t="s">
        <v>397</v>
      </c>
      <c r="K1384" s="6" t="str">
        <f>"111.350,00"</f>
        <v>111.350,00</v>
      </c>
      <c r="L1384" s="6" t="str">
        <f>"27.837,50"</f>
        <v>27.837,50</v>
      </c>
      <c r="M1384" s="6" t="str">
        <f>"139.187,50"</f>
        <v>139.187,50</v>
      </c>
      <c r="N1384" s="5">
        <v>43707</v>
      </c>
      <c r="O1384" s="7"/>
      <c r="P1384" s="6" t="str">
        <f>"83.512,50"</f>
        <v>83.512,50</v>
      </c>
      <c r="Q1384" s="7"/>
      <c r="R1384" s="1"/>
      <c r="S1384" s="1" t="str">
        <f>"3-19/NOS-139/17"</f>
        <v>3-19/NOS-139/17</v>
      </c>
      <c r="T1384" s="2" t="s">
        <v>33</v>
      </c>
    </row>
    <row r="1385" spans="1:20" ht="38.25" x14ac:dyDescent="0.25">
      <c r="A1385" s="1">
        <v>1381</v>
      </c>
      <c r="B1385" s="1" t="str">
        <f>"2017-2486"</f>
        <v>2017-2486</v>
      </c>
      <c r="C1385" s="2" t="s">
        <v>905</v>
      </c>
      <c r="D1385" s="1" t="s">
        <v>223</v>
      </c>
      <c r="E1385" s="3" t="str">
        <f>""</f>
        <v/>
      </c>
      <c r="F1385" s="2" t="s">
        <v>27</v>
      </c>
      <c r="G1385" s="2" t="str">
        <f>CONCATENATE("INFODATA,"," VL. DRŽISLAV DLESK,"," CMP SAVICA ŠANCI 111,"," 10000 ZAGREB,"," OIB: 5950645445")</f>
        <v>INFODATA, VL. DRŽISLAV DLESK, CMP SAVICA ŠANCI 111, 10000 ZAGREB, OIB: 5950645445</v>
      </c>
      <c r="H1385" s="4"/>
      <c r="I1385" s="1" t="s">
        <v>700</v>
      </c>
      <c r="J1385" s="1" t="s">
        <v>121</v>
      </c>
      <c r="K1385" s="6" t="str">
        <f>"26.500,00"</f>
        <v>26.500,00</v>
      </c>
      <c r="L1385" s="6" t="str">
        <f>"6.625,00"</f>
        <v>6.625,00</v>
      </c>
      <c r="M1385" s="6" t="str">
        <f>"33.125,00"</f>
        <v>33.125,00</v>
      </c>
      <c r="N1385" s="5">
        <v>43521</v>
      </c>
      <c r="O1385" s="7"/>
      <c r="P1385" s="6" t="str">
        <f>"33.125,00"</f>
        <v>33.125,00</v>
      </c>
      <c r="Q1385" s="7"/>
      <c r="R1385" s="1"/>
      <c r="S1385" s="1" t="str">
        <f>"1-19/NOS-139/17"</f>
        <v>1-19/NOS-139/17</v>
      </c>
      <c r="T1385" s="2" t="s">
        <v>33</v>
      </c>
    </row>
    <row r="1386" spans="1:20" ht="38.25" x14ac:dyDescent="0.25">
      <c r="A1386" s="1">
        <v>1382</v>
      </c>
      <c r="B1386" s="1" t="str">
        <f>"2017-2928"</f>
        <v>2017-2928</v>
      </c>
      <c r="C1386" s="2" t="s">
        <v>906</v>
      </c>
      <c r="D1386" s="1" t="s">
        <v>523</v>
      </c>
      <c r="E1386" s="3" t="str">
        <f>"2017/S 0F2-0027216"</f>
        <v>2017/S 0F2-0027216</v>
      </c>
      <c r="F1386" s="2" t="s">
        <v>23</v>
      </c>
      <c r="G1386" s="2" t="str">
        <f>CONCATENATE("AUTO HRVATSKA PRODAJNO SERVISNI CENTRI D.O.O.,"," ZASTAVNICE 25/C,"," 10251 HRVATSKI LESKOVAC,"," OIB: 87682591133")</f>
        <v>AUTO HRVATSKA PRODAJNO SERVISNI CENTRI D.O.O., ZASTAVNICE 25/C, 10251 HRVATSKI LESKOVAC, OIB: 87682591133</v>
      </c>
      <c r="H1386" s="4"/>
      <c r="I1386" s="1" t="s">
        <v>907</v>
      </c>
      <c r="J1386" s="1" t="s">
        <v>908</v>
      </c>
      <c r="K1386" s="6" t="str">
        <f>"5.000.000,00"</f>
        <v>5.000.000,00</v>
      </c>
      <c r="L1386" s="6" t="str">
        <f>"1.250.000,00"</f>
        <v>1.250.000,00</v>
      </c>
      <c r="M1386" s="6" t="str">
        <f>"6.250.000,00"</f>
        <v>6.250.000,00</v>
      </c>
      <c r="N1386" s="7"/>
      <c r="O1386" s="7"/>
      <c r="P1386" s="6" t="str">
        <f>""</f>
        <v/>
      </c>
      <c r="Q1386" s="7"/>
      <c r="R1386" s="1"/>
      <c r="S1386" s="1" t="str">
        <f>"NOS-140/17"</f>
        <v>NOS-140/17</v>
      </c>
      <c r="T1386" s="2" t="s">
        <v>33</v>
      </c>
    </row>
    <row r="1387" spans="1:20" ht="38.25" x14ac:dyDescent="0.25">
      <c r="A1387" s="1">
        <v>1383</v>
      </c>
      <c r="B1387" s="1" t="str">
        <f t="shared" ref="B1387:B1403" si="134">"2017-2565"</f>
        <v>2017-2565</v>
      </c>
      <c r="C1387" s="2" t="s">
        <v>909</v>
      </c>
      <c r="D1387" s="1" t="s">
        <v>910</v>
      </c>
      <c r="E1387" s="3" t="str">
        <f>"2017/S F14-0020897"</f>
        <v>2017/S F14-0020897</v>
      </c>
      <c r="F1387" s="2" t="s">
        <v>23</v>
      </c>
      <c r="G1387" s="2" t="str">
        <f t="shared" ref="G1387:G1396" si="135">CONCATENATE("KEMIS-TERMOCLEAN D.O.O.,"," SLAVONSKA AVENIJA 26/4,"," 10000 ZAGREB,"," OIB: 47719259482")</f>
        <v>KEMIS-TERMOCLEAN D.O.O., SLAVONSKA AVENIJA 26/4, 10000 ZAGREB, OIB: 47719259482</v>
      </c>
      <c r="H1387" s="4"/>
      <c r="I1387" s="1" t="s">
        <v>911</v>
      </c>
      <c r="J1387" s="1" t="s">
        <v>912</v>
      </c>
      <c r="K1387" s="6" t="str">
        <f>"8.730.000,00"</f>
        <v>8.730.000,00</v>
      </c>
      <c r="L1387" s="6" t="str">
        <f>"2.182.500,00"</f>
        <v>2.182.500,00</v>
      </c>
      <c r="M1387" s="6" t="str">
        <f>"10.912.500,00"</f>
        <v>10.912.500,00</v>
      </c>
      <c r="N1387" s="7"/>
      <c r="O1387" s="7"/>
      <c r="P1387" s="6" t="str">
        <f>""</f>
        <v/>
      </c>
      <c r="Q1387" s="7"/>
      <c r="R1387" s="1"/>
      <c r="S1387" s="1" t="str">
        <f>"NOS-141-A/17"</f>
        <v>NOS-141-A/17</v>
      </c>
      <c r="T1387" s="2" t="s">
        <v>26</v>
      </c>
    </row>
    <row r="1388" spans="1:20" ht="38.25" x14ac:dyDescent="0.25">
      <c r="A1388" s="1">
        <v>1384</v>
      </c>
      <c r="B1388" s="1" t="str">
        <f t="shared" si="134"/>
        <v>2017-2565</v>
      </c>
      <c r="C1388" s="2" t="s">
        <v>909</v>
      </c>
      <c r="D1388" s="4"/>
      <c r="E1388" s="3" t="str">
        <f>""</f>
        <v/>
      </c>
      <c r="F1388" s="2" t="s">
        <v>27</v>
      </c>
      <c r="G1388" s="2" t="str">
        <f t="shared" si="135"/>
        <v>KEMIS-TERMOCLEAN D.O.O., SLAVONSKA AVENIJA 26/4, 10000 ZAGREB, OIB: 47719259482</v>
      </c>
      <c r="H1388" s="4"/>
      <c r="I1388" s="1" t="s">
        <v>630</v>
      </c>
      <c r="J1388" s="1" t="s">
        <v>42</v>
      </c>
      <c r="K1388" s="6" t="str">
        <f>"1.000.000,00"</f>
        <v>1.000.000,00</v>
      </c>
      <c r="L1388" s="6" t="str">
        <f>"250.000,00"</f>
        <v>250.000,00</v>
      </c>
      <c r="M1388" s="6" t="str">
        <f>"1.250.000,00"</f>
        <v>1.250.000,00</v>
      </c>
      <c r="N1388" s="5">
        <v>43679</v>
      </c>
      <c r="O1388" s="7"/>
      <c r="P1388" s="6" t="str">
        <f>"213.400,00"</f>
        <v>213.400,00</v>
      </c>
      <c r="Q1388" s="7"/>
      <c r="R1388" s="1"/>
      <c r="S1388" s="1" t="str">
        <f>"17-18/NOS-141-A/17"</f>
        <v>17-18/NOS-141-A/17</v>
      </c>
      <c r="T1388" s="2" t="s">
        <v>33</v>
      </c>
    </row>
    <row r="1389" spans="1:20" ht="38.25" x14ac:dyDescent="0.25">
      <c r="A1389" s="1">
        <v>1385</v>
      </c>
      <c r="B1389" s="1" t="str">
        <f t="shared" si="134"/>
        <v>2017-2565</v>
      </c>
      <c r="C1389" s="2" t="s">
        <v>909</v>
      </c>
      <c r="D1389" s="1" t="s">
        <v>910</v>
      </c>
      <c r="E1389" s="3" t="str">
        <f>""</f>
        <v/>
      </c>
      <c r="F1389" s="2" t="s">
        <v>27</v>
      </c>
      <c r="G1389" s="2" t="str">
        <f t="shared" si="135"/>
        <v>KEMIS-TERMOCLEAN D.O.O., SLAVONSKA AVENIJA 26/4, 10000 ZAGREB, OIB: 47719259482</v>
      </c>
      <c r="H1389" s="4"/>
      <c r="I1389" s="1" t="s">
        <v>194</v>
      </c>
      <c r="J1389" s="1" t="s">
        <v>121</v>
      </c>
      <c r="K1389" s="6" t="str">
        <f>"27.500,00"</f>
        <v>27.500,00</v>
      </c>
      <c r="L1389" s="6" t="str">
        <f>"138,25"</f>
        <v>138,25</v>
      </c>
      <c r="M1389" s="6" t="str">
        <f>"691,25"</f>
        <v>691,25</v>
      </c>
      <c r="N1389" s="5">
        <v>43614</v>
      </c>
      <c r="O1389" s="7"/>
      <c r="P1389" s="6" t="str">
        <f>"691,25"</f>
        <v>691,25</v>
      </c>
      <c r="Q1389" s="7"/>
      <c r="R1389" s="1"/>
      <c r="S1389" s="1" t="str">
        <f>"1-19/NOS-141-A/17"</f>
        <v>1-19/NOS-141-A/17</v>
      </c>
      <c r="T1389" s="2" t="s">
        <v>33</v>
      </c>
    </row>
    <row r="1390" spans="1:20" ht="38.25" x14ac:dyDescent="0.25">
      <c r="A1390" s="1">
        <v>1386</v>
      </c>
      <c r="B1390" s="1" t="str">
        <f t="shared" si="134"/>
        <v>2017-2565</v>
      </c>
      <c r="C1390" s="2" t="s">
        <v>909</v>
      </c>
      <c r="D1390" s="1" t="s">
        <v>910</v>
      </c>
      <c r="E1390" s="3" t="str">
        <f>""</f>
        <v/>
      </c>
      <c r="F1390" s="2" t="s">
        <v>27</v>
      </c>
      <c r="G1390" s="2" t="str">
        <f t="shared" si="135"/>
        <v>KEMIS-TERMOCLEAN D.O.O., SLAVONSKA AVENIJA 26/4, 10000 ZAGREB, OIB: 47719259482</v>
      </c>
      <c r="H1390" s="4"/>
      <c r="I1390" s="1" t="s">
        <v>574</v>
      </c>
      <c r="J1390" s="1" t="s">
        <v>242</v>
      </c>
      <c r="K1390" s="6" t="str">
        <f>"1.365,00"</f>
        <v>1.365,00</v>
      </c>
      <c r="L1390" s="6" t="str">
        <f>"341,25"</f>
        <v>341,25</v>
      </c>
      <c r="M1390" s="6" t="str">
        <f>"1.706,25"</f>
        <v>1.706,25</v>
      </c>
      <c r="N1390" s="5">
        <v>43517</v>
      </c>
      <c r="O1390" s="7"/>
      <c r="P1390" s="6" t="str">
        <f>"1.706,25"</f>
        <v>1.706,25</v>
      </c>
      <c r="Q1390" s="7"/>
      <c r="R1390" s="1"/>
      <c r="S1390" s="1" t="str">
        <f>"2-19/NOS-141-A/17"</f>
        <v>2-19/NOS-141-A/17</v>
      </c>
      <c r="T1390" s="2" t="s">
        <v>33</v>
      </c>
    </row>
    <row r="1391" spans="1:20" ht="38.25" x14ac:dyDescent="0.25">
      <c r="A1391" s="1">
        <v>1387</v>
      </c>
      <c r="B1391" s="1" t="str">
        <f t="shared" si="134"/>
        <v>2017-2565</v>
      </c>
      <c r="C1391" s="2" t="s">
        <v>909</v>
      </c>
      <c r="D1391" s="1" t="s">
        <v>910</v>
      </c>
      <c r="E1391" s="3" t="str">
        <f>""</f>
        <v/>
      </c>
      <c r="F1391" s="2" t="s">
        <v>27</v>
      </c>
      <c r="G1391" s="2" t="str">
        <f t="shared" si="135"/>
        <v>KEMIS-TERMOCLEAN D.O.O., SLAVONSKA AVENIJA 26/4, 10000 ZAGREB, OIB: 47719259482</v>
      </c>
      <c r="H1391" s="4"/>
      <c r="I1391" s="1" t="s">
        <v>302</v>
      </c>
      <c r="J1391" s="1" t="s">
        <v>469</v>
      </c>
      <c r="K1391" s="6" t="str">
        <f>"4.350,00"</f>
        <v>4.350,00</v>
      </c>
      <c r="L1391" s="6" t="str">
        <f>"398,25"</f>
        <v>398,25</v>
      </c>
      <c r="M1391" s="6" t="str">
        <f>"1.991,25"</f>
        <v>1.991,25</v>
      </c>
      <c r="N1391" s="5">
        <v>43651</v>
      </c>
      <c r="O1391" s="7"/>
      <c r="P1391" s="6" t="str">
        <f>"1.991,25"</f>
        <v>1.991,25</v>
      </c>
      <c r="Q1391" s="7"/>
      <c r="R1391" s="1"/>
      <c r="S1391" s="1" t="str">
        <f>"3-19/NOS-141-A/17"</f>
        <v>3-19/NOS-141-A/17</v>
      </c>
      <c r="T1391" s="2" t="s">
        <v>29</v>
      </c>
    </row>
    <row r="1392" spans="1:20" ht="38.25" x14ac:dyDescent="0.25">
      <c r="A1392" s="1">
        <v>1388</v>
      </c>
      <c r="B1392" s="1" t="str">
        <f t="shared" si="134"/>
        <v>2017-2565</v>
      </c>
      <c r="C1392" s="2" t="s">
        <v>909</v>
      </c>
      <c r="D1392" s="1" t="s">
        <v>910</v>
      </c>
      <c r="E1392" s="3" t="str">
        <f>""</f>
        <v/>
      </c>
      <c r="F1392" s="2" t="s">
        <v>27</v>
      </c>
      <c r="G1392" s="2" t="str">
        <f t="shared" si="135"/>
        <v>KEMIS-TERMOCLEAN D.O.O., SLAVONSKA AVENIJA 26/4, 10000 ZAGREB, OIB: 47719259482</v>
      </c>
      <c r="H1392" s="4"/>
      <c r="I1392" s="1" t="s">
        <v>344</v>
      </c>
      <c r="J1392" s="1" t="s">
        <v>121</v>
      </c>
      <c r="K1392" s="6" t="str">
        <f>"30.000,00"</f>
        <v>30.000,00</v>
      </c>
      <c r="L1392" s="6" t="str">
        <f>"9.270,00"</f>
        <v>9.270,00</v>
      </c>
      <c r="M1392" s="6" t="str">
        <f>"46.350,00"</f>
        <v>46.350,00</v>
      </c>
      <c r="N1392" s="5">
        <v>43704</v>
      </c>
      <c r="O1392" s="7"/>
      <c r="P1392" s="6" t="str">
        <f>"46.350,00"</f>
        <v>46.350,00</v>
      </c>
      <c r="Q1392" s="7"/>
      <c r="R1392" s="1"/>
      <c r="S1392" s="1" t="str">
        <f>"4-19/NOS-141-A/17"</f>
        <v>4-19/NOS-141-A/17</v>
      </c>
      <c r="T1392" s="2" t="s">
        <v>33</v>
      </c>
    </row>
    <row r="1393" spans="1:20" ht="38.25" x14ac:dyDescent="0.25">
      <c r="A1393" s="1">
        <v>1389</v>
      </c>
      <c r="B1393" s="1" t="str">
        <f t="shared" si="134"/>
        <v>2017-2565</v>
      </c>
      <c r="C1393" s="2" t="s">
        <v>909</v>
      </c>
      <c r="D1393" s="1" t="s">
        <v>910</v>
      </c>
      <c r="E1393" s="3" t="str">
        <f>""</f>
        <v/>
      </c>
      <c r="F1393" s="2" t="s">
        <v>27</v>
      </c>
      <c r="G1393" s="2" t="str">
        <f t="shared" si="135"/>
        <v>KEMIS-TERMOCLEAN D.O.O., SLAVONSKA AVENIJA 26/4, 10000 ZAGREB, OIB: 47719259482</v>
      </c>
      <c r="H1393" s="4"/>
      <c r="I1393" s="1" t="s">
        <v>25</v>
      </c>
      <c r="J1393" s="1" t="s">
        <v>251</v>
      </c>
      <c r="K1393" s="6" t="str">
        <f>"750,00"</f>
        <v>750,00</v>
      </c>
      <c r="L1393" s="6" t="str">
        <f>"187,50"</f>
        <v>187,50</v>
      </c>
      <c r="M1393" s="6" t="str">
        <f>"937,50"</f>
        <v>937,50</v>
      </c>
      <c r="N1393" s="5">
        <v>43619</v>
      </c>
      <c r="O1393" s="7"/>
      <c r="P1393" s="6" t="str">
        <f>"937,50"</f>
        <v>937,50</v>
      </c>
      <c r="Q1393" s="7"/>
      <c r="R1393" s="1"/>
      <c r="S1393" s="1" t="str">
        <f>"5-19/NOS-141-A/17"</f>
        <v>5-19/NOS-141-A/17</v>
      </c>
      <c r="T1393" s="2" t="s">
        <v>33</v>
      </c>
    </row>
    <row r="1394" spans="1:20" ht="38.25" x14ac:dyDescent="0.25">
      <c r="A1394" s="1">
        <v>1390</v>
      </c>
      <c r="B1394" s="1" t="str">
        <f t="shared" si="134"/>
        <v>2017-2565</v>
      </c>
      <c r="C1394" s="2" t="s">
        <v>909</v>
      </c>
      <c r="D1394" s="1" t="s">
        <v>910</v>
      </c>
      <c r="E1394" s="3" t="str">
        <f>""</f>
        <v/>
      </c>
      <c r="F1394" s="2" t="s">
        <v>27</v>
      </c>
      <c r="G1394" s="2" t="str">
        <f t="shared" si="135"/>
        <v>KEMIS-TERMOCLEAN D.O.O., SLAVONSKA AVENIJA 26/4, 10000 ZAGREB, OIB: 47719259482</v>
      </c>
      <c r="H1394" s="4"/>
      <c r="I1394" s="1" t="s">
        <v>74</v>
      </c>
      <c r="J1394" s="1" t="s">
        <v>121</v>
      </c>
      <c r="K1394" s="6" t="str">
        <f>"112.000,00"</f>
        <v>112.000,00</v>
      </c>
      <c r="L1394" s="6" t="str">
        <f>"26.928,00"</f>
        <v>26.928,00</v>
      </c>
      <c r="M1394" s="6" t="str">
        <f>"134.640,00"</f>
        <v>134.640,00</v>
      </c>
      <c r="N1394" s="5">
        <v>43698</v>
      </c>
      <c r="O1394" s="7"/>
      <c r="P1394" s="6" t="str">
        <f>"134.640,00"</f>
        <v>134.640,00</v>
      </c>
      <c r="Q1394" s="7"/>
      <c r="R1394" s="1"/>
      <c r="S1394" s="1" t="str">
        <f>"6-19/NOS-141-A/17"</f>
        <v>6-19/NOS-141-A/17</v>
      </c>
      <c r="T1394" s="2" t="s">
        <v>33</v>
      </c>
    </row>
    <row r="1395" spans="1:20" ht="38.25" x14ac:dyDescent="0.25">
      <c r="A1395" s="1">
        <v>1391</v>
      </c>
      <c r="B1395" s="1" t="str">
        <f t="shared" si="134"/>
        <v>2017-2565</v>
      </c>
      <c r="C1395" s="2" t="s">
        <v>909</v>
      </c>
      <c r="D1395" s="1" t="s">
        <v>910</v>
      </c>
      <c r="E1395" s="3" t="str">
        <f>""</f>
        <v/>
      </c>
      <c r="F1395" s="2" t="s">
        <v>27</v>
      </c>
      <c r="G1395" s="2" t="str">
        <f t="shared" si="135"/>
        <v>KEMIS-TERMOCLEAN D.O.O., SLAVONSKA AVENIJA 26/4, 10000 ZAGREB, OIB: 47719259482</v>
      </c>
      <c r="H1395" s="4"/>
      <c r="I1395" s="1" t="s">
        <v>320</v>
      </c>
      <c r="J1395" s="1" t="s">
        <v>492</v>
      </c>
      <c r="K1395" s="6" t="str">
        <f>"3.200,00"</f>
        <v>3.200,00</v>
      </c>
      <c r="L1395" s="6" t="str">
        <f>"0,00"</f>
        <v>0,00</v>
      </c>
      <c r="M1395" s="6" t="str">
        <f>"0,00"</f>
        <v>0,00</v>
      </c>
      <c r="N1395" s="1" t="s">
        <v>117</v>
      </c>
      <c r="O1395" s="7"/>
      <c r="P1395" s="6" t="str">
        <f>"0,00"</f>
        <v>0,00</v>
      </c>
      <c r="Q1395" s="7"/>
      <c r="R1395" s="1"/>
      <c r="S1395" s="1" t="str">
        <f>"7-19/NOS-141-A/17"</f>
        <v>7-19/NOS-141-A/17</v>
      </c>
      <c r="T1395" s="2" t="s">
        <v>33</v>
      </c>
    </row>
    <row r="1396" spans="1:20" ht="38.25" x14ac:dyDescent="0.25">
      <c r="A1396" s="1">
        <v>1392</v>
      </c>
      <c r="B1396" s="1" t="str">
        <f t="shared" si="134"/>
        <v>2017-2565</v>
      </c>
      <c r="C1396" s="2" t="s">
        <v>909</v>
      </c>
      <c r="D1396" s="1" t="s">
        <v>910</v>
      </c>
      <c r="E1396" s="3" t="str">
        <f>""</f>
        <v/>
      </c>
      <c r="F1396" s="2" t="s">
        <v>27</v>
      </c>
      <c r="G1396" s="2" t="str">
        <f t="shared" si="135"/>
        <v>KEMIS-TERMOCLEAN D.O.O., SLAVONSKA AVENIJA 26/4, 10000 ZAGREB, OIB: 47719259482</v>
      </c>
      <c r="H1396" s="4"/>
      <c r="I1396" s="1" t="s">
        <v>579</v>
      </c>
      <c r="J1396" s="1" t="s">
        <v>31</v>
      </c>
      <c r="K1396" s="6" t="str">
        <f>"600,00"</f>
        <v>600,00</v>
      </c>
      <c r="L1396" s="6" t="str">
        <f>"150,00"</f>
        <v>150,00</v>
      </c>
      <c r="M1396" s="6" t="str">
        <f>"750,00"</f>
        <v>750,00</v>
      </c>
      <c r="N1396" s="5">
        <v>43655</v>
      </c>
      <c r="O1396" s="7"/>
      <c r="P1396" s="6" t="str">
        <f>"750,00"</f>
        <v>750,00</v>
      </c>
      <c r="Q1396" s="7"/>
      <c r="R1396" s="1"/>
      <c r="S1396" s="1" t="str">
        <f>"9-19/NOS-141-A/17"</f>
        <v>9-19/NOS-141-A/17</v>
      </c>
      <c r="T1396" s="2" t="s">
        <v>33</v>
      </c>
    </row>
    <row r="1397" spans="1:20" ht="38.25" x14ac:dyDescent="0.25">
      <c r="A1397" s="1">
        <v>1393</v>
      </c>
      <c r="B1397" s="1" t="str">
        <f t="shared" si="134"/>
        <v>2017-2565</v>
      </c>
      <c r="C1397" s="2" t="s">
        <v>909</v>
      </c>
      <c r="D1397" s="1" t="s">
        <v>910</v>
      </c>
      <c r="E1397" s="3" t="str">
        <f>"2017/S F14-0020897"</f>
        <v>2017/S F14-0020897</v>
      </c>
      <c r="F1397" s="2" t="s">
        <v>23</v>
      </c>
      <c r="G1397" s="2" t="str">
        <f t="shared" ref="G1397:G1403" si="136">CONCATENATE("EKO-FLOR PLUS D.O.O.,"," MOKRICE 180C,"," 49243 OROSLAVJE,"," OIB: 50730247993")</f>
        <v>EKO-FLOR PLUS D.O.O., MOKRICE 180C, 49243 OROSLAVJE, OIB: 50730247993</v>
      </c>
      <c r="H1397" s="4"/>
      <c r="I1397" s="1" t="s">
        <v>879</v>
      </c>
      <c r="J1397" s="1" t="s">
        <v>880</v>
      </c>
      <c r="K1397" s="6" t="str">
        <f>"9.650.000,00"</f>
        <v>9.650.000,00</v>
      </c>
      <c r="L1397" s="6" t="str">
        <f>"2.412.500,00"</f>
        <v>2.412.500,00</v>
      </c>
      <c r="M1397" s="6" t="str">
        <f>"12.062.500,00"</f>
        <v>12.062.500,00</v>
      </c>
      <c r="N1397" s="7"/>
      <c r="O1397" s="7"/>
      <c r="P1397" s="6" t="str">
        <f>""</f>
        <v/>
      </c>
      <c r="Q1397" s="7"/>
      <c r="R1397" s="1"/>
      <c r="S1397" s="1" t="str">
        <f>"NOS-141-B/17"</f>
        <v>NOS-141-B/17</v>
      </c>
      <c r="T1397" s="2" t="s">
        <v>26</v>
      </c>
    </row>
    <row r="1398" spans="1:20" ht="25.5" x14ac:dyDescent="0.25">
      <c r="A1398" s="1">
        <v>1394</v>
      </c>
      <c r="B1398" s="1" t="str">
        <f t="shared" si="134"/>
        <v>2017-2565</v>
      </c>
      <c r="C1398" s="2" t="s">
        <v>909</v>
      </c>
      <c r="D1398" s="4"/>
      <c r="E1398" s="3" t="str">
        <f>""</f>
        <v/>
      </c>
      <c r="F1398" s="2" t="s">
        <v>27</v>
      </c>
      <c r="G1398" s="2" t="str">
        <f t="shared" si="136"/>
        <v>EKO-FLOR PLUS D.O.O., MOKRICE 180C, 49243 OROSLAVJE, OIB: 50730247993</v>
      </c>
      <c r="H1398" s="4"/>
      <c r="I1398" s="1" t="s">
        <v>574</v>
      </c>
      <c r="J1398" s="1" t="s">
        <v>45</v>
      </c>
      <c r="K1398" s="6" t="str">
        <f>"500.000,00"</f>
        <v>500.000,00</v>
      </c>
      <c r="L1398" s="6" t="str">
        <f>"125.000,00"</f>
        <v>125.000,00</v>
      </c>
      <c r="M1398" s="6" t="str">
        <f>"625.000,00"</f>
        <v>625.000,00</v>
      </c>
      <c r="N1398" s="5">
        <v>43700</v>
      </c>
      <c r="O1398" s="7"/>
      <c r="P1398" s="6" t="str">
        <f>"566.203,25"</f>
        <v>566.203,25</v>
      </c>
      <c r="Q1398" s="7"/>
      <c r="R1398" s="1"/>
      <c r="S1398" s="1" t="str">
        <f>"1-19/NOS-141-B/17"</f>
        <v>1-19/NOS-141-B/17</v>
      </c>
      <c r="T1398" s="2" t="s">
        <v>33</v>
      </c>
    </row>
    <row r="1399" spans="1:20" ht="25.5" x14ac:dyDescent="0.25">
      <c r="A1399" s="1">
        <v>1395</v>
      </c>
      <c r="B1399" s="1" t="str">
        <f t="shared" si="134"/>
        <v>2017-2565</v>
      </c>
      <c r="C1399" s="2" t="s">
        <v>909</v>
      </c>
      <c r="D1399" s="4"/>
      <c r="E1399" s="3" t="str">
        <f>""</f>
        <v/>
      </c>
      <c r="F1399" s="2" t="s">
        <v>27</v>
      </c>
      <c r="G1399" s="2" t="str">
        <f t="shared" si="136"/>
        <v>EKO-FLOR PLUS D.O.O., MOKRICE 180C, 49243 OROSLAVJE, OIB: 50730247993</v>
      </c>
      <c r="H1399" s="4"/>
      <c r="I1399" s="1" t="s">
        <v>344</v>
      </c>
      <c r="J1399" s="1" t="s">
        <v>45</v>
      </c>
      <c r="K1399" s="6" t="str">
        <f>"1.000.000,00"</f>
        <v>1.000.000,00</v>
      </c>
      <c r="L1399" s="6" t="str">
        <f>"250.000,00"</f>
        <v>250.000,00</v>
      </c>
      <c r="M1399" s="6" t="str">
        <f>"1.250.000,00"</f>
        <v>1.250.000,00</v>
      </c>
      <c r="N1399" s="5">
        <v>43705</v>
      </c>
      <c r="O1399" s="7"/>
      <c r="P1399" s="6" t="str">
        <f>"494.717,50"</f>
        <v>494.717,50</v>
      </c>
      <c r="Q1399" s="7"/>
      <c r="R1399" s="1"/>
      <c r="S1399" s="1" t="str">
        <f>"2-19/NOS-141-B/17"</f>
        <v>2-19/NOS-141-B/17</v>
      </c>
      <c r="T1399" s="2" t="s">
        <v>33</v>
      </c>
    </row>
    <row r="1400" spans="1:20" ht="25.5" x14ac:dyDescent="0.25">
      <c r="A1400" s="1">
        <v>1396</v>
      </c>
      <c r="B1400" s="1" t="str">
        <f t="shared" si="134"/>
        <v>2017-2565</v>
      </c>
      <c r="C1400" s="2" t="s">
        <v>909</v>
      </c>
      <c r="D1400" s="1" t="s">
        <v>910</v>
      </c>
      <c r="E1400" s="3" t="str">
        <f>""</f>
        <v/>
      </c>
      <c r="F1400" s="2" t="s">
        <v>27</v>
      </c>
      <c r="G1400" s="2" t="str">
        <f t="shared" si="136"/>
        <v>EKO-FLOR PLUS D.O.O., MOKRICE 180C, 49243 OROSLAVJE, OIB: 50730247993</v>
      </c>
      <c r="H1400" s="4"/>
      <c r="I1400" s="1" t="s">
        <v>302</v>
      </c>
      <c r="J1400" s="1" t="s">
        <v>469</v>
      </c>
      <c r="K1400" s="6" t="str">
        <f>"7.600,00"</f>
        <v>7.600,00</v>
      </c>
      <c r="L1400" s="6" t="str">
        <f>"895,00"</f>
        <v>895,00</v>
      </c>
      <c r="M1400" s="6" t="str">
        <f>"4.475,00"</f>
        <v>4.475,00</v>
      </c>
      <c r="N1400" s="5">
        <v>43650</v>
      </c>
      <c r="O1400" s="7"/>
      <c r="P1400" s="6" t="str">
        <f>"4.475,00"</f>
        <v>4.475,00</v>
      </c>
      <c r="Q1400" s="7"/>
      <c r="R1400" s="1"/>
      <c r="S1400" s="1" t="str">
        <f>"3-19/NOS-141-B/17"</f>
        <v>3-19/NOS-141-B/17</v>
      </c>
      <c r="T1400" s="2" t="s">
        <v>29</v>
      </c>
    </row>
    <row r="1401" spans="1:20" ht="25.5" x14ac:dyDescent="0.25">
      <c r="A1401" s="1">
        <v>1397</v>
      </c>
      <c r="B1401" s="1" t="str">
        <f t="shared" si="134"/>
        <v>2017-2565</v>
      </c>
      <c r="C1401" s="2" t="s">
        <v>909</v>
      </c>
      <c r="D1401" s="1" t="s">
        <v>910</v>
      </c>
      <c r="E1401" s="3" t="str">
        <f>""</f>
        <v/>
      </c>
      <c r="F1401" s="2" t="s">
        <v>27</v>
      </c>
      <c r="G1401" s="2" t="str">
        <f t="shared" si="136"/>
        <v>EKO-FLOR PLUS D.O.O., MOKRICE 180C, 49243 OROSLAVJE, OIB: 50730247993</v>
      </c>
      <c r="H1401" s="4"/>
      <c r="I1401" s="1" t="s">
        <v>25</v>
      </c>
      <c r="J1401" s="1" t="s">
        <v>47</v>
      </c>
      <c r="K1401" s="6" t="str">
        <f>"10.000,00"</f>
        <v>10.000,00</v>
      </c>
      <c r="L1401" s="6" t="str">
        <f>"0,00"</f>
        <v>0,00</v>
      </c>
      <c r="M1401" s="6" t="str">
        <f>"0,00"</f>
        <v>0,00</v>
      </c>
      <c r="N1401" s="1" t="s">
        <v>117</v>
      </c>
      <c r="O1401" s="7"/>
      <c r="P1401" s="6" t="str">
        <f>"0,00"</f>
        <v>0,00</v>
      </c>
      <c r="Q1401" s="7"/>
      <c r="R1401" s="1"/>
      <c r="S1401" s="1" t="str">
        <f>"4-19/NOS-141-B/17"</f>
        <v>4-19/NOS-141-B/17</v>
      </c>
      <c r="T1401" s="2" t="s">
        <v>33</v>
      </c>
    </row>
    <row r="1402" spans="1:20" ht="25.5" x14ac:dyDescent="0.25">
      <c r="A1402" s="1">
        <v>1398</v>
      </c>
      <c r="B1402" s="1" t="str">
        <f t="shared" si="134"/>
        <v>2017-2565</v>
      </c>
      <c r="C1402" s="2" t="s">
        <v>909</v>
      </c>
      <c r="D1402" s="1" t="s">
        <v>910</v>
      </c>
      <c r="E1402" s="3" t="str">
        <f>""</f>
        <v/>
      </c>
      <c r="F1402" s="2" t="s">
        <v>27</v>
      </c>
      <c r="G1402" s="2" t="str">
        <f t="shared" si="136"/>
        <v>EKO-FLOR PLUS D.O.O., MOKRICE 180C, 49243 OROSLAVJE, OIB: 50730247993</v>
      </c>
      <c r="H1402" s="4"/>
      <c r="I1402" s="1" t="s">
        <v>25</v>
      </c>
      <c r="J1402" s="1" t="s">
        <v>251</v>
      </c>
      <c r="K1402" s="6" t="str">
        <f>"8.000,00"</f>
        <v>8.000,00</v>
      </c>
      <c r="L1402" s="6" t="str">
        <f>"1.030,00"</f>
        <v>1.030,00</v>
      </c>
      <c r="M1402" s="6" t="str">
        <f>"5.150,00"</f>
        <v>5.150,00</v>
      </c>
      <c r="N1402" s="5">
        <v>43646</v>
      </c>
      <c r="O1402" s="7"/>
      <c r="P1402" s="6" t="str">
        <f>"5.150,00"</f>
        <v>5.150,00</v>
      </c>
      <c r="Q1402" s="7"/>
      <c r="R1402" s="1"/>
      <c r="S1402" s="1" t="str">
        <f>"5-19/NOS-141-B/17"</f>
        <v>5-19/NOS-141-B/17</v>
      </c>
      <c r="T1402" s="2" t="s">
        <v>29</v>
      </c>
    </row>
    <row r="1403" spans="1:20" ht="25.5" x14ac:dyDescent="0.25">
      <c r="A1403" s="1">
        <v>1399</v>
      </c>
      <c r="B1403" s="1" t="str">
        <f t="shared" si="134"/>
        <v>2017-2565</v>
      </c>
      <c r="C1403" s="2" t="s">
        <v>909</v>
      </c>
      <c r="D1403" s="1" t="s">
        <v>910</v>
      </c>
      <c r="E1403" s="3" t="str">
        <f>""</f>
        <v/>
      </c>
      <c r="F1403" s="2" t="s">
        <v>27</v>
      </c>
      <c r="G1403" s="2" t="str">
        <f t="shared" si="136"/>
        <v>EKO-FLOR PLUS D.O.O., MOKRICE 180C, 49243 OROSLAVJE, OIB: 50730247993</v>
      </c>
      <c r="H1403" s="4"/>
      <c r="I1403" s="1" t="s">
        <v>74</v>
      </c>
      <c r="J1403" s="1" t="s">
        <v>47</v>
      </c>
      <c r="K1403" s="6" t="str">
        <f>"294.000,00"</f>
        <v>294.000,00</v>
      </c>
      <c r="L1403" s="6" t="str">
        <f>"12.085,50"</f>
        <v>12.085,50</v>
      </c>
      <c r="M1403" s="6" t="str">
        <f>"60.427,50"</f>
        <v>60.427,50</v>
      </c>
      <c r="N1403" s="5">
        <v>43707</v>
      </c>
      <c r="O1403" s="7"/>
      <c r="P1403" s="6" t="str">
        <f>"60.427,50"</f>
        <v>60.427,50</v>
      </c>
      <c r="Q1403" s="7"/>
      <c r="R1403" s="1"/>
      <c r="S1403" s="1" t="str">
        <f>"6-19/NOS-141-B/17"</f>
        <v>6-19/NOS-141-B/17</v>
      </c>
      <c r="T1403" s="2" t="s">
        <v>33</v>
      </c>
    </row>
    <row r="1404" spans="1:20" ht="38.25" x14ac:dyDescent="0.25">
      <c r="A1404" s="1">
        <v>1400</v>
      </c>
      <c r="B1404" s="1" t="str">
        <f>"2017-1187"</f>
        <v>2017-1187</v>
      </c>
      <c r="C1404" s="2" t="s">
        <v>913</v>
      </c>
      <c r="D1404" s="1" t="s">
        <v>914</v>
      </c>
      <c r="E1404" s="3" t="str">
        <f>"2017/S F14-0020026"</f>
        <v>2017/S F14-0020026</v>
      </c>
      <c r="F1404" s="2" t="s">
        <v>23</v>
      </c>
      <c r="G1404" s="2" t="str">
        <f>CONCATENATE("VODOSKOK D.D.,"," ČULINEČKA CESTA 221/C,"," 10040 ZAGREB,"," OIB: 34134218058")</f>
        <v>VODOSKOK D.D., ČULINEČKA CESTA 221/C, 10040 ZAGREB, OIB: 34134218058</v>
      </c>
      <c r="H1404" s="4"/>
      <c r="I1404" s="1" t="s">
        <v>915</v>
      </c>
      <c r="J1404" s="1" t="s">
        <v>916</v>
      </c>
      <c r="K1404" s="6" t="str">
        <f>"927.000,00"</f>
        <v>927.000,00</v>
      </c>
      <c r="L1404" s="6" t="str">
        <f>"231.750,00"</f>
        <v>231.750,00</v>
      </c>
      <c r="M1404" s="6" t="str">
        <f>"1.158.750,00"</f>
        <v>1.158.750,00</v>
      </c>
      <c r="N1404" s="7"/>
      <c r="O1404" s="7"/>
      <c r="P1404" s="6" t="str">
        <f>""</f>
        <v/>
      </c>
      <c r="Q1404" s="7"/>
      <c r="R1404" s="1"/>
      <c r="S1404" s="1" t="str">
        <f>"NOS-142-A/17"</f>
        <v>NOS-142-A/17</v>
      </c>
      <c r="T1404" s="2" t="s">
        <v>538</v>
      </c>
    </row>
    <row r="1405" spans="1:20" ht="38.25" x14ac:dyDescent="0.25">
      <c r="A1405" s="1">
        <v>1401</v>
      </c>
      <c r="B1405" s="1" t="str">
        <f>"2017-1187"</f>
        <v>2017-1187</v>
      </c>
      <c r="C1405" s="2" t="s">
        <v>913</v>
      </c>
      <c r="D1405" s="1" t="s">
        <v>914</v>
      </c>
      <c r="E1405" s="3" t="str">
        <f>"2017/S F14-0020026"</f>
        <v>2017/S F14-0020026</v>
      </c>
      <c r="F1405" s="2" t="s">
        <v>23</v>
      </c>
      <c r="G1405" s="2" t="str">
        <f>CONCATENATE("FDS-TRGOVINA D.O.O.,"," MAJSTORSKA 1G,"," 10000 ZAGREB,"," OIB: 71814187727")</f>
        <v>FDS-TRGOVINA D.O.O., MAJSTORSKA 1G, 10000 ZAGREB, OIB: 71814187727</v>
      </c>
      <c r="H1405" s="4"/>
      <c r="I1405" s="1" t="s">
        <v>917</v>
      </c>
      <c r="J1405" s="1" t="s">
        <v>918</v>
      </c>
      <c r="K1405" s="6" t="str">
        <f>"900.000,00"</f>
        <v>900.000,00</v>
      </c>
      <c r="L1405" s="6" t="str">
        <f>"225.000,00"</f>
        <v>225.000,00</v>
      </c>
      <c r="M1405" s="6" t="str">
        <f>"1.125.000,00"</f>
        <v>1.125.000,00</v>
      </c>
      <c r="N1405" s="7"/>
      <c r="O1405" s="7"/>
      <c r="P1405" s="6" t="str">
        <f>""</f>
        <v/>
      </c>
      <c r="Q1405" s="7"/>
      <c r="R1405" s="1"/>
      <c r="S1405" s="1" t="str">
        <f>"NOS-142-B/17"</f>
        <v>NOS-142-B/17</v>
      </c>
      <c r="T1405" s="2" t="s">
        <v>538</v>
      </c>
    </row>
    <row r="1406" spans="1:20" ht="38.25" x14ac:dyDescent="0.25">
      <c r="A1406" s="1">
        <v>1402</v>
      </c>
      <c r="B1406" s="1" t="str">
        <f>"2017-1187"</f>
        <v>2017-1187</v>
      </c>
      <c r="C1406" s="2" t="s">
        <v>913</v>
      </c>
      <c r="D1406" s="1" t="s">
        <v>914</v>
      </c>
      <c r="E1406" s="3" t="str">
        <f>"2017/S F14-0020026"</f>
        <v>2017/S F14-0020026</v>
      </c>
      <c r="F1406" s="2" t="s">
        <v>23</v>
      </c>
      <c r="G1406" s="2" t="str">
        <f>CONCATENATE("P T M G D.O.O.,"," GORNJOSTUPNIČKA 18,"," 10255 GORNJI STUPNIK,"," OIB: 5061792625")</f>
        <v>P T M G D.O.O., GORNJOSTUPNIČKA 18, 10255 GORNJI STUPNIK, OIB: 5061792625</v>
      </c>
      <c r="H1406" s="4"/>
      <c r="I1406" s="1" t="s">
        <v>917</v>
      </c>
      <c r="J1406" s="1" t="s">
        <v>918</v>
      </c>
      <c r="K1406" s="6" t="str">
        <f>"850.000,00"</f>
        <v>850.000,00</v>
      </c>
      <c r="L1406" s="6" t="str">
        <f>"212.500,00"</f>
        <v>212.500,00</v>
      </c>
      <c r="M1406" s="6" t="str">
        <f>"1.062.500,00"</f>
        <v>1.062.500,00</v>
      </c>
      <c r="N1406" s="7"/>
      <c r="O1406" s="7"/>
      <c r="P1406" s="6" t="str">
        <f>""</f>
        <v/>
      </c>
      <c r="Q1406" s="7"/>
      <c r="R1406" s="1"/>
      <c r="S1406" s="1" t="str">
        <f>"NOS-142-C/17"</f>
        <v>NOS-142-C/17</v>
      </c>
      <c r="T1406" s="2" t="s">
        <v>538</v>
      </c>
    </row>
    <row r="1407" spans="1:20" ht="38.25" x14ac:dyDescent="0.25">
      <c r="A1407" s="1">
        <v>1403</v>
      </c>
      <c r="B1407" s="1" t="str">
        <f>"2017-1187"</f>
        <v>2017-1187</v>
      </c>
      <c r="C1407" s="2" t="s">
        <v>913</v>
      </c>
      <c r="D1407" s="1" t="s">
        <v>914</v>
      </c>
      <c r="E1407" s="3" t="str">
        <f>"2017/S F14-0020026"</f>
        <v>2017/S F14-0020026</v>
      </c>
      <c r="F1407" s="2" t="s">
        <v>23</v>
      </c>
      <c r="G1407" s="2" t="str">
        <f>CONCATENATE("REUS INŽENJERING D.O.O.,"," RADNIČKA CESTA 27,"," 10000 ZAGREB,"," OIB: 81915436265")</f>
        <v>REUS INŽENJERING D.O.O., RADNIČKA CESTA 27, 10000 ZAGREB, OIB: 81915436265</v>
      </c>
      <c r="H1407" s="4"/>
      <c r="I1407" s="1" t="s">
        <v>919</v>
      </c>
      <c r="J1407" s="1" t="s">
        <v>920</v>
      </c>
      <c r="K1407" s="6" t="str">
        <f>"180.000,00"</f>
        <v>180.000,00</v>
      </c>
      <c r="L1407" s="6" t="str">
        <f>"45.000,00"</f>
        <v>45.000,00</v>
      </c>
      <c r="M1407" s="6" t="str">
        <f>"225.000,00"</f>
        <v>225.000,00</v>
      </c>
      <c r="N1407" s="7"/>
      <c r="O1407" s="7"/>
      <c r="P1407" s="6" t="str">
        <f>""</f>
        <v/>
      </c>
      <c r="Q1407" s="7"/>
      <c r="R1407" s="1"/>
      <c r="S1407" s="1" t="str">
        <f>"NOS-142-D/17"</f>
        <v>NOS-142-D/17</v>
      </c>
      <c r="T1407" s="2" t="s">
        <v>538</v>
      </c>
    </row>
    <row r="1408" spans="1:20" ht="38.25" x14ac:dyDescent="0.25">
      <c r="A1408" s="1">
        <v>1404</v>
      </c>
      <c r="B1408" s="1" t="str">
        <f>"2017-2849"</f>
        <v>2017-2849</v>
      </c>
      <c r="C1408" s="2" t="s">
        <v>921</v>
      </c>
      <c r="D1408" s="1" t="s">
        <v>922</v>
      </c>
      <c r="E1408" s="3" t="str">
        <f>"2017/S 0F2-0022926"</f>
        <v>2017/S 0F2-0022926</v>
      </c>
      <c r="F1408" s="2" t="s">
        <v>23</v>
      </c>
      <c r="G1408" s="2" t="str">
        <f>CONCATENATE("BOLČEVIĆ-GRADNJA D.O.O.,"," DUGOSELSKA CESTA 56,"," 10361 SESVETSKI KRALJEVEC,"," OIB: 520986705")</f>
        <v>BOLČEVIĆ-GRADNJA D.O.O., DUGOSELSKA CESTA 56, 10361 SESVETSKI KRALJEVEC, OIB: 520986705</v>
      </c>
      <c r="H1408" s="4"/>
      <c r="I1408" s="1" t="s">
        <v>879</v>
      </c>
      <c r="J1408" s="1" t="s">
        <v>880</v>
      </c>
      <c r="K1408" s="6" t="str">
        <f>"22.000.000,00"</f>
        <v>22.000.000,00</v>
      </c>
      <c r="L1408" s="6" t="str">
        <f>"5.500.000,00"</f>
        <v>5.500.000,00</v>
      </c>
      <c r="M1408" s="6" t="str">
        <f>"27.500.000,00"</f>
        <v>27.500.000,00</v>
      </c>
      <c r="N1408" s="7"/>
      <c r="O1408" s="7"/>
      <c r="P1408" s="6" t="str">
        <f>""</f>
        <v/>
      </c>
      <c r="Q1408" s="7"/>
      <c r="R1408" s="1"/>
      <c r="S1408" s="1" t="str">
        <f>"NOS-143/17"</f>
        <v>NOS-143/17</v>
      </c>
      <c r="T1408" s="2" t="s">
        <v>29</v>
      </c>
    </row>
    <row r="1409" spans="1:20" ht="38.25" x14ac:dyDescent="0.25">
      <c r="A1409" s="1">
        <v>1405</v>
      </c>
      <c r="B1409" s="1" t="str">
        <f>"2017-2849"</f>
        <v>2017-2849</v>
      </c>
      <c r="C1409" s="2" t="s">
        <v>921</v>
      </c>
      <c r="D1409" s="1" t="s">
        <v>922</v>
      </c>
      <c r="E1409" s="3" t="str">
        <f>""</f>
        <v/>
      </c>
      <c r="F1409" s="2" t="s">
        <v>27</v>
      </c>
      <c r="G1409" s="2" t="str">
        <f>CONCATENATE("BOLČEVIĆ-GRADNJA D.O.O.,"," DUGOSELSKA CESTA 56,"," 10361 SESVETSKI KRALJEVEC,"," OIB: 520986705")</f>
        <v>BOLČEVIĆ-GRADNJA D.O.O., DUGOSELSKA CESTA 56, 10361 SESVETSKI KRALJEVEC, OIB: 520986705</v>
      </c>
      <c r="H1409" s="4"/>
      <c r="I1409" s="1" t="s">
        <v>498</v>
      </c>
      <c r="J1409" s="1" t="s">
        <v>492</v>
      </c>
      <c r="K1409" s="6" t="str">
        <f>"51.243,80"</f>
        <v>51.243,80</v>
      </c>
      <c r="L1409" s="6" t="str">
        <f>"12.463,99"</f>
        <v>12.463,99</v>
      </c>
      <c r="M1409" s="6" t="str">
        <f>"62.319,94"</f>
        <v>62.319,94</v>
      </c>
      <c r="N1409" s="5">
        <v>43567</v>
      </c>
      <c r="O1409" s="7"/>
      <c r="P1409" s="6" t="str">
        <f>"62.319,94"</f>
        <v>62.319,94</v>
      </c>
      <c r="Q1409" s="7"/>
      <c r="R1409" s="1"/>
      <c r="S1409" s="1" t="str">
        <f>"1-19/NOS-143/17"</f>
        <v>1-19/NOS-143/17</v>
      </c>
      <c r="T1409" s="2" t="s">
        <v>29</v>
      </c>
    </row>
    <row r="1410" spans="1:20" ht="38.25" x14ac:dyDescent="0.25">
      <c r="A1410" s="1">
        <v>1406</v>
      </c>
      <c r="B1410" s="1" t="str">
        <f>"2017-2849"</f>
        <v>2017-2849</v>
      </c>
      <c r="C1410" s="2" t="s">
        <v>921</v>
      </c>
      <c r="D1410" s="1" t="s">
        <v>922</v>
      </c>
      <c r="E1410" s="3" t="str">
        <f>""</f>
        <v/>
      </c>
      <c r="F1410" s="2" t="s">
        <v>27</v>
      </c>
      <c r="G1410" s="2" t="str">
        <f>CONCATENATE("BOLČEVIĆ-GRADNJA D.O.O.,"," DUGOSELSKA CESTA 56,"," 10361 SESVETSKI KRALJEVEC,"," OIB: 520986705")</f>
        <v>BOLČEVIĆ-GRADNJA D.O.O., DUGOSELSKA CESTA 56, 10361 SESVETSKI KRALJEVEC, OIB: 520986705</v>
      </c>
      <c r="H1410" s="4"/>
      <c r="I1410" s="1" t="s">
        <v>344</v>
      </c>
      <c r="J1410" s="1" t="s">
        <v>492</v>
      </c>
      <c r="K1410" s="6" t="str">
        <f>"146.062,95"</f>
        <v>146.062,95</v>
      </c>
      <c r="L1410" s="6" t="str">
        <f>"36.164,42"</f>
        <v>36.164,42</v>
      </c>
      <c r="M1410" s="6" t="str">
        <f>"180.822,09"</f>
        <v>180.822,09</v>
      </c>
      <c r="N1410" s="5">
        <v>43573</v>
      </c>
      <c r="O1410" s="7"/>
      <c r="P1410" s="6" t="str">
        <f>"180.822,09"</f>
        <v>180.822,09</v>
      </c>
      <c r="Q1410" s="7"/>
      <c r="R1410" s="1"/>
      <c r="S1410" s="1" t="str">
        <f>"2-19/NOS-143/17"</f>
        <v>2-19/NOS-143/17</v>
      </c>
      <c r="T1410" s="2" t="s">
        <v>29</v>
      </c>
    </row>
    <row r="1411" spans="1:20" ht="51" x14ac:dyDescent="0.25">
      <c r="A1411" s="1">
        <v>1407</v>
      </c>
      <c r="B1411" s="1" t="str">
        <f>"2017-2868"</f>
        <v>2017-2868</v>
      </c>
      <c r="C1411" s="2" t="s">
        <v>923</v>
      </c>
      <c r="D1411" s="1" t="s">
        <v>860</v>
      </c>
      <c r="E1411" s="3" t="str">
        <f>"2017/S 0F2-0027319"</f>
        <v>2017/S 0F2-0027319</v>
      </c>
      <c r="F1411" s="2" t="s">
        <v>23</v>
      </c>
      <c r="G1411" s="2" t="str">
        <f>CONCATENATE("KONČAR - INEM D.D.,"," FALLEROVO ŠETALIŠTE 22,"," 10000 ZAGREB,"," OIB: 18545665005")</f>
        <v>KONČAR - INEM D.D., FALLEROVO ŠETALIŠTE 22, 10000 ZAGREB, OIB: 18545665005</v>
      </c>
      <c r="H1411" s="4"/>
      <c r="I1411" s="1" t="s">
        <v>924</v>
      </c>
      <c r="J1411" s="1" t="s">
        <v>925</v>
      </c>
      <c r="K1411" s="6" t="str">
        <f>"4.000.000,00"</f>
        <v>4.000.000,00</v>
      </c>
      <c r="L1411" s="6" t="str">
        <f>"1.000.000,00"</f>
        <v>1.000.000,00</v>
      </c>
      <c r="M1411" s="6" t="str">
        <f>"5.000.000,00"</f>
        <v>5.000.000,00</v>
      </c>
      <c r="N1411" s="7"/>
      <c r="O1411" s="7"/>
      <c r="P1411" s="6" t="str">
        <f>""</f>
        <v/>
      </c>
      <c r="Q1411" s="7"/>
      <c r="R1411" s="1"/>
      <c r="S1411" s="1" t="str">
        <f>"NOS-144/17"</f>
        <v>NOS-144/17</v>
      </c>
      <c r="T1411" s="2" t="s">
        <v>33</v>
      </c>
    </row>
    <row r="1412" spans="1:20" ht="38.25" x14ac:dyDescent="0.25">
      <c r="A1412" s="1">
        <v>1408</v>
      </c>
      <c r="B1412" s="1" t="str">
        <f t="shared" ref="B1412:B1426" si="137">"2017-2736"</f>
        <v>2017-2736</v>
      </c>
      <c r="C1412" s="2" t="s">
        <v>926</v>
      </c>
      <c r="D1412" s="1" t="s">
        <v>246</v>
      </c>
      <c r="E1412" s="3" t="str">
        <f>"2017/S 0F2-0018085"</f>
        <v>2017/S 0F2-0018085</v>
      </c>
      <c r="F1412" s="2" t="s">
        <v>23</v>
      </c>
      <c r="G1412" s="2" t="str">
        <f>CONCATENATE("USLUGA D.O.O.,"," OIB: 2798710804")</f>
        <v>USLUGA D.O.O., OIB: 2798710804</v>
      </c>
      <c r="H1412" s="4"/>
      <c r="I1412" s="1" t="s">
        <v>907</v>
      </c>
      <c r="J1412" s="1" t="s">
        <v>908</v>
      </c>
      <c r="K1412" s="6" t="str">
        <f>"10.000.000,00"</f>
        <v>10.000.000,00</v>
      </c>
      <c r="L1412" s="6" t="str">
        <f>"2.500.000,00"</f>
        <v>2.500.000,00</v>
      </c>
      <c r="M1412" s="6" t="str">
        <f>"12.500.000,00"</f>
        <v>12.500.000,00</v>
      </c>
      <c r="N1412" s="7"/>
      <c r="O1412" s="7"/>
      <c r="P1412" s="6" t="str">
        <f>""</f>
        <v/>
      </c>
      <c r="Q1412" s="7"/>
      <c r="R1412" s="1"/>
      <c r="S1412" s="1" t="str">
        <f>"NOS-145-A/17"</f>
        <v>NOS-145-A/17</v>
      </c>
      <c r="T1412" s="2" t="s">
        <v>33</v>
      </c>
    </row>
    <row r="1413" spans="1:20" ht="25.5" x14ac:dyDescent="0.25">
      <c r="A1413" s="1">
        <v>1409</v>
      </c>
      <c r="B1413" s="1" t="str">
        <f t="shared" si="137"/>
        <v>2017-2736</v>
      </c>
      <c r="C1413" s="2" t="s">
        <v>926</v>
      </c>
      <c r="D1413" s="1" t="s">
        <v>246</v>
      </c>
      <c r="E1413" s="3" t="str">
        <f>""</f>
        <v/>
      </c>
      <c r="F1413" s="2" t="s">
        <v>27</v>
      </c>
      <c r="G1413" s="2" t="str">
        <f>CONCATENATE("USLUGA D.O.O.,"," OIB: 2798710804")</f>
        <v>USLUGA D.O.O., OIB: 2798710804</v>
      </c>
      <c r="H1413" s="4"/>
      <c r="I1413" s="1" t="s">
        <v>263</v>
      </c>
      <c r="J1413" s="1" t="s">
        <v>64</v>
      </c>
      <c r="K1413" s="6" t="str">
        <f>"992.710,00"</f>
        <v>992.710,00</v>
      </c>
      <c r="L1413" s="6" t="str">
        <f>"248.177,50"</f>
        <v>248.177,50</v>
      </c>
      <c r="M1413" s="6" t="str">
        <f>"1.240.887,50"</f>
        <v>1.240.887,50</v>
      </c>
      <c r="N1413" s="5">
        <v>43657</v>
      </c>
      <c r="O1413" s="7"/>
      <c r="P1413" s="6" t="str">
        <f>"1.084.250,50"</f>
        <v>1.084.250,50</v>
      </c>
      <c r="Q1413" s="7"/>
      <c r="R1413" s="1"/>
      <c r="S1413" s="1" t="str">
        <f>"10-18/NOS-145-A/17"</f>
        <v>10-18/NOS-145-A/17</v>
      </c>
      <c r="T1413" s="2" t="s">
        <v>33</v>
      </c>
    </row>
    <row r="1414" spans="1:20" ht="38.25" x14ac:dyDescent="0.25">
      <c r="A1414" s="1">
        <v>1410</v>
      </c>
      <c r="B1414" s="1" t="str">
        <f t="shared" si="137"/>
        <v>2017-2736</v>
      </c>
      <c r="C1414" s="2" t="s">
        <v>926</v>
      </c>
      <c r="D1414" s="1" t="s">
        <v>246</v>
      </c>
      <c r="E1414" s="3" t="str">
        <f>"2017/S 0F2-0018085"</f>
        <v>2017/S 0F2-0018085</v>
      </c>
      <c r="F1414" s="2" t="s">
        <v>23</v>
      </c>
      <c r="G1414" s="2" t="str">
        <f>CONCATENATE("DILJEXPORT D.O.O.,"," ZLATKA ŠULENTIĆA 9,"," 10000 ZAGREB,"," OIB: 00089952586")</f>
        <v>DILJEXPORT D.O.O., ZLATKA ŠULENTIĆA 9, 10000 ZAGREB, OIB: 00089952586</v>
      </c>
      <c r="H1414" s="4"/>
      <c r="I1414" s="1" t="s">
        <v>919</v>
      </c>
      <c r="J1414" s="1" t="s">
        <v>920</v>
      </c>
      <c r="K1414" s="6" t="str">
        <f>"7.000.000,00"</f>
        <v>7.000.000,00</v>
      </c>
      <c r="L1414" s="6" t="str">
        <f>"1.750.000,00"</f>
        <v>1.750.000,00</v>
      </c>
      <c r="M1414" s="6" t="str">
        <f>"8.750.000,00"</f>
        <v>8.750.000,00</v>
      </c>
      <c r="N1414" s="7"/>
      <c r="O1414" s="7"/>
      <c r="P1414" s="6" t="str">
        <f>""</f>
        <v/>
      </c>
      <c r="Q1414" s="7"/>
      <c r="R1414" s="1"/>
      <c r="S1414" s="1" t="str">
        <f>"NOS-145-B/17"</f>
        <v>NOS-145-B/17</v>
      </c>
      <c r="T1414" s="2" t="s">
        <v>33</v>
      </c>
    </row>
    <row r="1415" spans="1:20" ht="38.25" x14ac:dyDescent="0.25">
      <c r="A1415" s="1">
        <v>1411</v>
      </c>
      <c r="B1415" s="1" t="str">
        <f t="shared" si="137"/>
        <v>2017-2736</v>
      </c>
      <c r="C1415" s="2" t="s">
        <v>926</v>
      </c>
      <c r="D1415" s="1" t="s">
        <v>246</v>
      </c>
      <c r="E1415" s="3" t="str">
        <f>"2017/S 0F2-0018085"</f>
        <v>2017/S 0F2-0018085</v>
      </c>
      <c r="F1415" s="2" t="s">
        <v>23</v>
      </c>
      <c r="G1415" s="2" t="str">
        <f>CONCATENATE("REGOČ D.O.O.,"," DANKOVEČKA 1,"," 10 000 ZAGREB,"," OIB: 614272332")</f>
        <v>REGOČ D.O.O., DANKOVEČKA 1, 10 000 ZAGREB, OIB: 614272332</v>
      </c>
      <c r="H1415" s="4"/>
      <c r="I1415" s="1" t="s">
        <v>927</v>
      </c>
      <c r="J1415" s="1" t="s">
        <v>928</v>
      </c>
      <c r="K1415" s="6" t="str">
        <f>"7.000.000,00"</f>
        <v>7.000.000,00</v>
      </c>
      <c r="L1415" s="6" t="str">
        <f>"1.750.000,00"</f>
        <v>1.750.000,00</v>
      </c>
      <c r="M1415" s="6" t="str">
        <f>"8.750.000,00"</f>
        <v>8.750.000,00</v>
      </c>
      <c r="N1415" s="7"/>
      <c r="O1415" s="7"/>
      <c r="P1415" s="6" t="str">
        <f>""</f>
        <v/>
      </c>
      <c r="Q1415" s="7"/>
      <c r="R1415" s="1"/>
      <c r="S1415" s="1" t="str">
        <f>"NOS-145-C/17"</f>
        <v>NOS-145-C/17</v>
      </c>
      <c r="T1415" s="2" t="s">
        <v>33</v>
      </c>
    </row>
    <row r="1416" spans="1:20" ht="25.5" x14ac:dyDescent="0.25">
      <c r="A1416" s="1">
        <v>1412</v>
      </c>
      <c r="B1416" s="1" t="str">
        <f t="shared" si="137"/>
        <v>2017-2736</v>
      </c>
      <c r="C1416" s="2" t="s">
        <v>926</v>
      </c>
      <c r="D1416" s="1" t="s">
        <v>246</v>
      </c>
      <c r="E1416" s="3" t="str">
        <f>""</f>
        <v/>
      </c>
      <c r="F1416" s="2" t="s">
        <v>27</v>
      </c>
      <c r="G1416" s="2" t="str">
        <f>CONCATENATE("REGOČ D.O.O.,"," DANKOVEČKA 1,"," 10 000 ZAGREB,"," OIB: 614272332")</f>
        <v>REGOČ D.O.O., DANKOVEČKA 1, 10 000 ZAGREB, OIB: 614272332</v>
      </c>
      <c r="H1416" s="4"/>
      <c r="I1416" s="1" t="s">
        <v>499</v>
      </c>
      <c r="J1416" s="1" t="s">
        <v>436</v>
      </c>
      <c r="K1416" s="6" t="str">
        <f>"970.163,25"</f>
        <v>970.163,25</v>
      </c>
      <c r="L1416" s="6" t="str">
        <f>"242.540,81"</f>
        <v>242.540,81</v>
      </c>
      <c r="M1416" s="6" t="str">
        <f>"1.212.704,06"</f>
        <v>1.212.704,06</v>
      </c>
      <c r="N1416" s="5">
        <v>43644</v>
      </c>
      <c r="O1416" s="7"/>
      <c r="P1416" s="6" t="str">
        <f>"1.212.704,06"</f>
        <v>1.212.704,06</v>
      </c>
      <c r="Q1416" s="7"/>
      <c r="R1416" s="1"/>
      <c r="S1416" s="1" t="str">
        <f>"1-19/NOS-145-C/17"</f>
        <v>1-19/NOS-145-C/17</v>
      </c>
      <c r="T1416" s="2" t="s">
        <v>33</v>
      </c>
    </row>
    <row r="1417" spans="1:20" ht="25.5" x14ac:dyDescent="0.25">
      <c r="A1417" s="1">
        <v>1413</v>
      </c>
      <c r="B1417" s="1" t="str">
        <f t="shared" si="137"/>
        <v>2017-2736</v>
      </c>
      <c r="C1417" s="2" t="s">
        <v>926</v>
      </c>
      <c r="D1417" s="1" t="s">
        <v>246</v>
      </c>
      <c r="E1417" s="3" t="str">
        <f>""</f>
        <v/>
      </c>
      <c r="F1417" s="2" t="s">
        <v>27</v>
      </c>
      <c r="G1417" s="2" t="str">
        <f>CONCATENATE("REGOČ D.O.O.,"," DANKOVEČKA 1,"," 10 000 ZAGREB,"," OIB: 614272332")</f>
        <v>REGOČ D.O.O., DANKOVEČKA 1, 10 000 ZAGREB, OIB: 614272332</v>
      </c>
      <c r="H1417" s="4"/>
      <c r="I1417" s="1" t="s">
        <v>929</v>
      </c>
      <c r="J1417" s="1" t="s">
        <v>140</v>
      </c>
      <c r="K1417" s="6" t="str">
        <f>"237.498,80"</f>
        <v>237.498,80</v>
      </c>
      <c r="L1417" s="6" t="str">
        <f>"59.374,70"</f>
        <v>59.374,70</v>
      </c>
      <c r="M1417" s="6" t="str">
        <f>"296.873,50"</f>
        <v>296.873,50</v>
      </c>
      <c r="N1417" s="5">
        <v>43515</v>
      </c>
      <c r="O1417" s="7"/>
      <c r="P1417" s="6" t="str">
        <f>"326.466,42"</f>
        <v>326.466,42</v>
      </c>
      <c r="Q1417" s="7"/>
      <c r="R1417" s="1"/>
      <c r="S1417" s="1" t="str">
        <f>"7-18/NOS-145-C/17"</f>
        <v>7-18/NOS-145-C/17</v>
      </c>
      <c r="T1417" s="2" t="s">
        <v>33</v>
      </c>
    </row>
    <row r="1418" spans="1:20" ht="25.5" x14ac:dyDescent="0.25">
      <c r="A1418" s="1">
        <v>1414</v>
      </c>
      <c r="B1418" s="1" t="str">
        <f t="shared" si="137"/>
        <v>2017-2736</v>
      </c>
      <c r="C1418" s="2" t="s">
        <v>926</v>
      </c>
      <c r="D1418" s="1" t="s">
        <v>246</v>
      </c>
      <c r="E1418" s="3" t="str">
        <f>""</f>
        <v/>
      </c>
      <c r="F1418" s="2" t="s">
        <v>27</v>
      </c>
      <c r="G1418" s="2" t="str">
        <f>CONCATENATE("REGOČ D.O.O.,"," DANKOVEČKA 1,"," 10 000 ZAGREB,"," OIB: 614272332")</f>
        <v>REGOČ D.O.O., DANKOVEČKA 1, 10 000 ZAGREB, OIB: 614272332</v>
      </c>
      <c r="H1418" s="4"/>
      <c r="I1418" s="1" t="s">
        <v>361</v>
      </c>
      <c r="J1418" s="1" t="s">
        <v>73</v>
      </c>
      <c r="K1418" s="6" t="str">
        <f>"770.907,59"</f>
        <v>770.907,59</v>
      </c>
      <c r="L1418" s="6" t="str">
        <f>"192.726,90"</f>
        <v>192.726,90</v>
      </c>
      <c r="M1418" s="6" t="str">
        <f>"963.634,49"</f>
        <v>963.634,49</v>
      </c>
      <c r="N1418" s="5">
        <v>43718</v>
      </c>
      <c r="O1418" s="7"/>
      <c r="P1418" s="6" t="str">
        <f>"901.244,75"</f>
        <v>901.244,75</v>
      </c>
      <c r="Q1418" s="7"/>
      <c r="R1418" s="1"/>
      <c r="S1418" s="1" t="str">
        <f>"2-19/NOS-145-C/17"</f>
        <v>2-19/NOS-145-C/17</v>
      </c>
      <c r="T1418" s="2" t="s">
        <v>33</v>
      </c>
    </row>
    <row r="1419" spans="1:20" ht="38.25" x14ac:dyDescent="0.25">
      <c r="A1419" s="1">
        <v>1415</v>
      </c>
      <c r="B1419" s="1" t="str">
        <f t="shared" si="137"/>
        <v>2017-2736</v>
      </c>
      <c r="C1419" s="2" t="s">
        <v>926</v>
      </c>
      <c r="D1419" s="1" t="s">
        <v>246</v>
      </c>
      <c r="E1419" s="3" t="str">
        <f>"2017/S 0F2-0018085"</f>
        <v>2017/S 0F2-0018085</v>
      </c>
      <c r="F1419" s="2" t="s">
        <v>23</v>
      </c>
      <c r="G1419" s="2" t="str">
        <f t="shared" ref="G1419:G1426" si="138">CONCATENATE("REDOX D.O.O.,"," LANIŠTE 24,"," 10000 ZAGREB,"," OIB: 36138701442")</f>
        <v>REDOX D.O.O., LANIŠTE 24, 10000 ZAGREB, OIB: 36138701442</v>
      </c>
      <c r="H1419" s="4"/>
      <c r="I1419" s="1" t="s">
        <v>927</v>
      </c>
      <c r="J1419" s="1" t="s">
        <v>928</v>
      </c>
      <c r="K1419" s="6" t="str">
        <f>"5.000.000,00"</f>
        <v>5.000.000,00</v>
      </c>
      <c r="L1419" s="6" t="str">
        <f>"1.250.000,00"</f>
        <v>1.250.000,00</v>
      </c>
      <c r="M1419" s="6" t="str">
        <f>"6.250.000,00"</f>
        <v>6.250.000,00</v>
      </c>
      <c r="N1419" s="7"/>
      <c r="O1419" s="7"/>
      <c r="P1419" s="6" t="str">
        <f>""</f>
        <v/>
      </c>
      <c r="Q1419" s="7"/>
      <c r="R1419" s="1"/>
      <c r="S1419" s="1" t="str">
        <f>"NOS-145-D/17"</f>
        <v>NOS-145-D/17</v>
      </c>
      <c r="T1419" s="2" t="s">
        <v>33</v>
      </c>
    </row>
    <row r="1420" spans="1:20" ht="25.5" x14ac:dyDescent="0.25">
      <c r="A1420" s="1">
        <v>1416</v>
      </c>
      <c r="B1420" s="1" t="str">
        <f t="shared" si="137"/>
        <v>2017-2736</v>
      </c>
      <c r="C1420" s="2" t="s">
        <v>926</v>
      </c>
      <c r="D1420" s="1" t="s">
        <v>246</v>
      </c>
      <c r="E1420" s="3" t="str">
        <f>""</f>
        <v/>
      </c>
      <c r="F1420" s="2" t="s">
        <v>27</v>
      </c>
      <c r="G1420" s="2" t="str">
        <f t="shared" si="138"/>
        <v>REDOX D.O.O., LANIŠTE 24, 10000 ZAGREB, OIB: 36138701442</v>
      </c>
      <c r="H1420" s="4"/>
      <c r="I1420" s="1" t="s">
        <v>218</v>
      </c>
      <c r="J1420" s="1" t="s">
        <v>436</v>
      </c>
      <c r="K1420" s="6" t="str">
        <f>"7.091,00"</f>
        <v>7.091,00</v>
      </c>
      <c r="L1420" s="6" t="str">
        <f>"1.772,75"</f>
        <v>1.772,75</v>
      </c>
      <c r="M1420" s="6" t="str">
        <f>"8.863,75"</f>
        <v>8.863,75</v>
      </c>
      <c r="N1420" s="5">
        <v>43495</v>
      </c>
      <c r="O1420" s="7"/>
      <c r="P1420" s="6" t="str">
        <f>"8.863,75"</f>
        <v>8.863,75</v>
      </c>
      <c r="Q1420" s="7"/>
      <c r="R1420" s="1"/>
      <c r="S1420" s="1" t="str">
        <f>"5-18/NOS-145-D/17"</f>
        <v>5-18/NOS-145-D/17</v>
      </c>
      <c r="T1420" s="2" t="s">
        <v>33</v>
      </c>
    </row>
    <row r="1421" spans="1:20" ht="25.5" x14ac:dyDescent="0.25">
      <c r="A1421" s="1">
        <v>1417</v>
      </c>
      <c r="B1421" s="1" t="str">
        <f t="shared" si="137"/>
        <v>2017-2736</v>
      </c>
      <c r="C1421" s="2" t="s">
        <v>926</v>
      </c>
      <c r="D1421" s="1" t="s">
        <v>246</v>
      </c>
      <c r="E1421" s="3" t="str">
        <f>""</f>
        <v/>
      </c>
      <c r="F1421" s="2" t="s">
        <v>27</v>
      </c>
      <c r="G1421" s="2" t="str">
        <f t="shared" si="138"/>
        <v>REDOX D.O.O., LANIŠTE 24, 10000 ZAGREB, OIB: 36138701442</v>
      </c>
      <c r="H1421" s="4"/>
      <c r="I1421" s="1" t="s">
        <v>248</v>
      </c>
      <c r="J1421" s="1" t="s">
        <v>436</v>
      </c>
      <c r="K1421" s="6" t="str">
        <f>"5.645,50"</f>
        <v>5.645,50</v>
      </c>
      <c r="L1421" s="6" t="str">
        <f>"1.411,38"</f>
        <v>1.411,38</v>
      </c>
      <c r="M1421" s="6" t="str">
        <f>"7.056,88"</f>
        <v>7.056,88</v>
      </c>
      <c r="N1421" s="5">
        <v>43541</v>
      </c>
      <c r="O1421" s="7"/>
      <c r="P1421" s="6" t="str">
        <f>"7.056,88"</f>
        <v>7.056,88</v>
      </c>
      <c r="Q1421" s="7"/>
      <c r="R1421" s="1"/>
      <c r="S1421" s="1" t="str">
        <f>"1-19/NOS-145-D/17"</f>
        <v>1-19/NOS-145-D/17</v>
      </c>
      <c r="T1421" s="2" t="s">
        <v>33</v>
      </c>
    </row>
    <row r="1422" spans="1:20" ht="25.5" x14ac:dyDescent="0.25">
      <c r="A1422" s="1">
        <v>1418</v>
      </c>
      <c r="B1422" s="1" t="str">
        <f t="shared" si="137"/>
        <v>2017-2736</v>
      </c>
      <c r="C1422" s="2" t="s">
        <v>926</v>
      </c>
      <c r="D1422" s="1" t="s">
        <v>246</v>
      </c>
      <c r="E1422" s="3" t="str">
        <f>""</f>
        <v/>
      </c>
      <c r="F1422" s="2" t="s">
        <v>27</v>
      </c>
      <c r="G1422" s="2" t="str">
        <f t="shared" si="138"/>
        <v>REDOX D.O.O., LANIŠTE 24, 10000 ZAGREB, OIB: 36138701442</v>
      </c>
      <c r="H1422" s="4"/>
      <c r="I1422" s="1" t="s">
        <v>566</v>
      </c>
      <c r="J1422" s="1" t="s">
        <v>436</v>
      </c>
      <c r="K1422" s="6" t="str">
        <f>"14.336,50"</f>
        <v>14.336,50</v>
      </c>
      <c r="L1422" s="6" t="str">
        <f>"3.334,00"</f>
        <v>3.334,00</v>
      </c>
      <c r="M1422" s="6" t="str">
        <f>"16.670,00"</f>
        <v>16.670,00</v>
      </c>
      <c r="N1422" s="5">
        <v>43585</v>
      </c>
      <c r="O1422" s="7"/>
      <c r="P1422" s="6" t="str">
        <f>"16.670,00"</f>
        <v>16.670,00</v>
      </c>
      <c r="Q1422" s="7"/>
      <c r="R1422" s="1"/>
      <c r="S1422" s="1" t="str">
        <f>"2-19/NOS-145-D/17"</f>
        <v>2-19/NOS-145-D/17</v>
      </c>
      <c r="T1422" s="2" t="s">
        <v>33</v>
      </c>
    </row>
    <row r="1423" spans="1:20" ht="25.5" x14ac:dyDescent="0.25">
      <c r="A1423" s="1">
        <v>1419</v>
      </c>
      <c r="B1423" s="1" t="str">
        <f t="shared" si="137"/>
        <v>2017-2736</v>
      </c>
      <c r="C1423" s="2" t="s">
        <v>926</v>
      </c>
      <c r="D1423" s="1" t="s">
        <v>246</v>
      </c>
      <c r="E1423" s="3" t="str">
        <f>""</f>
        <v/>
      </c>
      <c r="F1423" s="2" t="s">
        <v>27</v>
      </c>
      <c r="G1423" s="2" t="str">
        <f t="shared" si="138"/>
        <v>REDOX D.O.O., LANIŠTE 24, 10000 ZAGREB, OIB: 36138701442</v>
      </c>
      <c r="H1423" s="4"/>
      <c r="I1423" s="1" t="s">
        <v>455</v>
      </c>
      <c r="J1423" s="1" t="s">
        <v>436</v>
      </c>
      <c r="K1423" s="6" t="str">
        <f>"120.729,00"</f>
        <v>120.729,00</v>
      </c>
      <c r="L1423" s="6" t="str">
        <f>"30.182,25"</f>
        <v>30.182,25</v>
      </c>
      <c r="M1423" s="6" t="str">
        <f>"150.911,25"</f>
        <v>150.911,25</v>
      </c>
      <c r="N1423" s="5">
        <v>43643</v>
      </c>
      <c r="O1423" s="7"/>
      <c r="P1423" s="6" t="str">
        <f>"150.911,25"</f>
        <v>150.911,25</v>
      </c>
      <c r="Q1423" s="7"/>
      <c r="R1423" s="1"/>
      <c r="S1423" s="1" t="str">
        <f>"3-19/NOS-145-D/17"</f>
        <v>3-19/NOS-145-D/17</v>
      </c>
      <c r="T1423" s="2" t="s">
        <v>33</v>
      </c>
    </row>
    <row r="1424" spans="1:20" ht="25.5" x14ac:dyDescent="0.25">
      <c r="A1424" s="1">
        <v>1420</v>
      </c>
      <c r="B1424" s="1" t="str">
        <f t="shared" si="137"/>
        <v>2017-2736</v>
      </c>
      <c r="C1424" s="2" t="s">
        <v>926</v>
      </c>
      <c r="D1424" s="1" t="s">
        <v>246</v>
      </c>
      <c r="E1424" s="3" t="str">
        <f>""</f>
        <v/>
      </c>
      <c r="F1424" s="2" t="s">
        <v>27</v>
      </c>
      <c r="G1424" s="2" t="str">
        <f t="shared" si="138"/>
        <v>REDOX D.O.O., LANIŠTE 24, 10000 ZAGREB, OIB: 36138701442</v>
      </c>
      <c r="H1424" s="4"/>
      <c r="I1424" s="1" t="s">
        <v>637</v>
      </c>
      <c r="J1424" s="1" t="s">
        <v>436</v>
      </c>
      <c r="K1424" s="6" t="str">
        <f>"96.941,00"</f>
        <v>96.941,00</v>
      </c>
      <c r="L1424" s="6" t="str">
        <f>"24.235,25"</f>
        <v>24.235,25</v>
      </c>
      <c r="M1424" s="6" t="str">
        <f>"121.176,25"</f>
        <v>121.176,25</v>
      </c>
      <c r="N1424" s="5">
        <v>43612</v>
      </c>
      <c r="O1424" s="7"/>
      <c r="P1424" s="6" t="str">
        <f>"121.176,25"</f>
        <v>121.176,25</v>
      </c>
      <c r="Q1424" s="7"/>
      <c r="R1424" s="1"/>
      <c r="S1424" s="1" t="str">
        <f>"4-19/NOS-145-D/17"</f>
        <v>4-19/NOS-145-D/17</v>
      </c>
      <c r="T1424" s="2" t="s">
        <v>33</v>
      </c>
    </row>
    <row r="1425" spans="1:20" ht="25.5" x14ac:dyDescent="0.25">
      <c r="A1425" s="1">
        <v>1421</v>
      </c>
      <c r="B1425" s="1" t="str">
        <f t="shared" si="137"/>
        <v>2017-2736</v>
      </c>
      <c r="C1425" s="2" t="s">
        <v>926</v>
      </c>
      <c r="D1425" s="1" t="s">
        <v>246</v>
      </c>
      <c r="E1425" s="3" t="str">
        <f>""</f>
        <v/>
      </c>
      <c r="F1425" s="2" t="s">
        <v>27</v>
      </c>
      <c r="G1425" s="2" t="str">
        <f t="shared" si="138"/>
        <v>REDOX D.O.O., LANIŠTE 24, 10000 ZAGREB, OIB: 36138701442</v>
      </c>
      <c r="H1425" s="4"/>
      <c r="I1425" s="1" t="s">
        <v>162</v>
      </c>
      <c r="J1425" s="1" t="s">
        <v>457</v>
      </c>
      <c r="K1425" s="6" t="str">
        <f>"68.110,00"</f>
        <v>68.110,00</v>
      </c>
      <c r="L1425" s="6" t="str">
        <f>"17.027,50"</f>
        <v>17.027,50</v>
      </c>
      <c r="M1425" s="6" t="str">
        <f>"85.137,50"</f>
        <v>85.137,50</v>
      </c>
      <c r="N1425" s="1" t="s">
        <v>117</v>
      </c>
      <c r="O1425" s="7"/>
      <c r="P1425" s="6" t="str">
        <f>""</f>
        <v/>
      </c>
      <c r="Q1425" s="7"/>
      <c r="R1425" s="1"/>
      <c r="S1425" s="1" t="str">
        <f>"5-19/NOS-145-D/17"</f>
        <v>5-19/NOS-145-D/17</v>
      </c>
      <c r="T1425" s="2" t="s">
        <v>33</v>
      </c>
    </row>
    <row r="1426" spans="1:20" ht="25.5" x14ac:dyDescent="0.25">
      <c r="A1426" s="1">
        <v>1422</v>
      </c>
      <c r="B1426" s="1" t="str">
        <f t="shared" si="137"/>
        <v>2017-2736</v>
      </c>
      <c r="C1426" s="2" t="s">
        <v>926</v>
      </c>
      <c r="D1426" s="1" t="s">
        <v>246</v>
      </c>
      <c r="E1426" s="3" t="str">
        <f>""</f>
        <v/>
      </c>
      <c r="F1426" s="2" t="s">
        <v>27</v>
      </c>
      <c r="G1426" s="2" t="str">
        <f t="shared" si="138"/>
        <v>REDOX D.O.O., LANIŠTE 24, 10000 ZAGREB, OIB: 36138701442</v>
      </c>
      <c r="H1426" s="4"/>
      <c r="I1426" s="1" t="s">
        <v>930</v>
      </c>
      <c r="J1426" s="1" t="s">
        <v>114</v>
      </c>
      <c r="K1426" s="6" t="str">
        <f>"5.635,00"</f>
        <v>5.635,00</v>
      </c>
      <c r="L1426" s="6" t="str">
        <f>"1.408,75"</f>
        <v>1.408,75</v>
      </c>
      <c r="M1426" s="6" t="str">
        <f>"7.043,75"</f>
        <v>7.043,75</v>
      </c>
      <c r="N1426" s="5">
        <v>43669</v>
      </c>
      <c r="O1426" s="7"/>
      <c r="P1426" s="6" t="str">
        <f>"7.043,75"</f>
        <v>7.043,75</v>
      </c>
      <c r="Q1426" s="7"/>
      <c r="R1426" s="1"/>
      <c r="S1426" s="1" t="str">
        <f>"6-19/NOS-145-D/17"</f>
        <v>6-19/NOS-145-D/17</v>
      </c>
      <c r="T1426" s="2" t="s">
        <v>33</v>
      </c>
    </row>
    <row r="1427" spans="1:20" ht="76.5" x14ac:dyDescent="0.25">
      <c r="A1427" s="1">
        <v>1423</v>
      </c>
      <c r="B1427" s="1" t="str">
        <f>"2017-2904"</f>
        <v>2017-2904</v>
      </c>
      <c r="C1427" s="2" t="s">
        <v>931</v>
      </c>
      <c r="D1427" s="1" t="s">
        <v>483</v>
      </c>
      <c r="E1427" s="3" t="str">
        <f>"2017/S 0F2-0025015"</f>
        <v>2017/S 0F2-0025015</v>
      </c>
      <c r="F1427" s="2" t="s">
        <v>23</v>
      </c>
      <c r="G1427" s="2" t="str">
        <f>CONCATENATE("GRADATIN D.O.O.,"," LIVADARSKI PUT 19,"," 10360 SESVETE,"," OIB: 79147056526",CHAR(10),"INDUSTROOPREMA D.O.O.,"," CMP OBRTNIČKA 1,"," 10000 ZAGREB,"," OIB: 01291306683",CHAR(10),"VODOSKOK D.D.,"," ČULINEČKA CESTA 221/C,"," 10040 ZAGREB,"," OIB: 34134218058")</f>
        <v>GRADATIN D.O.O., LIVADARSKI PUT 19, 10360 SESVETE, OIB: 79147056526
INDUSTROOPREMA D.O.O., CMP OBRTNIČKA 1, 10000 ZAGREB, OIB: 01291306683
VODOSKOK D.D., ČULINEČKA CESTA 221/C, 10040 ZAGREB, OIB: 34134218058</v>
      </c>
      <c r="H1427" s="4"/>
      <c r="I1427" s="1" t="s">
        <v>801</v>
      </c>
      <c r="J1427" s="1" t="s">
        <v>932</v>
      </c>
      <c r="K1427" s="6" t="str">
        <f>"40.000.000,00"</f>
        <v>40.000.000,00</v>
      </c>
      <c r="L1427" s="6" t="str">
        <f>"10.000.000,00"</f>
        <v>10.000.000,00</v>
      </c>
      <c r="M1427" s="6" t="str">
        <f>"50.000.000,00"</f>
        <v>50.000.000,00</v>
      </c>
      <c r="N1427" s="7"/>
      <c r="O1427" s="7"/>
      <c r="P1427" s="6" t="str">
        <f>""</f>
        <v/>
      </c>
      <c r="Q1427" s="7"/>
      <c r="R1427" s="1"/>
      <c r="S1427" s="1" t="str">
        <f>"NOS-146/17"</f>
        <v>NOS-146/17</v>
      </c>
      <c r="T1427" s="2" t="s">
        <v>33</v>
      </c>
    </row>
    <row r="1428" spans="1:20" ht="25.5" x14ac:dyDescent="0.25">
      <c r="A1428" s="1">
        <v>1424</v>
      </c>
      <c r="B1428" s="1" t="str">
        <f>"2017-2904"</f>
        <v>2017-2904</v>
      </c>
      <c r="C1428" s="2" t="s">
        <v>931</v>
      </c>
      <c r="D1428" s="4"/>
      <c r="E1428" s="3" t="str">
        <f>""</f>
        <v/>
      </c>
      <c r="F1428" s="2" t="s">
        <v>27</v>
      </c>
      <c r="G1428" s="2" t="str">
        <f>CONCATENATE("GRADATIN D.O.O.,"," LIVADARSKI PUT 19,"," 10360 SESVETE,"," OIB: 79147056526")</f>
        <v>GRADATIN D.O.O., LIVADARSKI PUT 19, 10360 SESVETE, OIB: 79147056526</v>
      </c>
      <c r="H1428" s="4"/>
      <c r="I1428" s="1" t="s">
        <v>102</v>
      </c>
      <c r="J1428" s="1" t="s">
        <v>933</v>
      </c>
      <c r="K1428" s="6" t="str">
        <f>"6.420.000,00"</f>
        <v>6.420.000,00</v>
      </c>
      <c r="L1428" s="6" t="str">
        <f>"1.605.000,00"</f>
        <v>1.605.000,00</v>
      </c>
      <c r="M1428" s="6" t="str">
        <f>"8.025.000,00"</f>
        <v>8.025.000,00</v>
      </c>
      <c r="N1428" s="5">
        <v>43678</v>
      </c>
      <c r="O1428" s="7"/>
      <c r="P1428" s="6" t="str">
        <f>""</f>
        <v/>
      </c>
      <c r="Q1428" s="7"/>
      <c r="R1428" s="1"/>
      <c r="S1428" s="1" t="str">
        <f>"1-18/NOS-146/17"</f>
        <v>1-18/NOS-146/17</v>
      </c>
      <c r="T1428" s="2" t="s">
        <v>33</v>
      </c>
    </row>
    <row r="1429" spans="1:20" ht="25.5" x14ac:dyDescent="0.25">
      <c r="A1429" s="1">
        <v>1425</v>
      </c>
      <c r="B1429" s="1" t="str">
        <f>"2017-2904"</f>
        <v>2017-2904</v>
      </c>
      <c r="C1429" s="2" t="s">
        <v>931</v>
      </c>
      <c r="D1429" s="4"/>
      <c r="E1429" s="3" t="str">
        <f>""</f>
        <v/>
      </c>
      <c r="F1429" s="2" t="s">
        <v>27</v>
      </c>
      <c r="G1429" s="2" t="str">
        <f>CONCATENATE("VODOSKOK D.D.,"," ČULINEČKA CESTA 221/C,"," 10040 ZAGREB,"," OIB: 34134218058")</f>
        <v>VODOSKOK D.D., ČULINEČKA CESTA 221/C, 10040 ZAGREB, OIB: 34134218058</v>
      </c>
      <c r="H1429" s="4"/>
      <c r="I1429" s="1" t="s">
        <v>670</v>
      </c>
      <c r="J1429" s="1" t="s">
        <v>45</v>
      </c>
      <c r="K1429" s="6" t="str">
        <f>"3.493.500,00"</f>
        <v>3.493.500,00</v>
      </c>
      <c r="L1429" s="6" t="str">
        <f>"873.375,00"</f>
        <v>873.375,00</v>
      </c>
      <c r="M1429" s="6" t="str">
        <f>"4.366.875,00"</f>
        <v>4.366.875,00</v>
      </c>
      <c r="N1429" s="5">
        <v>43696</v>
      </c>
      <c r="O1429" s="7"/>
      <c r="P1429" s="6" t="str">
        <f>"3.504.375,00"</f>
        <v>3.504.375,00</v>
      </c>
      <c r="Q1429" s="7"/>
      <c r="R1429" s="1"/>
      <c r="S1429" s="1" t="str">
        <f>"1-19/NOS-146/17"</f>
        <v>1-19/NOS-146/17</v>
      </c>
      <c r="T1429" s="2" t="s">
        <v>33</v>
      </c>
    </row>
    <row r="1430" spans="1:20" ht="38.25" x14ac:dyDescent="0.25">
      <c r="A1430" s="1">
        <v>1426</v>
      </c>
      <c r="B1430" s="1" t="str">
        <f>"2017-2806"</f>
        <v>2017-2806</v>
      </c>
      <c r="C1430" s="2" t="s">
        <v>934</v>
      </c>
      <c r="D1430" s="1" t="s">
        <v>935</v>
      </c>
      <c r="E1430" s="3" t="str">
        <f>"2018/S F14-0001405"</f>
        <v>2018/S F14-0001405</v>
      </c>
      <c r="F1430" s="2" t="s">
        <v>23</v>
      </c>
      <c r="G1430" s="2" t="str">
        <f>CONCATENATE("T.D.I. 90 D.O.O.,"," PETROVA 2/B,"," 10000 ZAGREB,"," OIB: 26978223128")</f>
        <v>T.D.I. 90 D.O.O., PETROVA 2/B, 10000 ZAGREB, OIB: 26978223128</v>
      </c>
      <c r="H1430" s="4"/>
      <c r="I1430" s="1" t="s">
        <v>907</v>
      </c>
      <c r="J1430" s="1" t="s">
        <v>908</v>
      </c>
      <c r="K1430" s="6" t="str">
        <f>"850.000,00"</f>
        <v>850.000,00</v>
      </c>
      <c r="L1430" s="6" t="str">
        <f>"212.500,00"</f>
        <v>212.500,00</v>
      </c>
      <c r="M1430" s="6" t="str">
        <f>"1.062.500,00"</f>
        <v>1.062.500,00</v>
      </c>
      <c r="N1430" s="7"/>
      <c r="O1430" s="7"/>
      <c r="P1430" s="6" t="str">
        <f>""</f>
        <v/>
      </c>
      <c r="Q1430" s="7"/>
      <c r="R1430" s="1"/>
      <c r="S1430" s="1" t="str">
        <f>"NOS-147/17"</f>
        <v>NOS-147/17</v>
      </c>
      <c r="T1430" s="2" t="s">
        <v>29</v>
      </c>
    </row>
    <row r="1431" spans="1:20" ht="25.5" x14ac:dyDescent="0.25">
      <c r="A1431" s="1">
        <v>1427</v>
      </c>
      <c r="B1431" s="1" t="str">
        <f>"2017-2806"</f>
        <v>2017-2806</v>
      </c>
      <c r="C1431" s="2" t="s">
        <v>934</v>
      </c>
      <c r="D1431" s="1" t="s">
        <v>935</v>
      </c>
      <c r="E1431" s="3" t="str">
        <f>""</f>
        <v/>
      </c>
      <c r="F1431" s="2" t="s">
        <v>27</v>
      </c>
      <c r="G1431" s="2" t="str">
        <f>CONCATENATE("T.D.I. 90 D.O.O.,"," PETROVA 2/B,"," 10000 ZAGREB,"," OIB: 26978223128")</f>
        <v>T.D.I. 90 D.O.O., PETROVA 2/B, 10000 ZAGREB, OIB: 26978223128</v>
      </c>
      <c r="H1431" s="4"/>
      <c r="I1431" s="1" t="s">
        <v>355</v>
      </c>
      <c r="J1431" s="1" t="s">
        <v>121</v>
      </c>
      <c r="K1431" s="6" t="str">
        <f>"211.974,00"</f>
        <v>211.974,00</v>
      </c>
      <c r="L1431" s="6" t="str">
        <f>"26.496,75"</f>
        <v>26.496,75</v>
      </c>
      <c r="M1431" s="6" t="str">
        <f>"132.483,75"</f>
        <v>132.483,75</v>
      </c>
      <c r="N1431" s="5">
        <v>43718</v>
      </c>
      <c r="O1431" s="7"/>
      <c r="P1431" s="6" t="str">
        <f>"132.483,75"</f>
        <v>132.483,75</v>
      </c>
      <c r="Q1431" s="7"/>
      <c r="R1431" s="1"/>
      <c r="S1431" s="1" t="str">
        <f>"1-19/NOS-147/17"</f>
        <v>1-19/NOS-147/17</v>
      </c>
      <c r="T1431" s="2" t="s">
        <v>29</v>
      </c>
    </row>
    <row r="1432" spans="1:20" ht="76.5" x14ac:dyDescent="0.25">
      <c r="A1432" s="1">
        <v>1428</v>
      </c>
      <c r="B1432" s="1" t="str">
        <f t="shared" ref="B1432:B1437" si="139">"2017-444"</f>
        <v>2017-444</v>
      </c>
      <c r="C1432" s="2" t="s">
        <v>936</v>
      </c>
      <c r="D1432" s="1" t="s">
        <v>937</v>
      </c>
      <c r="E1432" s="3" t="str">
        <f>"2017/S 0F2-0027580"</f>
        <v>2017/S 0F2-0027580</v>
      </c>
      <c r="F1432" s="2" t="s">
        <v>23</v>
      </c>
      <c r="G1432" s="2" t="str">
        <f t="shared" ref="G1432:G1437" si="140">CONCATENATE("APIS IT D.O.O.,"," PALJETKOVA 18,"," 10000 ZAGREB,"," OIB: 02994650199")</f>
        <v>APIS IT D.O.O., PALJETKOVA 18, 10000 ZAGREB, OIB: 02994650199</v>
      </c>
      <c r="H1432" s="4"/>
      <c r="I1432" s="1" t="s">
        <v>938</v>
      </c>
      <c r="J1432" s="1" t="s">
        <v>939</v>
      </c>
      <c r="K1432" s="6" t="str">
        <f>"29.100.000,00"</f>
        <v>29.100.000,00</v>
      </c>
      <c r="L1432" s="6" t="str">
        <f>"7.275.000,00"</f>
        <v>7.275.000,00</v>
      </c>
      <c r="M1432" s="6" t="str">
        <f>"36.375.000,00"</f>
        <v>36.375.000,00</v>
      </c>
      <c r="N1432" s="7"/>
      <c r="O1432" s="7"/>
      <c r="P1432" s="6" t="str">
        <f>""</f>
        <v/>
      </c>
      <c r="Q1432" s="7"/>
      <c r="R1432" s="1"/>
      <c r="S1432" s="1" t="str">
        <f>"NOS-148/17"</f>
        <v>NOS-148/17</v>
      </c>
      <c r="T1432" s="2" t="s">
        <v>671</v>
      </c>
    </row>
    <row r="1433" spans="1:20" ht="38.25" x14ac:dyDescent="0.25">
      <c r="A1433" s="1">
        <v>1429</v>
      </c>
      <c r="B1433" s="1" t="str">
        <f t="shared" si="139"/>
        <v>2017-444</v>
      </c>
      <c r="C1433" s="2" t="s">
        <v>936</v>
      </c>
      <c r="D1433" s="1" t="s">
        <v>937</v>
      </c>
      <c r="E1433" s="3" t="str">
        <f>""</f>
        <v/>
      </c>
      <c r="F1433" s="2" t="s">
        <v>27</v>
      </c>
      <c r="G1433" s="2" t="str">
        <f t="shared" si="140"/>
        <v>APIS IT D.O.O., PALJETKOVA 18, 10000 ZAGREB, OIB: 02994650199</v>
      </c>
      <c r="H1433" s="4"/>
      <c r="I1433" s="1" t="s">
        <v>940</v>
      </c>
      <c r="J1433" s="1" t="s">
        <v>71</v>
      </c>
      <c r="K1433" s="6" t="str">
        <f>"6.681.450,00"</f>
        <v>6.681.450,00</v>
      </c>
      <c r="L1433" s="6" t="str">
        <f>"1.670.362,50"</f>
        <v>1.670.362,50</v>
      </c>
      <c r="M1433" s="6" t="str">
        <f>"8.351.812,50"</f>
        <v>8.351.812,50</v>
      </c>
      <c r="N1433" s="5">
        <v>43494</v>
      </c>
      <c r="O1433" s="7"/>
      <c r="P1433" s="6" t="str">
        <f>"2.909.319,91"</f>
        <v>2.909.319,91</v>
      </c>
      <c r="Q1433" s="7"/>
      <c r="R1433" s="1"/>
      <c r="S1433" s="1" t="str">
        <f>"3-18/NOS-148/17"</f>
        <v>3-18/NOS-148/17</v>
      </c>
      <c r="T1433" s="2" t="s">
        <v>65</v>
      </c>
    </row>
    <row r="1434" spans="1:20" ht="25.5" x14ac:dyDescent="0.25">
      <c r="A1434" s="1">
        <v>1430</v>
      </c>
      <c r="B1434" s="1" t="str">
        <f t="shared" si="139"/>
        <v>2017-444</v>
      </c>
      <c r="C1434" s="2" t="s">
        <v>936</v>
      </c>
      <c r="D1434" s="1" t="s">
        <v>937</v>
      </c>
      <c r="E1434" s="3" t="str">
        <f>""</f>
        <v/>
      </c>
      <c r="F1434" s="2" t="s">
        <v>27</v>
      </c>
      <c r="G1434" s="2" t="str">
        <f t="shared" si="140"/>
        <v>APIS IT D.O.O., PALJETKOVA 18, 10000 ZAGREB, OIB: 02994650199</v>
      </c>
      <c r="H1434" s="4"/>
      <c r="I1434" s="1" t="s">
        <v>543</v>
      </c>
      <c r="J1434" s="1" t="s">
        <v>64</v>
      </c>
      <c r="K1434" s="6" t="str">
        <f>"3.383.898,30"</f>
        <v>3.383.898,30</v>
      </c>
      <c r="L1434" s="6" t="str">
        <f>"845.974,58"</f>
        <v>845.974,58</v>
      </c>
      <c r="M1434" s="6" t="str">
        <f>"4.229.872,88"</f>
        <v>4.229.872,88</v>
      </c>
      <c r="N1434" s="5">
        <v>43585</v>
      </c>
      <c r="O1434" s="7"/>
      <c r="P1434" s="6" t="str">
        <f>"3.688.448,71"</f>
        <v>3.688.448,71</v>
      </c>
      <c r="Q1434" s="7"/>
      <c r="R1434" s="1"/>
      <c r="S1434" s="1" t="str">
        <f>"5-18/NOS-148/17"</f>
        <v>5-18/NOS-148/17</v>
      </c>
      <c r="T1434" s="2" t="s">
        <v>33</v>
      </c>
    </row>
    <row r="1435" spans="1:20" ht="38.25" x14ac:dyDescent="0.25">
      <c r="A1435" s="1">
        <v>1431</v>
      </c>
      <c r="B1435" s="1" t="str">
        <f t="shared" si="139"/>
        <v>2017-444</v>
      </c>
      <c r="C1435" s="2" t="s">
        <v>936</v>
      </c>
      <c r="D1435" s="1" t="s">
        <v>937</v>
      </c>
      <c r="E1435" s="3" t="str">
        <f>""</f>
        <v/>
      </c>
      <c r="F1435" s="2" t="s">
        <v>27</v>
      </c>
      <c r="G1435" s="2" t="str">
        <f t="shared" si="140"/>
        <v>APIS IT D.O.O., PALJETKOVA 18, 10000 ZAGREB, OIB: 02994650199</v>
      </c>
      <c r="H1435" s="4"/>
      <c r="I1435" s="1" t="s">
        <v>277</v>
      </c>
      <c r="J1435" s="1" t="s">
        <v>941</v>
      </c>
      <c r="K1435" s="6" t="str">
        <f>"5.918.530,00"</f>
        <v>5.918.530,00</v>
      </c>
      <c r="L1435" s="6" t="str">
        <f>"1.479.632,50"</f>
        <v>1.479.632,50</v>
      </c>
      <c r="M1435" s="6" t="str">
        <f>"7.398.162,50"</f>
        <v>7.398.162,50</v>
      </c>
      <c r="N1435" s="5">
        <v>43677</v>
      </c>
      <c r="O1435" s="7"/>
      <c r="P1435" s="6" t="str">
        <f>"3.049.245,92"</f>
        <v>3.049.245,92</v>
      </c>
      <c r="Q1435" s="7"/>
      <c r="R1435" s="1"/>
      <c r="S1435" s="1" t="str">
        <f>"1-19/NOS-148/17"</f>
        <v>1-19/NOS-148/17</v>
      </c>
      <c r="T1435" s="2" t="s">
        <v>65</v>
      </c>
    </row>
    <row r="1436" spans="1:20" ht="25.5" x14ac:dyDescent="0.25">
      <c r="A1436" s="1">
        <v>1432</v>
      </c>
      <c r="B1436" s="1" t="str">
        <f t="shared" si="139"/>
        <v>2017-444</v>
      </c>
      <c r="C1436" s="2" t="s">
        <v>936</v>
      </c>
      <c r="D1436" s="4"/>
      <c r="E1436" s="3" t="str">
        <f>""</f>
        <v/>
      </c>
      <c r="F1436" s="2" t="s">
        <v>27</v>
      </c>
      <c r="G1436" s="2" t="str">
        <f t="shared" si="140"/>
        <v>APIS IT D.O.O., PALJETKOVA 18, 10000 ZAGREB, OIB: 02994650199</v>
      </c>
      <c r="H1436" s="4"/>
      <c r="I1436" s="1" t="s">
        <v>402</v>
      </c>
      <c r="J1436" s="1" t="s">
        <v>221</v>
      </c>
      <c r="K1436" s="6" t="str">
        <f>"2.586.360,00"</f>
        <v>2.586.360,00</v>
      </c>
      <c r="L1436" s="6" t="str">
        <f>"646.590,00"</f>
        <v>646.590,00</v>
      </c>
      <c r="M1436" s="6" t="str">
        <f>"3.232.950,00"</f>
        <v>3.232.950,00</v>
      </c>
      <c r="N1436" s="1" t="s">
        <v>117</v>
      </c>
      <c r="O1436" s="7"/>
      <c r="P1436" s="6" t="str">
        <f>""</f>
        <v/>
      </c>
      <c r="Q1436" s="7"/>
      <c r="R1436" s="1"/>
      <c r="S1436" s="1" t="str">
        <f>"3-19/NOS-148/17"</f>
        <v>3-19/NOS-148/17</v>
      </c>
      <c r="T1436" s="2" t="s">
        <v>29</v>
      </c>
    </row>
    <row r="1437" spans="1:20" ht="25.5" x14ac:dyDescent="0.25">
      <c r="A1437" s="1">
        <v>1433</v>
      </c>
      <c r="B1437" s="1" t="str">
        <f t="shared" si="139"/>
        <v>2017-444</v>
      </c>
      <c r="C1437" s="2" t="s">
        <v>936</v>
      </c>
      <c r="D1437" s="1" t="s">
        <v>937</v>
      </c>
      <c r="E1437" s="3" t="str">
        <f>""</f>
        <v/>
      </c>
      <c r="F1437" s="2" t="s">
        <v>27</v>
      </c>
      <c r="G1437" s="2" t="str">
        <f t="shared" si="140"/>
        <v>APIS IT D.O.O., PALJETKOVA 18, 10000 ZAGREB, OIB: 02994650199</v>
      </c>
      <c r="H1437" s="4"/>
      <c r="I1437" s="1" t="s">
        <v>73</v>
      </c>
      <c r="J1437" s="1" t="s">
        <v>121</v>
      </c>
      <c r="K1437" s="6" t="str">
        <f>"248.279,00"</f>
        <v>248.279,00</v>
      </c>
      <c r="L1437" s="6" t="str">
        <f>"62.069,75"</f>
        <v>62.069,75</v>
      </c>
      <c r="M1437" s="6" t="str">
        <f>"310.348,75"</f>
        <v>310.348,75</v>
      </c>
      <c r="N1437" s="5">
        <v>43555</v>
      </c>
      <c r="O1437" s="7"/>
      <c r="P1437" s="6" t="str">
        <f>"310.348,75"</f>
        <v>310.348,75</v>
      </c>
      <c r="Q1437" s="7"/>
      <c r="R1437" s="1"/>
      <c r="S1437" s="1" t="str">
        <f>"4-19/NOS-148/17"</f>
        <v>4-19/NOS-148/17</v>
      </c>
      <c r="T1437" s="2" t="s">
        <v>33</v>
      </c>
    </row>
    <row r="1438" spans="1:20" ht="38.25" x14ac:dyDescent="0.25">
      <c r="A1438" s="1">
        <v>1434</v>
      </c>
      <c r="B1438" s="1" t="str">
        <f>"2017-2850"</f>
        <v>2017-2850</v>
      </c>
      <c r="C1438" s="2" t="s">
        <v>942</v>
      </c>
      <c r="D1438" s="1" t="s">
        <v>860</v>
      </c>
      <c r="E1438" s="3" t="str">
        <f>"2017/S 0F2-0024468"</f>
        <v>2017/S 0F2-0024468</v>
      </c>
      <c r="F1438" s="2" t="s">
        <v>23</v>
      </c>
      <c r="G1438" s="2" t="str">
        <f>CONCATENATE("BERGER,"," VL. ROBERT BERGER,"," ŠTEFA KUZMIĆA 13,"," 10373 IVANJA REKA,"," OIB: 39651558047")</f>
        <v>BERGER, VL. ROBERT BERGER, ŠTEFA KUZMIĆA 13, 10373 IVANJA REKA, OIB: 39651558047</v>
      </c>
      <c r="H1438" s="4"/>
      <c r="I1438" s="1" t="s">
        <v>907</v>
      </c>
      <c r="J1438" s="1" t="s">
        <v>908</v>
      </c>
      <c r="K1438" s="6" t="str">
        <f>"3.000.000,00"</f>
        <v>3.000.000,00</v>
      </c>
      <c r="L1438" s="6" t="str">
        <f>"750.000,00"</f>
        <v>750.000,00</v>
      </c>
      <c r="M1438" s="6" t="str">
        <f>"3.750.000,00"</f>
        <v>3.750.000,00</v>
      </c>
      <c r="N1438" s="7"/>
      <c r="O1438" s="7"/>
      <c r="P1438" s="6" t="str">
        <f>""</f>
        <v/>
      </c>
      <c r="Q1438" s="7"/>
      <c r="R1438" s="1"/>
      <c r="S1438" s="1" t="str">
        <f>"NOS-149/17"</f>
        <v>NOS-149/17</v>
      </c>
      <c r="T1438" s="2" t="s">
        <v>29</v>
      </c>
    </row>
    <row r="1439" spans="1:20" ht="25.5" x14ac:dyDescent="0.25">
      <c r="A1439" s="1">
        <v>1435</v>
      </c>
      <c r="B1439" s="1" t="str">
        <f>"2017-2850"</f>
        <v>2017-2850</v>
      </c>
      <c r="C1439" s="2" t="s">
        <v>942</v>
      </c>
      <c r="D1439" s="1" t="s">
        <v>860</v>
      </c>
      <c r="E1439" s="3" t="str">
        <f>""</f>
        <v/>
      </c>
      <c r="F1439" s="2" t="s">
        <v>27</v>
      </c>
      <c r="G1439" s="2" t="str">
        <f>CONCATENATE("BERGER,"," VL. ROBERT BERGER,"," ŠTEFA KUZMIĆA 13,"," 10373 IVANJA REKA,"," OIB: 39651558047")</f>
        <v>BERGER, VL. ROBERT BERGER, ŠTEFA KUZMIĆA 13, 10373 IVANJA REKA, OIB: 39651558047</v>
      </c>
      <c r="H1439" s="4"/>
      <c r="I1439" s="1" t="s">
        <v>44</v>
      </c>
      <c r="J1439" s="1" t="s">
        <v>827</v>
      </c>
      <c r="K1439" s="6" t="str">
        <f>"85.450,00"</f>
        <v>85.450,00</v>
      </c>
      <c r="L1439" s="6" t="str">
        <f>"21.362,50"</f>
        <v>21.362,50</v>
      </c>
      <c r="M1439" s="6" t="str">
        <f>"106.812,50"</f>
        <v>106.812,50</v>
      </c>
      <c r="N1439" s="5">
        <v>43629</v>
      </c>
      <c r="O1439" s="7"/>
      <c r="P1439" s="6" t="str">
        <f>"106.812,50"</f>
        <v>106.812,50</v>
      </c>
      <c r="Q1439" s="7"/>
      <c r="R1439" s="1"/>
      <c r="S1439" s="1" t="str">
        <f>"1-19/NOS-149/17"</f>
        <v>1-19/NOS-149/17</v>
      </c>
      <c r="T1439" s="2" t="s">
        <v>29</v>
      </c>
    </row>
    <row r="1440" spans="1:20" ht="38.25" x14ac:dyDescent="0.25">
      <c r="A1440" s="1">
        <v>1436</v>
      </c>
      <c r="B1440" s="1" t="str">
        <f t="shared" ref="B1440:B1445" si="141">"2017-2482"</f>
        <v>2017-2482</v>
      </c>
      <c r="C1440" s="2" t="s">
        <v>943</v>
      </c>
      <c r="D1440" s="1" t="s">
        <v>223</v>
      </c>
      <c r="E1440" s="3" t="str">
        <f>"2017/S 0F2-0026407"</f>
        <v>2017/S 0F2-0026407</v>
      </c>
      <c r="F1440" s="2" t="s">
        <v>23</v>
      </c>
      <c r="G1440" s="2" t="str">
        <f t="shared" ref="G1440:G1447" si="142">CONCATENATE("INFOART D.O.O.,"," LASTOVSKA 23,"," 10000 ZAGREB,"," OIB: 88255578438")</f>
        <v>INFOART D.O.O., LASTOVSKA 23, 10000 ZAGREB, OIB: 88255578438</v>
      </c>
      <c r="H1440" s="4"/>
      <c r="I1440" s="1" t="s">
        <v>907</v>
      </c>
      <c r="J1440" s="1" t="s">
        <v>944</v>
      </c>
      <c r="K1440" s="6" t="str">
        <f>"3.400.000,00"</f>
        <v>3.400.000,00</v>
      </c>
      <c r="L1440" s="6" t="str">
        <f>"850.000,00"</f>
        <v>850.000,00</v>
      </c>
      <c r="M1440" s="6" t="str">
        <f>"4.250.000,00"</f>
        <v>4.250.000,00</v>
      </c>
      <c r="N1440" s="7"/>
      <c r="O1440" s="7"/>
      <c r="P1440" s="6" t="str">
        <f>""</f>
        <v/>
      </c>
      <c r="Q1440" s="7"/>
      <c r="R1440" s="1"/>
      <c r="S1440" s="1" t="str">
        <f>"NOS-150/17"</f>
        <v>NOS-150/17</v>
      </c>
      <c r="T1440" s="2" t="s">
        <v>26</v>
      </c>
    </row>
    <row r="1441" spans="1:20" ht="25.5" x14ac:dyDescent="0.25">
      <c r="A1441" s="1">
        <v>1437</v>
      </c>
      <c r="B1441" s="1" t="str">
        <f t="shared" si="141"/>
        <v>2017-2482</v>
      </c>
      <c r="C1441" s="2" t="s">
        <v>943</v>
      </c>
      <c r="D1441" s="1" t="s">
        <v>223</v>
      </c>
      <c r="E1441" s="3" t="str">
        <f>""</f>
        <v/>
      </c>
      <c r="F1441" s="2" t="s">
        <v>27</v>
      </c>
      <c r="G1441" s="2" t="str">
        <f t="shared" si="142"/>
        <v>INFOART D.O.O., LASTOVSKA 23, 10000 ZAGREB, OIB: 88255578438</v>
      </c>
      <c r="H1441" s="4"/>
      <c r="I1441" s="1" t="s">
        <v>945</v>
      </c>
      <c r="J1441" s="1" t="s">
        <v>40</v>
      </c>
      <c r="K1441" s="6" t="str">
        <f>"202.500,00"</f>
        <v>202.500,00</v>
      </c>
      <c r="L1441" s="6" t="str">
        <f>"50.625,00"</f>
        <v>50.625,00</v>
      </c>
      <c r="M1441" s="6" t="str">
        <f>"253.125,00"</f>
        <v>253.125,00</v>
      </c>
      <c r="N1441" s="5">
        <v>43501</v>
      </c>
      <c r="O1441" s="7"/>
      <c r="P1441" s="6" t="str">
        <f>"253.125,00"</f>
        <v>253.125,00</v>
      </c>
      <c r="Q1441" s="7"/>
      <c r="R1441" s="1"/>
      <c r="S1441" s="1" t="str">
        <f>"2-18/NOS-150/17"</f>
        <v>2-18/NOS-150/17</v>
      </c>
      <c r="T1441" s="2" t="s">
        <v>33</v>
      </c>
    </row>
    <row r="1442" spans="1:20" ht="25.5" x14ac:dyDescent="0.25">
      <c r="A1442" s="1">
        <v>1438</v>
      </c>
      <c r="B1442" s="1" t="str">
        <f t="shared" si="141"/>
        <v>2017-2482</v>
      </c>
      <c r="C1442" s="2" t="s">
        <v>943</v>
      </c>
      <c r="D1442" s="4"/>
      <c r="E1442" s="3" t="str">
        <f>""</f>
        <v/>
      </c>
      <c r="F1442" s="2" t="s">
        <v>27</v>
      </c>
      <c r="G1442" s="2" t="str">
        <f t="shared" si="142"/>
        <v>INFOART D.O.O., LASTOVSKA 23, 10000 ZAGREB, OIB: 88255578438</v>
      </c>
      <c r="H1442" s="4"/>
      <c r="I1442" s="1" t="s">
        <v>225</v>
      </c>
      <c r="J1442" s="1" t="s">
        <v>64</v>
      </c>
      <c r="K1442" s="6" t="str">
        <f>"300.000,00"</f>
        <v>300.000,00</v>
      </c>
      <c r="L1442" s="6" t="str">
        <f>"75.000,00"</f>
        <v>75.000,00</v>
      </c>
      <c r="M1442" s="6" t="str">
        <f>"375.000,00"</f>
        <v>375.000,00</v>
      </c>
      <c r="N1442" s="1" t="s">
        <v>117</v>
      </c>
      <c r="O1442" s="7"/>
      <c r="P1442" s="6" t="str">
        <f>""</f>
        <v/>
      </c>
      <c r="Q1442" s="7"/>
      <c r="R1442" s="1"/>
      <c r="S1442" s="1" t="str">
        <f>"5-18/NOS-150/17"</f>
        <v>5-18/NOS-150/17</v>
      </c>
      <c r="T1442" s="2" t="s">
        <v>29</v>
      </c>
    </row>
    <row r="1443" spans="1:20" ht="25.5" x14ac:dyDescent="0.25">
      <c r="A1443" s="1">
        <v>1439</v>
      </c>
      <c r="B1443" s="1" t="str">
        <f t="shared" si="141"/>
        <v>2017-2482</v>
      </c>
      <c r="C1443" s="2" t="s">
        <v>943</v>
      </c>
      <c r="D1443" s="4"/>
      <c r="E1443" s="3" t="str">
        <f>""</f>
        <v/>
      </c>
      <c r="F1443" s="2" t="s">
        <v>27</v>
      </c>
      <c r="G1443" s="2" t="str">
        <f t="shared" si="142"/>
        <v>INFOART D.O.O., LASTOVSKA 23, 10000 ZAGREB, OIB: 88255578438</v>
      </c>
      <c r="H1443" s="4"/>
      <c r="I1443" s="1" t="s">
        <v>73</v>
      </c>
      <c r="J1443" s="1" t="s">
        <v>817</v>
      </c>
      <c r="K1443" s="6" t="str">
        <f>"202.500,00"</f>
        <v>202.500,00</v>
      </c>
      <c r="L1443" s="6" t="str">
        <f>"50.625,00"</f>
        <v>50.625,00</v>
      </c>
      <c r="M1443" s="6" t="str">
        <f>"253.125,00"</f>
        <v>253.125,00</v>
      </c>
      <c r="N1443" s="5">
        <v>43677</v>
      </c>
      <c r="O1443" s="7"/>
      <c r="P1443" s="6" t="str">
        <f>"56.250,00"</f>
        <v>56.250,00</v>
      </c>
      <c r="Q1443" s="7"/>
      <c r="R1443" s="1"/>
      <c r="S1443" s="1" t="str">
        <f>"2-19/NOS-150/17"</f>
        <v>2-19/NOS-150/17</v>
      </c>
      <c r="T1443" s="2" t="s">
        <v>33</v>
      </c>
    </row>
    <row r="1444" spans="1:20" ht="25.5" x14ac:dyDescent="0.25">
      <c r="A1444" s="1">
        <v>1440</v>
      </c>
      <c r="B1444" s="1" t="str">
        <f t="shared" si="141"/>
        <v>2017-2482</v>
      </c>
      <c r="C1444" s="2" t="s">
        <v>943</v>
      </c>
      <c r="D1444" s="4"/>
      <c r="E1444" s="3" t="str">
        <f>""</f>
        <v/>
      </c>
      <c r="F1444" s="2" t="s">
        <v>27</v>
      </c>
      <c r="G1444" s="2" t="str">
        <f t="shared" si="142"/>
        <v>INFOART D.O.O., LASTOVSKA 23, 10000 ZAGREB, OIB: 88255578438</v>
      </c>
      <c r="H1444" s="4"/>
      <c r="I1444" s="1" t="s">
        <v>640</v>
      </c>
      <c r="J1444" s="1" t="s">
        <v>28</v>
      </c>
      <c r="K1444" s="6" t="str">
        <f>"61.500,00"</f>
        <v>61.500,00</v>
      </c>
      <c r="L1444" s="6" t="str">
        <f>"15.375,00"</f>
        <v>15.375,00</v>
      </c>
      <c r="M1444" s="6" t="str">
        <f>"76.875,00"</f>
        <v>76.875,00</v>
      </c>
      <c r="N1444" s="5">
        <v>43712</v>
      </c>
      <c r="O1444" s="7"/>
      <c r="P1444" s="6" t="str">
        <f>"51.250,00"</f>
        <v>51.250,00</v>
      </c>
      <c r="Q1444" s="7"/>
      <c r="R1444" s="1"/>
      <c r="S1444" s="1" t="str">
        <f>"3-19/NOS-150/17"</f>
        <v>3-19/NOS-150/17</v>
      </c>
      <c r="T1444" s="2" t="s">
        <v>29</v>
      </c>
    </row>
    <row r="1445" spans="1:20" ht="25.5" x14ac:dyDescent="0.25">
      <c r="A1445" s="1">
        <v>1441</v>
      </c>
      <c r="B1445" s="1" t="str">
        <f t="shared" si="141"/>
        <v>2017-2482</v>
      </c>
      <c r="C1445" s="2" t="s">
        <v>943</v>
      </c>
      <c r="D1445" s="1" t="s">
        <v>223</v>
      </c>
      <c r="E1445" s="3" t="str">
        <f>""</f>
        <v/>
      </c>
      <c r="F1445" s="2" t="s">
        <v>27</v>
      </c>
      <c r="G1445" s="2" t="str">
        <f t="shared" si="142"/>
        <v>INFOART D.O.O., LASTOVSKA 23, 10000 ZAGREB, OIB: 88255578438</v>
      </c>
      <c r="H1445" s="4"/>
      <c r="I1445" s="1" t="s">
        <v>614</v>
      </c>
      <c r="J1445" s="1" t="s">
        <v>469</v>
      </c>
      <c r="K1445" s="6" t="str">
        <f>"67.500,00"</f>
        <v>67.500,00</v>
      </c>
      <c r="L1445" s="6" t="str">
        <f>"16.875,00"</f>
        <v>16.875,00</v>
      </c>
      <c r="M1445" s="6" t="str">
        <f>"84.375,00"</f>
        <v>84.375,00</v>
      </c>
      <c r="N1445" s="5">
        <v>43592</v>
      </c>
      <c r="O1445" s="7"/>
      <c r="P1445" s="6" t="str">
        <f>"84.375,00"</f>
        <v>84.375,00</v>
      </c>
      <c r="Q1445" s="7"/>
      <c r="R1445" s="1"/>
      <c r="S1445" s="1" t="str">
        <f>"1-19/NOS-150/17"</f>
        <v>1-19/NOS-150/17</v>
      </c>
      <c r="T1445" s="2" t="s">
        <v>33</v>
      </c>
    </row>
    <row r="1446" spans="1:20" ht="38.25" x14ac:dyDescent="0.25">
      <c r="A1446" s="1">
        <v>1442</v>
      </c>
      <c r="B1446" s="1" t="str">
        <f>"2017-2807"</f>
        <v>2017-2807</v>
      </c>
      <c r="C1446" s="2" t="s">
        <v>946</v>
      </c>
      <c r="D1446" s="1" t="s">
        <v>223</v>
      </c>
      <c r="E1446" s="3" t="str">
        <f>"2017/S 0F2-0027376"</f>
        <v>2017/S 0F2-0027376</v>
      </c>
      <c r="F1446" s="2" t="s">
        <v>23</v>
      </c>
      <c r="G1446" s="2" t="str">
        <f t="shared" si="142"/>
        <v>INFOART D.O.O., LASTOVSKA 23, 10000 ZAGREB, OIB: 88255578438</v>
      </c>
      <c r="H1446" s="4"/>
      <c r="I1446" s="1" t="s">
        <v>927</v>
      </c>
      <c r="J1446" s="1" t="s">
        <v>928</v>
      </c>
      <c r="K1446" s="6" t="str">
        <f>"1.700.000,00"</f>
        <v>1.700.000,00</v>
      </c>
      <c r="L1446" s="6" t="str">
        <f>"425.000,00"</f>
        <v>425.000,00</v>
      </c>
      <c r="M1446" s="6" t="str">
        <f>"2.125.000,00"</f>
        <v>2.125.000,00</v>
      </c>
      <c r="N1446" s="7"/>
      <c r="O1446" s="7"/>
      <c r="P1446" s="6" t="str">
        <f>""</f>
        <v/>
      </c>
      <c r="Q1446" s="7"/>
      <c r="R1446" s="1"/>
      <c r="S1446" s="1" t="str">
        <f>"NOS-151/17"</f>
        <v>NOS-151/17</v>
      </c>
      <c r="T1446" s="2" t="s">
        <v>29</v>
      </c>
    </row>
    <row r="1447" spans="1:20" ht="25.5" x14ac:dyDescent="0.25">
      <c r="A1447" s="1">
        <v>1443</v>
      </c>
      <c r="B1447" s="1" t="str">
        <f>"2017-2807"</f>
        <v>2017-2807</v>
      </c>
      <c r="C1447" s="2" t="s">
        <v>946</v>
      </c>
      <c r="D1447" s="4"/>
      <c r="E1447" s="3" t="str">
        <f>""</f>
        <v/>
      </c>
      <c r="F1447" s="2" t="s">
        <v>27</v>
      </c>
      <c r="G1447" s="2" t="str">
        <f t="shared" si="142"/>
        <v>INFOART D.O.O., LASTOVSKA 23, 10000 ZAGREB, OIB: 88255578438</v>
      </c>
      <c r="H1447" s="4"/>
      <c r="I1447" s="1" t="s">
        <v>362</v>
      </c>
      <c r="J1447" s="1" t="s">
        <v>284</v>
      </c>
      <c r="K1447" s="6" t="str">
        <f>"384.040,00"</f>
        <v>384.040,00</v>
      </c>
      <c r="L1447" s="6" t="str">
        <f>"96.010,00"</f>
        <v>96.010,00</v>
      </c>
      <c r="M1447" s="6" t="str">
        <f>"480.050,00"</f>
        <v>480.050,00</v>
      </c>
      <c r="N1447" s="5">
        <v>43717</v>
      </c>
      <c r="O1447" s="7"/>
      <c r="P1447" s="6" t="str">
        <f>"446.750,00"</f>
        <v>446.750,00</v>
      </c>
      <c r="Q1447" s="7"/>
      <c r="R1447" s="1"/>
      <c r="S1447" s="1" t="str">
        <f>"1-18/NOS-151/17"</f>
        <v>1-18/NOS-151/17</v>
      </c>
      <c r="T1447" s="2" t="s">
        <v>29</v>
      </c>
    </row>
    <row r="1448" spans="1:20" ht="38.25" x14ac:dyDescent="0.25">
      <c r="A1448" s="1">
        <v>1444</v>
      </c>
      <c r="B1448" s="1" t="str">
        <f>"2017-2966"</f>
        <v>2017-2966</v>
      </c>
      <c r="C1448" s="2" t="s">
        <v>947</v>
      </c>
      <c r="D1448" s="1" t="s">
        <v>948</v>
      </c>
      <c r="E1448" s="3" t="str">
        <f>"2017/S 0F2-0028165"</f>
        <v>2017/S 0F2-0028165</v>
      </c>
      <c r="F1448" s="2" t="s">
        <v>23</v>
      </c>
      <c r="G1448" s="2" t="str">
        <f>CONCATENATE("AUTOFLOTA D.O.O.,"," SAVSKA OPATOVINA 42,"," 10090 ZAGREB,"," OIB: 96788157124")</f>
        <v>AUTOFLOTA D.O.O., SAVSKA OPATOVINA 42, 10090 ZAGREB, OIB: 96788157124</v>
      </c>
      <c r="H1448" s="4"/>
      <c r="I1448" s="1" t="s">
        <v>927</v>
      </c>
      <c r="J1448" s="1" t="s">
        <v>928</v>
      </c>
      <c r="K1448" s="6" t="str">
        <f>"630.000,00"</f>
        <v>630.000,00</v>
      </c>
      <c r="L1448" s="6" t="str">
        <f>"157.500,00"</f>
        <v>157.500,00</v>
      </c>
      <c r="M1448" s="6" t="str">
        <f>"787.500,00"</f>
        <v>787.500,00</v>
      </c>
      <c r="N1448" s="7"/>
      <c r="O1448" s="7"/>
      <c r="P1448" s="6" t="str">
        <f>""</f>
        <v/>
      </c>
      <c r="Q1448" s="7"/>
      <c r="R1448" s="1"/>
      <c r="S1448" s="1" t="str">
        <f>"NOS-152-A/17"</f>
        <v>NOS-152-A/17</v>
      </c>
      <c r="T1448" s="2" t="s">
        <v>33</v>
      </c>
    </row>
    <row r="1449" spans="1:20" ht="25.5" x14ac:dyDescent="0.25">
      <c r="A1449" s="1">
        <v>1445</v>
      </c>
      <c r="B1449" s="1" t="str">
        <f>"2017-2966"</f>
        <v>2017-2966</v>
      </c>
      <c r="C1449" s="2" t="s">
        <v>947</v>
      </c>
      <c r="D1449" s="4"/>
      <c r="E1449" s="3" t="str">
        <f>""</f>
        <v/>
      </c>
      <c r="F1449" s="2" t="s">
        <v>27</v>
      </c>
      <c r="G1449" s="2" t="str">
        <f>CONCATENATE("AUTOFLOTA D.O.O.,"," SAVSKA OPATOVINA 42,"," 10090 ZAGREB,"," OIB: 96788157124")</f>
        <v>AUTOFLOTA D.O.O., SAVSKA OPATOVINA 42, 10090 ZAGREB, OIB: 96788157124</v>
      </c>
      <c r="H1449" s="4"/>
      <c r="I1449" s="1" t="s">
        <v>254</v>
      </c>
      <c r="J1449" s="1" t="s">
        <v>45</v>
      </c>
      <c r="K1449" s="6" t="str">
        <f>"71.640,00"</f>
        <v>71.640,00</v>
      </c>
      <c r="L1449" s="6" t="str">
        <f>"17.910,00"</f>
        <v>17.910,00</v>
      </c>
      <c r="M1449" s="6" t="str">
        <f>"89.550,00"</f>
        <v>89.550,00</v>
      </c>
      <c r="N1449" s="1" t="s">
        <v>117</v>
      </c>
      <c r="O1449" s="7"/>
      <c r="P1449" s="6" t="str">
        <f>""</f>
        <v/>
      </c>
      <c r="Q1449" s="7"/>
      <c r="R1449" s="1"/>
      <c r="S1449" s="1" t="str">
        <f>"1-19/NOS-152-A/17"</f>
        <v>1-19/NOS-152-A/17</v>
      </c>
      <c r="T1449" s="2" t="s">
        <v>33</v>
      </c>
    </row>
    <row r="1450" spans="1:20" ht="38.25" x14ac:dyDescent="0.25">
      <c r="A1450" s="1">
        <v>1446</v>
      </c>
      <c r="B1450" s="1" t="str">
        <f>"2017-2966"</f>
        <v>2017-2966</v>
      </c>
      <c r="C1450" s="2" t="s">
        <v>947</v>
      </c>
      <c r="D1450" s="1" t="s">
        <v>948</v>
      </c>
      <c r="E1450" s="3" t="str">
        <f>"2017/S 0F2-0028165"</f>
        <v>2017/S 0F2-0028165</v>
      </c>
      <c r="F1450" s="2" t="s">
        <v>23</v>
      </c>
      <c r="G1450" s="2" t="str">
        <f>CONCATENATE("AUTOFLOTA D.O.O.,"," SAVSKA OPATOVINA 42,"," 10090 ZAGREB,"," OIB: 96788157124")</f>
        <v>AUTOFLOTA D.O.O., SAVSKA OPATOVINA 42, 10090 ZAGREB, OIB: 96788157124</v>
      </c>
      <c r="H1450" s="4"/>
      <c r="I1450" s="1" t="s">
        <v>927</v>
      </c>
      <c r="J1450" s="1" t="s">
        <v>928</v>
      </c>
      <c r="K1450" s="6" t="str">
        <f>"630.000,00"</f>
        <v>630.000,00</v>
      </c>
      <c r="L1450" s="6" t="str">
        <f>"157.500,00"</f>
        <v>157.500,00</v>
      </c>
      <c r="M1450" s="6" t="str">
        <f>"787.500,00"</f>
        <v>787.500,00</v>
      </c>
      <c r="N1450" s="7"/>
      <c r="O1450" s="7"/>
      <c r="P1450" s="6" t="str">
        <f>""</f>
        <v/>
      </c>
      <c r="Q1450" s="7"/>
      <c r="R1450" s="1"/>
      <c r="S1450" s="1" t="str">
        <f>"NOS-152-B/17"</f>
        <v>NOS-152-B/17</v>
      </c>
      <c r="T1450" s="2" t="s">
        <v>33</v>
      </c>
    </row>
    <row r="1451" spans="1:20" ht="25.5" x14ac:dyDescent="0.25">
      <c r="A1451" s="1">
        <v>1447</v>
      </c>
      <c r="B1451" s="1" t="str">
        <f>"2017-2966"</f>
        <v>2017-2966</v>
      </c>
      <c r="C1451" s="2" t="s">
        <v>947</v>
      </c>
      <c r="D1451" s="4"/>
      <c r="E1451" s="3" t="str">
        <f>""</f>
        <v/>
      </c>
      <c r="F1451" s="2" t="s">
        <v>27</v>
      </c>
      <c r="G1451" s="2" t="str">
        <f>CONCATENATE("AUTOFLOTA D.O.O.,"," SAVSKA OPATOVINA 42,"," 10090 ZAGREB,"," OIB: 96788157124")</f>
        <v>AUTOFLOTA D.O.O., SAVSKA OPATOVINA 42, 10090 ZAGREB, OIB: 96788157124</v>
      </c>
      <c r="H1451" s="4"/>
      <c r="I1451" s="1" t="s">
        <v>949</v>
      </c>
      <c r="J1451" s="1" t="s">
        <v>45</v>
      </c>
      <c r="K1451" s="6" t="str">
        <f>"176.295,00"</f>
        <v>176.295,00</v>
      </c>
      <c r="L1451" s="6" t="str">
        <f>"44.073,75"</f>
        <v>44.073,75</v>
      </c>
      <c r="M1451" s="6" t="str">
        <f>"220.368,75"</f>
        <v>220.368,75</v>
      </c>
      <c r="N1451" s="5">
        <v>43679</v>
      </c>
      <c r="O1451" s="7"/>
      <c r="P1451" s="6" t="str">
        <f>"41.062,50"</f>
        <v>41.062,50</v>
      </c>
      <c r="Q1451" s="7"/>
      <c r="R1451" s="1"/>
      <c r="S1451" s="1" t="str">
        <f>"1-19/NOS-152-B/17"</f>
        <v>1-19/NOS-152-B/17</v>
      </c>
      <c r="T1451" s="2" t="s">
        <v>33</v>
      </c>
    </row>
    <row r="1452" spans="1:20" ht="38.25" x14ac:dyDescent="0.25">
      <c r="A1452" s="1">
        <v>1448</v>
      </c>
      <c r="B1452" s="1" t="str">
        <f t="shared" ref="B1452:B1483" si="143">"2017-424"</f>
        <v>2017-424</v>
      </c>
      <c r="C1452" s="2" t="s">
        <v>950</v>
      </c>
      <c r="D1452" s="1" t="s">
        <v>184</v>
      </c>
      <c r="E1452" s="3" t="str">
        <f>"2017/S 0F2-0027397"</f>
        <v>2017/S 0F2-0027397</v>
      </c>
      <c r="F1452" s="2" t="s">
        <v>23</v>
      </c>
      <c r="G1452" s="2" t="str">
        <f t="shared" ref="G1452:G1483" si="144">CONCATENATE("HIDRAULIKA KURELJA D.O.O.,"," MATENAČKA CESTA 41,"," 49290 DONJA STUBICA,"," OIB: 3092900595")</f>
        <v>HIDRAULIKA KURELJA D.O.O., MATENAČKA CESTA 41, 49290 DONJA STUBICA, OIB: 3092900595</v>
      </c>
      <c r="H1452" s="4"/>
      <c r="I1452" s="1" t="s">
        <v>927</v>
      </c>
      <c r="J1452" s="1" t="s">
        <v>928</v>
      </c>
      <c r="K1452" s="6" t="str">
        <f>"6.400.000,00"</f>
        <v>6.400.000,00</v>
      </c>
      <c r="L1452" s="6" t="str">
        <f>"1.600.000,00"</f>
        <v>1.600.000,00</v>
      </c>
      <c r="M1452" s="6" t="str">
        <f>"8.000.000,00"</f>
        <v>8.000.000,00</v>
      </c>
      <c r="N1452" s="7"/>
      <c r="O1452" s="7"/>
      <c r="P1452" s="6" t="str">
        <f>""</f>
        <v/>
      </c>
      <c r="Q1452" s="7"/>
      <c r="R1452" s="1"/>
      <c r="S1452" s="1" t="str">
        <f>"NOS-153/17"</f>
        <v>NOS-153/17</v>
      </c>
      <c r="T1452" s="2" t="s">
        <v>26</v>
      </c>
    </row>
    <row r="1453" spans="1:20" ht="38.25" x14ac:dyDescent="0.25">
      <c r="A1453" s="1">
        <v>1449</v>
      </c>
      <c r="B1453" s="1" t="str">
        <f t="shared" si="143"/>
        <v>2017-424</v>
      </c>
      <c r="C1453" s="2" t="s">
        <v>950</v>
      </c>
      <c r="D1453" s="4"/>
      <c r="E1453" s="3" t="str">
        <f>""</f>
        <v/>
      </c>
      <c r="F1453" s="2" t="s">
        <v>27</v>
      </c>
      <c r="G1453" s="2" t="str">
        <f t="shared" si="144"/>
        <v>HIDRAULIKA KURELJA D.O.O., MATENAČKA CESTA 41, 49290 DONJA STUBICA, OIB: 3092900595</v>
      </c>
      <c r="H1453" s="4"/>
      <c r="I1453" s="1" t="s">
        <v>951</v>
      </c>
      <c r="J1453" s="1" t="s">
        <v>74</v>
      </c>
      <c r="K1453" s="6" t="str">
        <f>"108.096,44"</f>
        <v>108.096,44</v>
      </c>
      <c r="L1453" s="6" t="str">
        <f>"27.024,11"</f>
        <v>27.024,11</v>
      </c>
      <c r="M1453" s="6" t="str">
        <f>"135.120,55"</f>
        <v>135.120,55</v>
      </c>
      <c r="N1453" s="5">
        <v>43543</v>
      </c>
      <c r="O1453" s="7"/>
      <c r="P1453" s="6" t="str">
        <f>"135.107,28"</f>
        <v>135.107,28</v>
      </c>
      <c r="Q1453" s="7"/>
      <c r="R1453" s="1"/>
      <c r="S1453" s="1" t="str">
        <f>"97-18/NOS-153/17"</f>
        <v>97-18/NOS-153/17</v>
      </c>
      <c r="T1453" s="2" t="s">
        <v>33</v>
      </c>
    </row>
    <row r="1454" spans="1:20" ht="38.25" x14ac:dyDescent="0.25">
      <c r="A1454" s="1">
        <v>1450</v>
      </c>
      <c r="B1454" s="1" t="str">
        <f t="shared" si="143"/>
        <v>2017-424</v>
      </c>
      <c r="C1454" s="2" t="s">
        <v>950</v>
      </c>
      <c r="D1454" s="1" t="s">
        <v>184</v>
      </c>
      <c r="E1454" s="3" t="str">
        <f>""</f>
        <v/>
      </c>
      <c r="F1454" s="2" t="s">
        <v>27</v>
      </c>
      <c r="G1454" s="2" t="str">
        <f t="shared" si="144"/>
        <v>HIDRAULIKA KURELJA D.O.O., MATENAČKA CESTA 41, 49290 DONJA STUBICA, OIB: 3092900595</v>
      </c>
      <c r="H1454" s="4"/>
      <c r="I1454" s="1" t="s">
        <v>229</v>
      </c>
      <c r="J1454" s="1" t="s">
        <v>303</v>
      </c>
      <c r="K1454" s="6" t="str">
        <f>"1.497,30"</f>
        <v>1.497,30</v>
      </c>
      <c r="L1454" s="6" t="str">
        <f>"374,32"</f>
        <v>374,32</v>
      </c>
      <c r="M1454" s="6" t="str">
        <f>"1.871,62"</f>
        <v>1.871,62</v>
      </c>
      <c r="N1454" s="5">
        <v>43522</v>
      </c>
      <c r="O1454" s="7"/>
      <c r="P1454" s="6" t="str">
        <f>"1.871,62"</f>
        <v>1.871,62</v>
      </c>
      <c r="Q1454" s="7"/>
      <c r="R1454" s="1"/>
      <c r="S1454" s="1" t="str">
        <f>"1-19/NOS-153/17"</f>
        <v>1-19/NOS-153/17</v>
      </c>
      <c r="T1454" s="2" t="s">
        <v>33</v>
      </c>
    </row>
    <row r="1455" spans="1:20" ht="38.25" x14ac:dyDescent="0.25">
      <c r="A1455" s="1">
        <v>1451</v>
      </c>
      <c r="B1455" s="1" t="str">
        <f t="shared" si="143"/>
        <v>2017-424</v>
      </c>
      <c r="C1455" s="2" t="s">
        <v>950</v>
      </c>
      <c r="D1455" s="1" t="s">
        <v>184</v>
      </c>
      <c r="E1455" s="3" t="str">
        <f>""</f>
        <v/>
      </c>
      <c r="F1455" s="2" t="s">
        <v>27</v>
      </c>
      <c r="G1455" s="2" t="str">
        <f t="shared" si="144"/>
        <v>HIDRAULIKA KURELJA D.O.O., MATENAČKA CESTA 41, 49290 DONJA STUBICA, OIB: 3092900595</v>
      </c>
      <c r="H1455" s="4"/>
      <c r="I1455" s="1" t="s">
        <v>248</v>
      </c>
      <c r="J1455" s="1" t="s">
        <v>303</v>
      </c>
      <c r="K1455" s="6" t="str">
        <f>"13.940,16"</f>
        <v>13.940,16</v>
      </c>
      <c r="L1455" s="6" t="str">
        <f>"3.485,04"</f>
        <v>3.485,04</v>
      </c>
      <c r="M1455" s="6" t="str">
        <f>"17.425,20"</f>
        <v>17.425,20</v>
      </c>
      <c r="N1455" s="5">
        <v>43542</v>
      </c>
      <c r="O1455" s="7"/>
      <c r="P1455" s="6" t="str">
        <f>"17.425,20"</f>
        <v>17.425,20</v>
      </c>
      <c r="Q1455" s="7"/>
      <c r="R1455" s="1"/>
      <c r="S1455" s="1" t="str">
        <f>"2-19/NOS-153/17"</f>
        <v>2-19/NOS-153/17</v>
      </c>
      <c r="T1455" s="2" t="s">
        <v>33</v>
      </c>
    </row>
    <row r="1456" spans="1:20" ht="38.25" x14ac:dyDescent="0.25">
      <c r="A1456" s="1">
        <v>1452</v>
      </c>
      <c r="B1456" s="1" t="str">
        <f t="shared" si="143"/>
        <v>2017-424</v>
      </c>
      <c r="C1456" s="2" t="s">
        <v>950</v>
      </c>
      <c r="D1456" s="1" t="s">
        <v>184</v>
      </c>
      <c r="E1456" s="3" t="str">
        <f>""</f>
        <v/>
      </c>
      <c r="F1456" s="2" t="s">
        <v>27</v>
      </c>
      <c r="G1456" s="2" t="str">
        <f t="shared" si="144"/>
        <v>HIDRAULIKA KURELJA D.O.O., MATENAČKA CESTA 41, 49290 DONJA STUBICA, OIB: 3092900595</v>
      </c>
      <c r="H1456" s="4"/>
      <c r="I1456" s="1" t="s">
        <v>257</v>
      </c>
      <c r="J1456" s="1" t="s">
        <v>303</v>
      </c>
      <c r="K1456" s="6" t="str">
        <f>"633,00"</f>
        <v>633,00</v>
      </c>
      <c r="L1456" s="6" t="str">
        <f>"158,25"</f>
        <v>158,25</v>
      </c>
      <c r="M1456" s="6" t="str">
        <f>"791,25"</f>
        <v>791,25</v>
      </c>
      <c r="N1456" s="5">
        <v>43529</v>
      </c>
      <c r="O1456" s="7"/>
      <c r="P1456" s="6" t="str">
        <f>"791,25"</f>
        <v>791,25</v>
      </c>
      <c r="Q1456" s="7"/>
      <c r="R1456" s="1"/>
      <c r="S1456" s="1" t="str">
        <f>"3-19/NOS-153/17"</f>
        <v>3-19/NOS-153/17</v>
      </c>
      <c r="T1456" s="2" t="s">
        <v>33</v>
      </c>
    </row>
    <row r="1457" spans="1:20" ht="38.25" x14ac:dyDescent="0.25">
      <c r="A1457" s="1">
        <v>1453</v>
      </c>
      <c r="B1457" s="1" t="str">
        <f t="shared" si="143"/>
        <v>2017-424</v>
      </c>
      <c r="C1457" s="2" t="s">
        <v>950</v>
      </c>
      <c r="D1457" s="1" t="s">
        <v>184</v>
      </c>
      <c r="E1457" s="3" t="str">
        <f>""</f>
        <v/>
      </c>
      <c r="F1457" s="2" t="s">
        <v>27</v>
      </c>
      <c r="G1457" s="2" t="str">
        <f t="shared" si="144"/>
        <v>HIDRAULIKA KURELJA D.O.O., MATENAČKA CESTA 41, 49290 DONJA STUBICA, OIB: 3092900595</v>
      </c>
      <c r="H1457" s="4"/>
      <c r="I1457" s="1" t="s">
        <v>257</v>
      </c>
      <c r="J1457" s="1" t="s">
        <v>303</v>
      </c>
      <c r="K1457" s="6" t="str">
        <f>"14.983,86"</f>
        <v>14.983,86</v>
      </c>
      <c r="L1457" s="6" t="str">
        <f>"3.745,97"</f>
        <v>3.745,97</v>
      </c>
      <c r="M1457" s="6" t="str">
        <f>"18.729,83"</f>
        <v>18.729,83</v>
      </c>
      <c r="N1457" s="5">
        <v>43529</v>
      </c>
      <c r="O1457" s="7"/>
      <c r="P1457" s="6" t="str">
        <f>"18.729,82"</f>
        <v>18.729,82</v>
      </c>
      <c r="Q1457" s="7"/>
      <c r="R1457" s="1"/>
      <c r="S1457" s="1" t="str">
        <f>"4-19/NOS-153/17"</f>
        <v>4-19/NOS-153/17</v>
      </c>
      <c r="T1457" s="2" t="s">
        <v>33</v>
      </c>
    </row>
    <row r="1458" spans="1:20" ht="38.25" x14ac:dyDescent="0.25">
      <c r="A1458" s="1">
        <v>1454</v>
      </c>
      <c r="B1458" s="1" t="str">
        <f t="shared" si="143"/>
        <v>2017-424</v>
      </c>
      <c r="C1458" s="2" t="s">
        <v>950</v>
      </c>
      <c r="D1458" s="1" t="s">
        <v>184</v>
      </c>
      <c r="E1458" s="3" t="str">
        <f>""</f>
        <v/>
      </c>
      <c r="F1458" s="2" t="s">
        <v>27</v>
      </c>
      <c r="G1458" s="2" t="str">
        <f t="shared" si="144"/>
        <v>HIDRAULIKA KURELJA D.O.O., MATENAČKA CESTA 41, 49290 DONJA STUBICA, OIB: 3092900595</v>
      </c>
      <c r="H1458" s="4"/>
      <c r="I1458" s="1" t="s">
        <v>257</v>
      </c>
      <c r="J1458" s="1" t="s">
        <v>303</v>
      </c>
      <c r="K1458" s="6" t="str">
        <f>"9.644,20"</f>
        <v>9.644,20</v>
      </c>
      <c r="L1458" s="6" t="str">
        <f>"2.411,05"</f>
        <v>2.411,05</v>
      </c>
      <c r="M1458" s="6" t="str">
        <f>"12.055,25"</f>
        <v>12.055,25</v>
      </c>
      <c r="N1458" s="5">
        <v>43529</v>
      </c>
      <c r="O1458" s="7"/>
      <c r="P1458" s="6" t="str">
        <f>"12.055,25"</f>
        <v>12.055,25</v>
      </c>
      <c r="Q1458" s="7"/>
      <c r="R1458" s="1"/>
      <c r="S1458" s="1" t="str">
        <f>"5-19/NOS-153/17"</f>
        <v>5-19/NOS-153/17</v>
      </c>
      <c r="T1458" s="2" t="s">
        <v>33</v>
      </c>
    </row>
    <row r="1459" spans="1:20" ht="38.25" x14ac:dyDescent="0.25">
      <c r="A1459" s="1">
        <v>1455</v>
      </c>
      <c r="B1459" s="1" t="str">
        <f t="shared" si="143"/>
        <v>2017-424</v>
      </c>
      <c r="C1459" s="2" t="s">
        <v>950</v>
      </c>
      <c r="D1459" s="1" t="s">
        <v>184</v>
      </c>
      <c r="E1459" s="3" t="str">
        <f>""</f>
        <v/>
      </c>
      <c r="F1459" s="2" t="s">
        <v>27</v>
      </c>
      <c r="G1459" s="2" t="str">
        <f t="shared" si="144"/>
        <v>HIDRAULIKA KURELJA D.O.O., MATENAČKA CESTA 41, 49290 DONJA STUBICA, OIB: 3092900595</v>
      </c>
      <c r="H1459" s="4"/>
      <c r="I1459" s="1" t="s">
        <v>373</v>
      </c>
      <c r="J1459" s="1" t="s">
        <v>303</v>
      </c>
      <c r="K1459" s="6" t="str">
        <f>"2.103,40"</f>
        <v>2.103,40</v>
      </c>
      <c r="L1459" s="6" t="str">
        <f>"525,85"</f>
        <v>525,85</v>
      </c>
      <c r="M1459" s="6" t="str">
        <f>"2.629,25"</f>
        <v>2.629,25</v>
      </c>
      <c r="N1459" s="5">
        <v>43530</v>
      </c>
      <c r="O1459" s="7"/>
      <c r="P1459" s="6" t="str">
        <f>"2.629,25"</f>
        <v>2.629,25</v>
      </c>
      <c r="Q1459" s="7"/>
      <c r="R1459" s="1"/>
      <c r="S1459" s="1" t="str">
        <f>"6-19/NOS-153/17"</f>
        <v>6-19/NOS-153/17</v>
      </c>
      <c r="T1459" s="2" t="s">
        <v>33</v>
      </c>
    </row>
    <row r="1460" spans="1:20" ht="38.25" x14ac:dyDescent="0.25">
      <c r="A1460" s="1">
        <v>1456</v>
      </c>
      <c r="B1460" s="1" t="str">
        <f t="shared" si="143"/>
        <v>2017-424</v>
      </c>
      <c r="C1460" s="2" t="s">
        <v>950</v>
      </c>
      <c r="D1460" s="1" t="s">
        <v>184</v>
      </c>
      <c r="E1460" s="3" t="str">
        <f>""</f>
        <v/>
      </c>
      <c r="F1460" s="2" t="s">
        <v>27</v>
      </c>
      <c r="G1460" s="2" t="str">
        <f t="shared" si="144"/>
        <v>HIDRAULIKA KURELJA D.O.O., MATENAČKA CESTA 41, 49290 DONJA STUBICA, OIB: 3092900595</v>
      </c>
      <c r="H1460" s="4"/>
      <c r="I1460" s="1" t="s">
        <v>373</v>
      </c>
      <c r="J1460" s="1" t="s">
        <v>303</v>
      </c>
      <c r="K1460" s="6" t="str">
        <f>"3.447,64"</f>
        <v>3.447,64</v>
      </c>
      <c r="L1460" s="6" t="str">
        <f>"861,91"</f>
        <v>861,91</v>
      </c>
      <c r="M1460" s="6" t="str">
        <f>"4.309,55"</f>
        <v>4.309,55</v>
      </c>
      <c r="N1460" s="5">
        <v>43530</v>
      </c>
      <c r="O1460" s="7"/>
      <c r="P1460" s="6" t="str">
        <f>"4.309,55"</f>
        <v>4.309,55</v>
      </c>
      <c r="Q1460" s="7"/>
      <c r="R1460" s="1"/>
      <c r="S1460" s="1" t="str">
        <f>"7-19/NOS-153/17"</f>
        <v>7-19/NOS-153/17</v>
      </c>
      <c r="T1460" s="2" t="s">
        <v>33</v>
      </c>
    </row>
    <row r="1461" spans="1:20" ht="38.25" x14ac:dyDescent="0.25">
      <c r="A1461" s="1">
        <v>1457</v>
      </c>
      <c r="B1461" s="1" t="str">
        <f t="shared" si="143"/>
        <v>2017-424</v>
      </c>
      <c r="C1461" s="2" t="s">
        <v>950</v>
      </c>
      <c r="D1461" s="1" t="s">
        <v>184</v>
      </c>
      <c r="E1461" s="3" t="str">
        <f>""</f>
        <v/>
      </c>
      <c r="F1461" s="2" t="s">
        <v>27</v>
      </c>
      <c r="G1461" s="2" t="str">
        <f t="shared" si="144"/>
        <v>HIDRAULIKA KURELJA D.O.O., MATENAČKA CESTA 41, 49290 DONJA STUBICA, OIB: 3092900595</v>
      </c>
      <c r="H1461" s="4"/>
      <c r="I1461" s="1" t="s">
        <v>373</v>
      </c>
      <c r="J1461" s="1" t="s">
        <v>303</v>
      </c>
      <c r="K1461" s="6" t="str">
        <f>"540,00"</f>
        <v>540,00</v>
      </c>
      <c r="L1461" s="6" t="str">
        <f>"135,00"</f>
        <v>135,00</v>
      </c>
      <c r="M1461" s="6" t="str">
        <f>"675,00"</f>
        <v>675,00</v>
      </c>
      <c r="N1461" s="5">
        <v>43530</v>
      </c>
      <c r="O1461" s="7"/>
      <c r="P1461" s="6" t="str">
        <f>"675,00"</f>
        <v>675,00</v>
      </c>
      <c r="Q1461" s="7"/>
      <c r="R1461" s="1"/>
      <c r="S1461" s="1" t="str">
        <f>"8-19/NOS-153/17"</f>
        <v>8-19/NOS-153/17</v>
      </c>
      <c r="T1461" s="2" t="s">
        <v>33</v>
      </c>
    </row>
    <row r="1462" spans="1:20" ht="38.25" x14ac:dyDescent="0.25">
      <c r="A1462" s="1">
        <v>1458</v>
      </c>
      <c r="B1462" s="1" t="str">
        <f t="shared" si="143"/>
        <v>2017-424</v>
      </c>
      <c r="C1462" s="2" t="s">
        <v>950</v>
      </c>
      <c r="D1462" s="1" t="s">
        <v>184</v>
      </c>
      <c r="E1462" s="3" t="str">
        <f>""</f>
        <v/>
      </c>
      <c r="F1462" s="2" t="s">
        <v>27</v>
      </c>
      <c r="G1462" s="2" t="str">
        <f t="shared" si="144"/>
        <v>HIDRAULIKA KURELJA D.O.O., MATENAČKA CESTA 41, 49290 DONJA STUBICA, OIB: 3092900595</v>
      </c>
      <c r="H1462" s="4"/>
      <c r="I1462" s="1" t="s">
        <v>373</v>
      </c>
      <c r="J1462" s="1" t="s">
        <v>303</v>
      </c>
      <c r="K1462" s="6" t="str">
        <f>"1.502,12"</f>
        <v>1.502,12</v>
      </c>
      <c r="L1462" s="6" t="str">
        <f>"375,53"</f>
        <v>375,53</v>
      </c>
      <c r="M1462" s="6" t="str">
        <f>"1.877,65"</f>
        <v>1.877,65</v>
      </c>
      <c r="N1462" s="5">
        <v>43530</v>
      </c>
      <c r="O1462" s="7"/>
      <c r="P1462" s="6" t="str">
        <f>"1.877,65"</f>
        <v>1.877,65</v>
      </c>
      <c r="Q1462" s="7"/>
      <c r="R1462" s="1"/>
      <c r="S1462" s="1" t="str">
        <f>"9-19/NOS-153/17"</f>
        <v>9-19/NOS-153/17</v>
      </c>
      <c r="T1462" s="2" t="s">
        <v>33</v>
      </c>
    </row>
    <row r="1463" spans="1:20" ht="38.25" x14ac:dyDescent="0.25">
      <c r="A1463" s="1">
        <v>1459</v>
      </c>
      <c r="B1463" s="1" t="str">
        <f t="shared" si="143"/>
        <v>2017-424</v>
      </c>
      <c r="C1463" s="2" t="s">
        <v>950</v>
      </c>
      <c r="D1463" s="1" t="s">
        <v>184</v>
      </c>
      <c r="E1463" s="3" t="str">
        <f>""</f>
        <v/>
      </c>
      <c r="F1463" s="2" t="s">
        <v>27</v>
      </c>
      <c r="G1463" s="2" t="str">
        <f t="shared" si="144"/>
        <v>HIDRAULIKA KURELJA D.O.O., MATENAČKA CESTA 41, 49290 DONJA STUBICA, OIB: 3092900595</v>
      </c>
      <c r="H1463" s="4"/>
      <c r="I1463" s="1" t="s">
        <v>339</v>
      </c>
      <c r="J1463" s="1" t="s">
        <v>303</v>
      </c>
      <c r="K1463" s="6" t="str">
        <f>"17.448,04"</f>
        <v>17.448,04</v>
      </c>
      <c r="L1463" s="6" t="str">
        <f>"4.362,01"</f>
        <v>4.362,01</v>
      </c>
      <c r="M1463" s="6" t="str">
        <f>"21.810,05"</f>
        <v>21.810,05</v>
      </c>
      <c r="N1463" s="5">
        <v>43545</v>
      </c>
      <c r="O1463" s="7"/>
      <c r="P1463" s="6" t="str">
        <f>"21.810,05"</f>
        <v>21.810,05</v>
      </c>
      <c r="Q1463" s="7"/>
      <c r="R1463" s="1"/>
      <c r="S1463" s="1" t="str">
        <f>"10-19/NOS-153/17"</f>
        <v>10-19/NOS-153/17</v>
      </c>
      <c r="T1463" s="2" t="s">
        <v>33</v>
      </c>
    </row>
    <row r="1464" spans="1:20" ht="38.25" x14ac:dyDescent="0.25">
      <c r="A1464" s="1">
        <v>1460</v>
      </c>
      <c r="B1464" s="1" t="str">
        <f t="shared" si="143"/>
        <v>2017-424</v>
      </c>
      <c r="C1464" s="2" t="s">
        <v>950</v>
      </c>
      <c r="D1464" s="1" t="s">
        <v>184</v>
      </c>
      <c r="E1464" s="3" t="str">
        <f>""</f>
        <v/>
      </c>
      <c r="F1464" s="2" t="s">
        <v>27</v>
      </c>
      <c r="G1464" s="2" t="str">
        <f t="shared" si="144"/>
        <v>HIDRAULIKA KURELJA D.O.O., MATENAČKA CESTA 41, 49290 DONJA STUBICA, OIB: 3092900595</v>
      </c>
      <c r="H1464" s="4"/>
      <c r="I1464" s="1" t="s">
        <v>244</v>
      </c>
      <c r="J1464" s="1" t="s">
        <v>303</v>
      </c>
      <c r="K1464" s="6" t="str">
        <f>"44.470,12"</f>
        <v>44.470,12</v>
      </c>
      <c r="L1464" s="6" t="str">
        <f>"11.117,53"</f>
        <v>11.117,53</v>
      </c>
      <c r="M1464" s="6" t="str">
        <f>"55.587,65"</f>
        <v>55.587,65</v>
      </c>
      <c r="N1464" s="5">
        <v>43616</v>
      </c>
      <c r="O1464" s="7"/>
      <c r="P1464" s="6" t="str">
        <f>"55.587,65"</f>
        <v>55.587,65</v>
      </c>
      <c r="Q1464" s="7"/>
      <c r="R1464" s="1"/>
      <c r="S1464" s="1" t="str">
        <f>"11-19/NOS-153/17"</f>
        <v>11-19/NOS-153/17</v>
      </c>
      <c r="T1464" s="2" t="s">
        <v>33</v>
      </c>
    </row>
    <row r="1465" spans="1:20" ht="38.25" x14ac:dyDescent="0.25">
      <c r="A1465" s="1">
        <v>1461</v>
      </c>
      <c r="B1465" s="1" t="str">
        <f t="shared" si="143"/>
        <v>2017-424</v>
      </c>
      <c r="C1465" s="2" t="s">
        <v>950</v>
      </c>
      <c r="D1465" s="1" t="s">
        <v>184</v>
      </c>
      <c r="E1465" s="3" t="str">
        <f>""</f>
        <v/>
      </c>
      <c r="F1465" s="2" t="s">
        <v>27</v>
      </c>
      <c r="G1465" s="2" t="str">
        <f t="shared" si="144"/>
        <v>HIDRAULIKA KURELJA D.O.O., MATENAČKA CESTA 41, 49290 DONJA STUBICA, OIB: 3092900595</v>
      </c>
      <c r="H1465" s="4"/>
      <c r="I1465" s="1" t="s">
        <v>244</v>
      </c>
      <c r="J1465" s="1" t="s">
        <v>303</v>
      </c>
      <c r="K1465" s="6" t="str">
        <f>"40.532,20"</f>
        <v>40.532,20</v>
      </c>
      <c r="L1465" s="6" t="str">
        <f>"10.133,05"</f>
        <v>10.133,05</v>
      </c>
      <c r="M1465" s="6" t="str">
        <f>"50.665,25"</f>
        <v>50.665,25</v>
      </c>
      <c r="N1465" s="5">
        <v>43557</v>
      </c>
      <c r="O1465" s="7"/>
      <c r="P1465" s="6" t="str">
        <f>"50.665,25"</f>
        <v>50.665,25</v>
      </c>
      <c r="Q1465" s="7"/>
      <c r="R1465" s="1"/>
      <c r="S1465" s="1" t="str">
        <f>"12-19/NOS-153/17"</f>
        <v>12-19/NOS-153/17</v>
      </c>
      <c r="T1465" s="2" t="s">
        <v>33</v>
      </c>
    </row>
    <row r="1466" spans="1:20" ht="38.25" x14ac:dyDescent="0.25">
      <c r="A1466" s="1">
        <v>1462</v>
      </c>
      <c r="B1466" s="1" t="str">
        <f t="shared" si="143"/>
        <v>2017-424</v>
      </c>
      <c r="C1466" s="2" t="s">
        <v>950</v>
      </c>
      <c r="D1466" s="1" t="s">
        <v>184</v>
      </c>
      <c r="E1466" s="3" t="str">
        <f>""</f>
        <v/>
      </c>
      <c r="F1466" s="2" t="s">
        <v>27</v>
      </c>
      <c r="G1466" s="2" t="str">
        <f t="shared" si="144"/>
        <v>HIDRAULIKA KURELJA D.O.O., MATENAČKA CESTA 41, 49290 DONJA STUBICA, OIB: 3092900595</v>
      </c>
      <c r="H1466" s="4"/>
      <c r="I1466" s="1" t="s">
        <v>44</v>
      </c>
      <c r="J1466" s="1" t="s">
        <v>303</v>
      </c>
      <c r="K1466" s="6" t="str">
        <f>"59.085,00"</f>
        <v>59.085,00</v>
      </c>
      <c r="L1466" s="6" t="str">
        <f>"1.587,50"</f>
        <v>1.587,50</v>
      </c>
      <c r="M1466" s="6" t="str">
        <f>"7.937,50"</f>
        <v>7.937,50</v>
      </c>
      <c r="N1466" s="5">
        <v>43552</v>
      </c>
      <c r="O1466" s="7"/>
      <c r="P1466" s="6" t="str">
        <f>"7.937,50"</f>
        <v>7.937,50</v>
      </c>
      <c r="Q1466" s="7"/>
      <c r="R1466" s="1"/>
      <c r="S1466" s="1" t="str">
        <f>"13-19/NOS-153/17"</f>
        <v>13-19/NOS-153/17</v>
      </c>
      <c r="T1466" s="2" t="s">
        <v>33</v>
      </c>
    </row>
    <row r="1467" spans="1:20" ht="38.25" x14ac:dyDescent="0.25">
      <c r="A1467" s="1">
        <v>1463</v>
      </c>
      <c r="B1467" s="1" t="str">
        <f t="shared" si="143"/>
        <v>2017-424</v>
      </c>
      <c r="C1467" s="2" t="s">
        <v>950</v>
      </c>
      <c r="D1467" s="1" t="s">
        <v>184</v>
      </c>
      <c r="E1467" s="3" t="str">
        <f>""</f>
        <v/>
      </c>
      <c r="F1467" s="2" t="s">
        <v>27</v>
      </c>
      <c r="G1467" s="2" t="str">
        <f t="shared" si="144"/>
        <v>HIDRAULIKA KURELJA D.O.O., MATENAČKA CESTA 41, 49290 DONJA STUBICA, OIB: 3092900595</v>
      </c>
      <c r="H1467" s="4"/>
      <c r="I1467" s="1" t="s">
        <v>44</v>
      </c>
      <c r="J1467" s="1" t="s">
        <v>303</v>
      </c>
      <c r="K1467" s="6" t="str">
        <f>"10.256,39"</f>
        <v>10.256,39</v>
      </c>
      <c r="L1467" s="6" t="str">
        <f>"2.564,10"</f>
        <v>2.564,10</v>
      </c>
      <c r="M1467" s="6" t="str">
        <f>"12.820,49"</f>
        <v>12.820,49</v>
      </c>
      <c r="N1467" s="5">
        <v>43564</v>
      </c>
      <c r="O1467" s="7"/>
      <c r="P1467" s="6" t="str">
        <f>"12.820,49"</f>
        <v>12.820,49</v>
      </c>
      <c r="Q1467" s="7"/>
      <c r="R1467" s="1"/>
      <c r="S1467" s="1" t="str">
        <f>"14-19/NOS-153/17"</f>
        <v>14-19/NOS-153/17</v>
      </c>
      <c r="T1467" s="2" t="s">
        <v>33</v>
      </c>
    </row>
    <row r="1468" spans="1:20" ht="38.25" x14ac:dyDescent="0.25">
      <c r="A1468" s="1">
        <v>1464</v>
      </c>
      <c r="B1468" s="1" t="str">
        <f t="shared" si="143"/>
        <v>2017-424</v>
      </c>
      <c r="C1468" s="2" t="s">
        <v>950</v>
      </c>
      <c r="D1468" s="1" t="s">
        <v>184</v>
      </c>
      <c r="E1468" s="3" t="str">
        <f>""</f>
        <v/>
      </c>
      <c r="F1468" s="2" t="s">
        <v>27</v>
      </c>
      <c r="G1468" s="2" t="str">
        <f t="shared" si="144"/>
        <v>HIDRAULIKA KURELJA D.O.O., MATENAČKA CESTA 41, 49290 DONJA STUBICA, OIB: 3092900595</v>
      </c>
      <c r="H1468" s="4"/>
      <c r="I1468" s="1" t="s">
        <v>301</v>
      </c>
      <c r="J1468" s="1" t="s">
        <v>303</v>
      </c>
      <c r="K1468" s="6" t="str">
        <f>"4.842,80"</f>
        <v>4.842,80</v>
      </c>
      <c r="L1468" s="6" t="str">
        <f>"1.210,70"</f>
        <v>1.210,70</v>
      </c>
      <c r="M1468" s="6" t="str">
        <f>"6.053,50"</f>
        <v>6.053,50</v>
      </c>
      <c r="N1468" s="5">
        <v>43557</v>
      </c>
      <c r="O1468" s="7"/>
      <c r="P1468" s="6" t="str">
        <f>"6.053,50"</f>
        <v>6.053,50</v>
      </c>
      <c r="Q1468" s="7"/>
      <c r="R1468" s="1"/>
      <c r="S1468" s="1" t="str">
        <f>"15-19/NOS-153/17"</f>
        <v>15-19/NOS-153/17</v>
      </c>
      <c r="T1468" s="2" t="s">
        <v>33</v>
      </c>
    </row>
    <row r="1469" spans="1:20" ht="38.25" x14ac:dyDescent="0.25">
      <c r="A1469" s="1">
        <v>1465</v>
      </c>
      <c r="B1469" s="1" t="str">
        <f t="shared" si="143"/>
        <v>2017-424</v>
      </c>
      <c r="C1469" s="2" t="s">
        <v>950</v>
      </c>
      <c r="D1469" s="1" t="s">
        <v>184</v>
      </c>
      <c r="E1469" s="3" t="str">
        <f>""</f>
        <v/>
      </c>
      <c r="F1469" s="2" t="s">
        <v>27</v>
      </c>
      <c r="G1469" s="2" t="str">
        <f t="shared" si="144"/>
        <v>HIDRAULIKA KURELJA D.O.O., MATENAČKA CESTA 41, 49290 DONJA STUBICA, OIB: 3092900595</v>
      </c>
      <c r="H1469" s="4"/>
      <c r="I1469" s="1" t="s">
        <v>308</v>
      </c>
      <c r="J1469" s="1" t="s">
        <v>303</v>
      </c>
      <c r="K1469" s="6" t="str">
        <f>"6.335,00"</f>
        <v>6.335,00</v>
      </c>
      <c r="L1469" s="6" t="str">
        <f>"1.583,75"</f>
        <v>1.583,75</v>
      </c>
      <c r="M1469" s="6" t="str">
        <f>"7.918,75"</f>
        <v>7.918,75</v>
      </c>
      <c r="N1469" s="5">
        <v>43585</v>
      </c>
      <c r="O1469" s="7"/>
      <c r="P1469" s="6" t="str">
        <f>"7.918,75"</f>
        <v>7.918,75</v>
      </c>
      <c r="Q1469" s="7"/>
      <c r="R1469" s="1"/>
      <c r="S1469" s="1" t="str">
        <f>"16-19/NOS-153/17"</f>
        <v>16-19/NOS-153/17</v>
      </c>
      <c r="T1469" s="2" t="s">
        <v>33</v>
      </c>
    </row>
    <row r="1470" spans="1:20" ht="38.25" x14ac:dyDescent="0.25">
      <c r="A1470" s="1">
        <v>1466</v>
      </c>
      <c r="B1470" s="1" t="str">
        <f t="shared" si="143"/>
        <v>2017-424</v>
      </c>
      <c r="C1470" s="2" t="s">
        <v>950</v>
      </c>
      <c r="D1470" s="1" t="s">
        <v>184</v>
      </c>
      <c r="E1470" s="3" t="str">
        <f>""</f>
        <v/>
      </c>
      <c r="F1470" s="2" t="s">
        <v>27</v>
      </c>
      <c r="G1470" s="2" t="str">
        <f t="shared" si="144"/>
        <v>HIDRAULIKA KURELJA D.O.O., MATENAČKA CESTA 41, 49290 DONJA STUBICA, OIB: 3092900595</v>
      </c>
      <c r="H1470" s="4"/>
      <c r="I1470" s="1" t="s">
        <v>340</v>
      </c>
      <c r="J1470" s="1" t="s">
        <v>303</v>
      </c>
      <c r="K1470" s="6" t="str">
        <f>"6.126,67"</f>
        <v>6.126,67</v>
      </c>
      <c r="L1470" s="6" t="str">
        <f>"1.531,67"</f>
        <v>1.531,67</v>
      </c>
      <c r="M1470" s="6" t="str">
        <f>"7.658,34"</f>
        <v>7.658,34</v>
      </c>
      <c r="N1470" s="5">
        <v>43564</v>
      </c>
      <c r="O1470" s="7"/>
      <c r="P1470" s="6" t="str">
        <f>"7.658,34"</f>
        <v>7.658,34</v>
      </c>
      <c r="Q1470" s="7"/>
      <c r="R1470" s="1"/>
      <c r="S1470" s="1" t="str">
        <f>"17-19/NOS-153/17"</f>
        <v>17-19/NOS-153/17</v>
      </c>
      <c r="T1470" s="2" t="s">
        <v>33</v>
      </c>
    </row>
    <row r="1471" spans="1:20" ht="38.25" x14ac:dyDescent="0.25">
      <c r="A1471" s="1">
        <v>1467</v>
      </c>
      <c r="B1471" s="1" t="str">
        <f t="shared" si="143"/>
        <v>2017-424</v>
      </c>
      <c r="C1471" s="2" t="s">
        <v>950</v>
      </c>
      <c r="D1471" s="1" t="s">
        <v>184</v>
      </c>
      <c r="E1471" s="3" t="str">
        <f>""</f>
        <v/>
      </c>
      <c r="F1471" s="2" t="s">
        <v>27</v>
      </c>
      <c r="G1471" s="2" t="str">
        <f t="shared" si="144"/>
        <v>HIDRAULIKA KURELJA D.O.O., MATENAČKA CESTA 41, 49290 DONJA STUBICA, OIB: 3092900595</v>
      </c>
      <c r="H1471" s="4"/>
      <c r="I1471" s="1" t="s">
        <v>340</v>
      </c>
      <c r="J1471" s="1" t="s">
        <v>303</v>
      </c>
      <c r="K1471" s="6" t="str">
        <f>"5.135,96"</f>
        <v>5.135,96</v>
      </c>
      <c r="L1471" s="6" t="str">
        <f>"1.283,99"</f>
        <v>1.283,99</v>
      </c>
      <c r="M1471" s="6" t="str">
        <f>"6.419,95"</f>
        <v>6.419,95</v>
      </c>
      <c r="N1471" s="5">
        <v>43564</v>
      </c>
      <c r="O1471" s="7"/>
      <c r="P1471" s="6" t="str">
        <f>"6.419,95"</f>
        <v>6.419,95</v>
      </c>
      <c r="Q1471" s="7"/>
      <c r="R1471" s="1"/>
      <c r="S1471" s="1" t="str">
        <f>"18-19/NOS-153/17"</f>
        <v>18-19/NOS-153/17</v>
      </c>
      <c r="T1471" s="2" t="s">
        <v>33</v>
      </c>
    </row>
    <row r="1472" spans="1:20" ht="38.25" x14ac:dyDescent="0.25">
      <c r="A1472" s="1">
        <v>1468</v>
      </c>
      <c r="B1472" s="1" t="str">
        <f t="shared" si="143"/>
        <v>2017-424</v>
      </c>
      <c r="C1472" s="2" t="s">
        <v>950</v>
      </c>
      <c r="D1472" s="1" t="s">
        <v>184</v>
      </c>
      <c r="E1472" s="3" t="str">
        <f>""</f>
        <v/>
      </c>
      <c r="F1472" s="2" t="s">
        <v>27</v>
      </c>
      <c r="G1472" s="2" t="str">
        <f t="shared" si="144"/>
        <v>HIDRAULIKA KURELJA D.O.O., MATENAČKA CESTA 41, 49290 DONJA STUBICA, OIB: 3092900595</v>
      </c>
      <c r="H1472" s="4"/>
      <c r="I1472" s="1" t="s">
        <v>340</v>
      </c>
      <c r="J1472" s="1" t="s">
        <v>303</v>
      </c>
      <c r="K1472" s="6" t="str">
        <f>"1.180,00"</f>
        <v>1.180,00</v>
      </c>
      <c r="L1472" s="6" t="str">
        <f>"295,00"</f>
        <v>295,00</v>
      </c>
      <c r="M1472" s="6" t="str">
        <f>"1.475,00"</f>
        <v>1.475,00</v>
      </c>
      <c r="N1472" s="5">
        <v>43564</v>
      </c>
      <c r="O1472" s="7"/>
      <c r="P1472" s="6" t="str">
        <f>"1.475,00"</f>
        <v>1.475,00</v>
      </c>
      <c r="Q1472" s="7"/>
      <c r="R1472" s="1"/>
      <c r="S1472" s="1" t="str">
        <f>"19-19/NOS-153/17"</f>
        <v>19-19/NOS-153/17</v>
      </c>
      <c r="T1472" s="2" t="s">
        <v>33</v>
      </c>
    </row>
    <row r="1473" spans="1:20" ht="38.25" x14ac:dyDescent="0.25">
      <c r="A1473" s="1">
        <v>1469</v>
      </c>
      <c r="B1473" s="1" t="str">
        <f t="shared" si="143"/>
        <v>2017-424</v>
      </c>
      <c r="C1473" s="2" t="s">
        <v>950</v>
      </c>
      <c r="D1473" s="1" t="s">
        <v>184</v>
      </c>
      <c r="E1473" s="3" t="str">
        <f>""</f>
        <v/>
      </c>
      <c r="F1473" s="2" t="s">
        <v>27</v>
      </c>
      <c r="G1473" s="2" t="str">
        <f t="shared" si="144"/>
        <v>HIDRAULIKA KURELJA D.O.O., MATENAČKA CESTA 41, 49290 DONJA STUBICA, OIB: 3092900595</v>
      </c>
      <c r="H1473" s="4"/>
      <c r="I1473" s="1" t="s">
        <v>322</v>
      </c>
      <c r="J1473" s="1" t="s">
        <v>303</v>
      </c>
      <c r="K1473" s="6" t="str">
        <f>"39.780,00"</f>
        <v>39.780,00</v>
      </c>
      <c r="L1473" s="6" t="str">
        <f>"9.945,00"</f>
        <v>9.945,00</v>
      </c>
      <c r="M1473" s="6" t="str">
        <f>"49.725,00"</f>
        <v>49.725,00</v>
      </c>
      <c r="N1473" s="5">
        <v>43601</v>
      </c>
      <c r="O1473" s="7"/>
      <c r="P1473" s="6" t="str">
        <f>"49.725,00"</f>
        <v>49.725,00</v>
      </c>
      <c r="Q1473" s="7"/>
      <c r="R1473" s="1"/>
      <c r="S1473" s="1" t="str">
        <f>"20-19/NOS-153/17"</f>
        <v>20-19/NOS-153/17</v>
      </c>
      <c r="T1473" s="2" t="s">
        <v>33</v>
      </c>
    </row>
    <row r="1474" spans="1:20" ht="38.25" x14ac:dyDescent="0.25">
      <c r="A1474" s="1">
        <v>1470</v>
      </c>
      <c r="B1474" s="1" t="str">
        <f t="shared" si="143"/>
        <v>2017-424</v>
      </c>
      <c r="C1474" s="2" t="s">
        <v>950</v>
      </c>
      <c r="D1474" s="1" t="s">
        <v>184</v>
      </c>
      <c r="E1474" s="3" t="str">
        <f>""</f>
        <v/>
      </c>
      <c r="F1474" s="2" t="s">
        <v>27</v>
      </c>
      <c r="G1474" s="2" t="str">
        <f t="shared" si="144"/>
        <v>HIDRAULIKA KURELJA D.O.O., MATENAČKA CESTA 41, 49290 DONJA STUBICA, OIB: 3092900595</v>
      </c>
      <c r="H1474" s="4"/>
      <c r="I1474" s="1" t="s">
        <v>322</v>
      </c>
      <c r="J1474" s="1" t="s">
        <v>303</v>
      </c>
      <c r="K1474" s="6" t="str">
        <f>"3.427,00"</f>
        <v>3.427,00</v>
      </c>
      <c r="L1474" s="6" t="str">
        <f>"856,75"</f>
        <v>856,75</v>
      </c>
      <c r="M1474" s="6" t="str">
        <f>"4.283,75"</f>
        <v>4.283,75</v>
      </c>
      <c r="N1474" s="5">
        <v>43580</v>
      </c>
      <c r="O1474" s="7"/>
      <c r="P1474" s="6" t="str">
        <f>"4.283,75"</f>
        <v>4.283,75</v>
      </c>
      <c r="Q1474" s="7"/>
      <c r="R1474" s="1"/>
      <c r="S1474" s="1" t="str">
        <f>"21-19/NOS-153/17"</f>
        <v>21-19/NOS-153/17</v>
      </c>
      <c r="T1474" s="2" t="s">
        <v>33</v>
      </c>
    </row>
    <row r="1475" spans="1:20" ht="38.25" x14ac:dyDescent="0.25">
      <c r="A1475" s="1">
        <v>1471</v>
      </c>
      <c r="B1475" s="1" t="str">
        <f t="shared" si="143"/>
        <v>2017-424</v>
      </c>
      <c r="C1475" s="2" t="s">
        <v>950</v>
      </c>
      <c r="D1475" s="1" t="s">
        <v>184</v>
      </c>
      <c r="E1475" s="3" t="str">
        <f>""</f>
        <v/>
      </c>
      <c r="F1475" s="2" t="s">
        <v>27</v>
      </c>
      <c r="G1475" s="2" t="str">
        <f t="shared" si="144"/>
        <v>HIDRAULIKA KURELJA D.O.O., MATENAČKA CESTA 41, 49290 DONJA STUBICA, OIB: 3092900595</v>
      </c>
      <c r="H1475" s="4"/>
      <c r="I1475" s="1" t="s">
        <v>343</v>
      </c>
      <c r="J1475" s="1" t="s">
        <v>303</v>
      </c>
      <c r="K1475" s="6" t="str">
        <f>"2.374,92"</f>
        <v>2.374,92</v>
      </c>
      <c r="L1475" s="6" t="str">
        <f>"593,73"</f>
        <v>593,73</v>
      </c>
      <c r="M1475" s="6" t="str">
        <f>"2.968,65"</f>
        <v>2.968,65</v>
      </c>
      <c r="N1475" s="5">
        <v>43573</v>
      </c>
      <c r="O1475" s="7"/>
      <c r="P1475" s="6" t="str">
        <f>"2.968,65"</f>
        <v>2.968,65</v>
      </c>
      <c r="Q1475" s="7"/>
      <c r="R1475" s="1"/>
      <c r="S1475" s="1" t="str">
        <f>"22-19/NOS-153/17"</f>
        <v>22-19/NOS-153/17</v>
      </c>
      <c r="T1475" s="2" t="s">
        <v>33</v>
      </c>
    </row>
    <row r="1476" spans="1:20" ht="38.25" x14ac:dyDescent="0.25">
      <c r="A1476" s="1">
        <v>1472</v>
      </c>
      <c r="B1476" s="1" t="str">
        <f t="shared" si="143"/>
        <v>2017-424</v>
      </c>
      <c r="C1476" s="2" t="s">
        <v>950</v>
      </c>
      <c r="D1476" s="1" t="s">
        <v>184</v>
      </c>
      <c r="E1476" s="3" t="str">
        <f>""</f>
        <v/>
      </c>
      <c r="F1476" s="2" t="s">
        <v>27</v>
      </c>
      <c r="G1476" s="2" t="str">
        <f t="shared" si="144"/>
        <v>HIDRAULIKA KURELJA D.O.O., MATENAČKA CESTA 41, 49290 DONJA STUBICA, OIB: 3092900595</v>
      </c>
      <c r="H1476" s="4"/>
      <c r="I1476" s="1" t="s">
        <v>498</v>
      </c>
      <c r="J1476" s="1" t="s">
        <v>303</v>
      </c>
      <c r="K1476" s="6" t="str">
        <f>"4.306,32"</f>
        <v>4.306,32</v>
      </c>
      <c r="L1476" s="6" t="str">
        <f>"1.076,58"</f>
        <v>1.076,58</v>
      </c>
      <c r="M1476" s="6" t="str">
        <f>"5.382,90"</f>
        <v>5.382,90</v>
      </c>
      <c r="N1476" s="5">
        <v>43574</v>
      </c>
      <c r="O1476" s="7"/>
      <c r="P1476" s="6" t="str">
        <f>"5.382,90"</f>
        <v>5.382,90</v>
      </c>
      <c r="Q1476" s="7"/>
      <c r="R1476" s="1"/>
      <c r="S1476" s="1" t="str">
        <f>"23-19/NOS-153/17"</f>
        <v>23-19/NOS-153/17</v>
      </c>
      <c r="T1476" s="2" t="s">
        <v>33</v>
      </c>
    </row>
    <row r="1477" spans="1:20" ht="38.25" x14ac:dyDescent="0.25">
      <c r="A1477" s="1">
        <v>1473</v>
      </c>
      <c r="B1477" s="1" t="str">
        <f t="shared" si="143"/>
        <v>2017-424</v>
      </c>
      <c r="C1477" s="2" t="s">
        <v>950</v>
      </c>
      <c r="D1477" s="1" t="s">
        <v>184</v>
      </c>
      <c r="E1477" s="3" t="str">
        <f>""</f>
        <v/>
      </c>
      <c r="F1477" s="2" t="s">
        <v>27</v>
      </c>
      <c r="G1477" s="2" t="str">
        <f t="shared" si="144"/>
        <v>HIDRAULIKA KURELJA D.O.O., MATENAČKA CESTA 41, 49290 DONJA STUBICA, OIB: 3092900595</v>
      </c>
      <c r="H1477" s="4"/>
      <c r="I1477" s="1" t="s">
        <v>30</v>
      </c>
      <c r="J1477" s="1" t="s">
        <v>303</v>
      </c>
      <c r="K1477" s="6" t="str">
        <f>"2.922,57"</f>
        <v>2.922,57</v>
      </c>
      <c r="L1477" s="6" t="str">
        <f>"730,64"</f>
        <v>730,64</v>
      </c>
      <c r="M1477" s="6" t="str">
        <f>"3.653,21"</f>
        <v>3.653,21</v>
      </c>
      <c r="N1477" s="5">
        <v>43574</v>
      </c>
      <c r="O1477" s="7"/>
      <c r="P1477" s="6" t="str">
        <f>"3.653,21"</f>
        <v>3.653,21</v>
      </c>
      <c r="Q1477" s="7"/>
      <c r="R1477" s="1"/>
      <c r="S1477" s="1" t="str">
        <f>"24-19/NOS-153/17"</f>
        <v>24-19/NOS-153/17</v>
      </c>
      <c r="T1477" s="2" t="s">
        <v>33</v>
      </c>
    </row>
    <row r="1478" spans="1:20" ht="38.25" x14ac:dyDescent="0.25">
      <c r="A1478" s="1">
        <v>1474</v>
      </c>
      <c r="B1478" s="1" t="str">
        <f t="shared" si="143"/>
        <v>2017-424</v>
      </c>
      <c r="C1478" s="2" t="s">
        <v>950</v>
      </c>
      <c r="D1478" s="1" t="s">
        <v>184</v>
      </c>
      <c r="E1478" s="3" t="str">
        <f>""</f>
        <v/>
      </c>
      <c r="F1478" s="2" t="s">
        <v>27</v>
      </c>
      <c r="G1478" s="2" t="str">
        <f t="shared" si="144"/>
        <v>HIDRAULIKA KURELJA D.O.O., MATENAČKA CESTA 41, 49290 DONJA STUBICA, OIB: 3092900595</v>
      </c>
      <c r="H1478" s="4"/>
      <c r="I1478" s="1" t="s">
        <v>30</v>
      </c>
      <c r="J1478" s="1" t="s">
        <v>303</v>
      </c>
      <c r="K1478" s="6" t="str">
        <f>"4.792,60"</f>
        <v>4.792,60</v>
      </c>
      <c r="L1478" s="6" t="str">
        <f>"1.198,15"</f>
        <v>1.198,15</v>
      </c>
      <c r="M1478" s="6" t="str">
        <f>"5.990,75"</f>
        <v>5.990,75</v>
      </c>
      <c r="N1478" s="5">
        <v>43580</v>
      </c>
      <c r="O1478" s="7"/>
      <c r="P1478" s="6" t="str">
        <f>"5.990,75"</f>
        <v>5.990,75</v>
      </c>
      <c r="Q1478" s="7"/>
      <c r="R1478" s="1"/>
      <c r="S1478" s="1" t="str">
        <f>"25-19/NOS-153/17"</f>
        <v>25-19/NOS-153/17</v>
      </c>
      <c r="T1478" s="2" t="s">
        <v>33</v>
      </c>
    </row>
    <row r="1479" spans="1:20" ht="38.25" x14ac:dyDescent="0.25">
      <c r="A1479" s="1">
        <v>1475</v>
      </c>
      <c r="B1479" s="1" t="str">
        <f t="shared" si="143"/>
        <v>2017-424</v>
      </c>
      <c r="C1479" s="2" t="s">
        <v>950</v>
      </c>
      <c r="D1479" s="1" t="s">
        <v>184</v>
      </c>
      <c r="E1479" s="3" t="str">
        <f>""</f>
        <v/>
      </c>
      <c r="F1479" s="2" t="s">
        <v>27</v>
      </c>
      <c r="G1479" s="2" t="str">
        <f t="shared" si="144"/>
        <v>HIDRAULIKA KURELJA D.O.O., MATENAČKA CESTA 41, 49290 DONJA STUBICA, OIB: 3092900595</v>
      </c>
      <c r="H1479" s="4"/>
      <c r="I1479" s="1" t="s">
        <v>494</v>
      </c>
      <c r="J1479" s="1" t="s">
        <v>303</v>
      </c>
      <c r="K1479" s="6" t="str">
        <f>"4.075,12"</f>
        <v>4.075,12</v>
      </c>
      <c r="L1479" s="6" t="str">
        <f>"1.018,78"</f>
        <v>1.018,78</v>
      </c>
      <c r="M1479" s="6" t="str">
        <f>"5.093,90"</f>
        <v>5.093,90</v>
      </c>
      <c r="N1479" s="5">
        <v>43595</v>
      </c>
      <c r="O1479" s="7"/>
      <c r="P1479" s="6" t="str">
        <f>"5.093,90"</f>
        <v>5.093,90</v>
      </c>
      <c r="Q1479" s="7"/>
      <c r="R1479" s="1"/>
      <c r="S1479" s="1" t="str">
        <f>"26-19/NOS-153/17"</f>
        <v>26-19/NOS-153/17</v>
      </c>
      <c r="T1479" s="2" t="s">
        <v>33</v>
      </c>
    </row>
    <row r="1480" spans="1:20" ht="38.25" x14ac:dyDescent="0.25">
      <c r="A1480" s="1">
        <v>1476</v>
      </c>
      <c r="B1480" s="1" t="str">
        <f t="shared" si="143"/>
        <v>2017-424</v>
      </c>
      <c r="C1480" s="2" t="s">
        <v>950</v>
      </c>
      <c r="D1480" s="1" t="s">
        <v>184</v>
      </c>
      <c r="E1480" s="3" t="str">
        <f>""</f>
        <v/>
      </c>
      <c r="F1480" s="2" t="s">
        <v>27</v>
      </c>
      <c r="G1480" s="2" t="str">
        <f t="shared" si="144"/>
        <v>HIDRAULIKA KURELJA D.O.O., MATENAČKA CESTA 41, 49290 DONJA STUBICA, OIB: 3092900595</v>
      </c>
      <c r="H1480" s="4"/>
      <c r="I1480" s="1" t="s">
        <v>311</v>
      </c>
      <c r="J1480" s="1" t="s">
        <v>303</v>
      </c>
      <c r="K1480" s="6" t="str">
        <f>"558,00"</f>
        <v>558,00</v>
      </c>
      <c r="L1480" s="6" t="str">
        <f>"139,50"</f>
        <v>139,50</v>
      </c>
      <c r="M1480" s="6" t="str">
        <f>"697,50"</f>
        <v>697,50</v>
      </c>
      <c r="N1480" s="5">
        <v>43585</v>
      </c>
      <c r="O1480" s="7"/>
      <c r="P1480" s="6" t="str">
        <f>"697,50"</f>
        <v>697,50</v>
      </c>
      <c r="Q1480" s="7"/>
      <c r="R1480" s="1"/>
      <c r="S1480" s="1" t="str">
        <f>"27-19/NOS-153/17"</f>
        <v>27-19/NOS-153/17</v>
      </c>
      <c r="T1480" s="2" t="s">
        <v>33</v>
      </c>
    </row>
    <row r="1481" spans="1:20" ht="38.25" x14ac:dyDescent="0.25">
      <c r="A1481" s="1">
        <v>1477</v>
      </c>
      <c r="B1481" s="1" t="str">
        <f t="shared" si="143"/>
        <v>2017-424</v>
      </c>
      <c r="C1481" s="2" t="s">
        <v>950</v>
      </c>
      <c r="D1481" s="1" t="s">
        <v>184</v>
      </c>
      <c r="E1481" s="3" t="str">
        <f>""</f>
        <v/>
      </c>
      <c r="F1481" s="2" t="s">
        <v>27</v>
      </c>
      <c r="G1481" s="2" t="str">
        <f t="shared" si="144"/>
        <v>HIDRAULIKA KURELJA D.O.O., MATENAČKA CESTA 41, 49290 DONJA STUBICA, OIB: 3092900595</v>
      </c>
      <c r="H1481" s="4"/>
      <c r="I1481" s="1" t="s">
        <v>590</v>
      </c>
      <c r="J1481" s="1" t="s">
        <v>303</v>
      </c>
      <c r="K1481" s="6" t="str">
        <f>"19.424,40"</f>
        <v>19.424,40</v>
      </c>
      <c r="L1481" s="6" t="str">
        <f>"4.856,10"</f>
        <v>4.856,10</v>
      </c>
      <c r="M1481" s="6" t="str">
        <f>"24.280,50"</f>
        <v>24.280,50</v>
      </c>
      <c r="N1481" s="5">
        <v>43601</v>
      </c>
      <c r="O1481" s="7"/>
      <c r="P1481" s="6" t="str">
        <f>"24.280,50"</f>
        <v>24.280,50</v>
      </c>
      <c r="Q1481" s="7"/>
      <c r="R1481" s="1"/>
      <c r="S1481" s="1" t="str">
        <f>"28-19/NOS-153/17"</f>
        <v>28-19/NOS-153/17</v>
      </c>
      <c r="T1481" s="2" t="s">
        <v>29</v>
      </c>
    </row>
    <row r="1482" spans="1:20" ht="38.25" x14ac:dyDescent="0.25">
      <c r="A1482" s="1">
        <v>1478</v>
      </c>
      <c r="B1482" s="1" t="str">
        <f t="shared" si="143"/>
        <v>2017-424</v>
      </c>
      <c r="C1482" s="2" t="s">
        <v>950</v>
      </c>
      <c r="D1482" s="1" t="s">
        <v>184</v>
      </c>
      <c r="E1482" s="3" t="str">
        <f>""</f>
        <v/>
      </c>
      <c r="F1482" s="2" t="s">
        <v>27</v>
      </c>
      <c r="G1482" s="2" t="str">
        <f t="shared" si="144"/>
        <v>HIDRAULIKA KURELJA D.O.O., MATENAČKA CESTA 41, 49290 DONJA STUBICA, OIB: 3092900595</v>
      </c>
      <c r="H1482" s="4"/>
      <c r="I1482" s="1" t="s">
        <v>334</v>
      </c>
      <c r="J1482" s="1" t="s">
        <v>303</v>
      </c>
      <c r="K1482" s="6" t="str">
        <f>"18.284,46"</f>
        <v>18.284,46</v>
      </c>
      <c r="L1482" s="6" t="str">
        <f>"4.571,11"</f>
        <v>4.571,11</v>
      </c>
      <c r="M1482" s="6" t="str">
        <f>"22.855,57"</f>
        <v>22.855,57</v>
      </c>
      <c r="N1482" s="5">
        <v>43602</v>
      </c>
      <c r="O1482" s="7"/>
      <c r="P1482" s="6" t="str">
        <f>"22.855,58"</f>
        <v>22.855,58</v>
      </c>
      <c r="Q1482" s="7"/>
      <c r="R1482" s="1"/>
      <c r="S1482" s="1" t="str">
        <f>"29-19/NOS-153/17"</f>
        <v>29-19/NOS-153/17</v>
      </c>
      <c r="T1482" s="2" t="s">
        <v>33</v>
      </c>
    </row>
    <row r="1483" spans="1:20" ht="38.25" x14ac:dyDescent="0.25">
      <c r="A1483" s="1">
        <v>1479</v>
      </c>
      <c r="B1483" s="1" t="str">
        <f t="shared" si="143"/>
        <v>2017-424</v>
      </c>
      <c r="C1483" s="2" t="s">
        <v>950</v>
      </c>
      <c r="D1483" s="1" t="s">
        <v>184</v>
      </c>
      <c r="E1483" s="3" t="str">
        <f>""</f>
        <v/>
      </c>
      <c r="F1483" s="2" t="s">
        <v>27</v>
      </c>
      <c r="G1483" s="2" t="str">
        <f t="shared" si="144"/>
        <v>HIDRAULIKA KURELJA D.O.O., MATENAČKA CESTA 41, 49290 DONJA STUBICA, OIB: 3092900595</v>
      </c>
      <c r="H1483" s="4"/>
      <c r="I1483" s="1" t="s">
        <v>590</v>
      </c>
      <c r="J1483" s="1" t="s">
        <v>303</v>
      </c>
      <c r="K1483" s="6" t="str">
        <f>"3.287,26"</f>
        <v>3.287,26</v>
      </c>
      <c r="L1483" s="6" t="str">
        <f>"821,82"</f>
        <v>821,82</v>
      </c>
      <c r="M1483" s="6" t="str">
        <f>"4.109,08"</f>
        <v>4.109,08</v>
      </c>
      <c r="N1483" s="5">
        <v>43601</v>
      </c>
      <c r="O1483" s="7"/>
      <c r="P1483" s="6" t="str">
        <f>"4.109,08"</f>
        <v>4.109,08</v>
      </c>
      <c r="Q1483" s="7"/>
      <c r="R1483" s="1"/>
      <c r="S1483" s="1" t="str">
        <f>"30-19/NOS-153/17"</f>
        <v>30-19/NOS-153/17</v>
      </c>
      <c r="T1483" s="2" t="s">
        <v>29</v>
      </c>
    </row>
    <row r="1484" spans="1:20" ht="38.25" x14ac:dyDescent="0.25">
      <c r="A1484" s="1">
        <v>1480</v>
      </c>
      <c r="B1484" s="1" t="str">
        <f t="shared" ref="B1484:B1500" si="145">"2017-424"</f>
        <v>2017-424</v>
      </c>
      <c r="C1484" s="2" t="s">
        <v>950</v>
      </c>
      <c r="D1484" s="1" t="s">
        <v>184</v>
      </c>
      <c r="E1484" s="3" t="str">
        <f>""</f>
        <v/>
      </c>
      <c r="F1484" s="2" t="s">
        <v>27</v>
      </c>
      <c r="G1484" s="2" t="str">
        <f t="shared" ref="G1484:G1500" si="146">CONCATENATE("HIDRAULIKA KURELJA D.O.O.,"," MATENAČKA CESTA 41,"," 49290 DONJA STUBICA,"," OIB: 3092900595")</f>
        <v>HIDRAULIKA KURELJA D.O.O., MATENAČKA CESTA 41, 49290 DONJA STUBICA, OIB: 3092900595</v>
      </c>
      <c r="H1484" s="4"/>
      <c r="I1484" s="1" t="s">
        <v>334</v>
      </c>
      <c r="J1484" s="1" t="s">
        <v>303</v>
      </c>
      <c r="K1484" s="6" t="str">
        <f>"38.913,84"</f>
        <v>38.913,84</v>
      </c>
      <c r="L1484" s="6" t="str">
        <f>"9.728,46"</f>
        <v>9.728,46</v>
      </c>
      <c r="M1484" s="6" t="str">
        <f>"48.642,30"</f>
        <v>48.642,30</v>
      </c>
      <c r="N1484" s="5">
        <v>43602</v>
      </c>
      <c r="O1484" s="7"/>
      <c r="P1484" s="6" t="str">
        <f>"48.642,30"</f>
        <v>48.642,30</v>
      </c>
      <c r="Q1484" s="7"/>
      <c r="R1484" s="1"/>
      <c r="S1484" s="1" t="str">
        <f>"31-19/NOS-153/17"</f>
        <v>31-19/NOS-153/17</v>
      </c>
      <c r="T1484" s="2" t="s">
        <v>33</v>
      </c>
    </row>
    <row r="1485" spans="1:20" ht="38.25" x14ac:dyDescent="0.25">
      <c r="A1485" s="1">
        <v>1481</v>
      </c>
      <c r="B1485" s="1" t="str">
        <f t="shared" si="145"/>
        <v>2017-424</v>
      </c>
      <c r="C1485" s="2" t="s">
        <v>950</v>
      </c>
      <c r="D1485" s="1" t="s">
        <v>184</v>
      </c>
      <c r="E1485" s="3" t="str">
        <f>""</f>
        <v/>
      </c>
      <c r="F1485" s="2" t="s">
        <v>27</v>
      </c>
      <c r="G1485" s="2" t="str">
        <f t="shared" si="146"/>
        <v>HIDRAULIKA KURELJA D.O.O., MATENAČKA CESTA 41, 49290 DONJA STUBICA, OIB: 3092900595</v>
      </c>
      <c r="H1485" s="4"/>
      <c r="I1485" s="1" t="s">
        <v>334</v>
      </c>
      <c r="J1485" s="1" t="s">
        <v>303</v>
      </c>
      <c r="K1485" s="6" t="str">
        <f>"10.188,37"</f>
        <v>10.188,37</v>
      </c>
      <c r="L1485" s="6" t="str">
        <f>"2.547,09"</f>
        <v>2.547,09</v>
      </c>
      <c r="M1485" s="6" t="str">
        <f>"12.735,46"</f>
        <v>12.735,46</v>
      </c>
      <c r="N1485" s="5">
        <v>43609</v>
      </c>
      <c r="O1485" s="7"/>
      <c r="P1485" s="6" t="str">
        <f>"12.735,46"</f>
        <v>12.735,46</v>
      </c>
      <c r="Q1485" s="7"/>
      <c r="R1485" s="1"/>
      <c r="S1485" s="1" t="str">
        <f>"32-19/NOS-153/17"</f>
        <v>32-19/NOS-153/17</v>
      </c>
      <c r="T1485" s="2" t="s">
        <v>33</v>
      </c>
    </row>
    <row r="1486" spans="1:20" ht="38.25" x14ac:dyDescent="0.25">
      <c r="A1486" s="1">
        <v>1482</v>
      </c>
      <c r="B1486" s="1" t="str">
        <f t="shared" si="145"/>
        <v>2017-424</v>
      </c>
      <c r="C1486" s="2" t="s">
        <v>950</v>
      </c>
      <c r="D1486" s="1" t="s">
        <v>184</v>
      </c>
      <c r="E1486" s="3" t="str">
        <f>""</f>
        <v/>
      </c>
      <c r="F1486" s="2" t="s">
        <v>27</v>
      </c>
      <c r="G1486" s="2" t="str">
        <f t="shared" si="146"/>
        <v>HIDRAULIKA KURELJA D.O.O., MATENAČKA CESTA 41, 49290 DONJA STUBICA, OIB: 3092900595</v>
      </c>
      <c r="H1486" s="4"/>
      <c r="I1486" s="1" t="s">
        <v>25</v>
      </c>
      <c r="J1486" s="1" t="s">
        <v>303</v>
      </c>
      <c r="K1486" s="6" t="str">
        <f>"3.128,29"</f>
        <v>3.128,29</v>
      </c>
      <c r="L1486" s="6" t="str">
        <f>"782,07"</f>
        <v>782,07</v>
      </c>
      <c r="M1486" s="6" t="str">
        <f>"3.910,36"</f>
        <v>3.910,36</v>
      </c>
      <c r="N1486" s="5">
        <v>43616</v>
      </c>
      <c r="O1486" s="7"/>
      <c r="P1486" s="6" t="str">
        <f>"3.910,36"</f>
        <v>3.910,36</v>
      </c>
      <c r="Q1486" s="7"/>
      <c r="R1486" s="1"/>
      <c r="S1486" s="1" t="str">
        <f>"33-19/NOS-153/17"</f>
        <v>33-19/NOS-153/17</v>
      </c>
      <c r="T1486" s="2" t="s">
        <v>33</v>
      </c>
    </row>
    <row r="1487" spans="1:20" ht="38.25" x14ac:dyDescent="0.25">
      <c r="A1487" s="1">
        <v>1483</v>
      </c>
      <c r="B1487" s="1" t="str">
        <f t="shared" si="145"/>
        <v>2017-424</v>
      </c>
      <c r="C1487" s="2" t="s">
        <v>950</v>
      </c>
      <c r="D1487" s="1" t="s">
        <v>184</v>
      </c>
      <c r="E1487" s="3" t="str">
        <f>""</f>
        <v/>
      </c>
      <c r="F1487" s="2" t="s">
        <v>27</v>
      </c>
      <c r="G1487" s="2" t="str">
        <f t="shared" si="146"/>
        <v>HIDRAULIKA KURELJA D.O.O., MATENAČKA CESTA 41, 49290 DONJA STUBICA, OIB: 3092900595</v>
      </c>
      <c r="H1487" s="4"/>
      <c r="I1487" s="1" t="s">
        <v>475</v>
      </c>
      <c r="J1487" s="1" t="s">
        <v>303</v>
      </c>
      <c r="K1487" s="6" t="str">
        <f>"7.815,40"</f>
        <v>7.815,40</v>
      </c>
      <c r="L1487" s="6" t="str">
        <f>"0,00"</f>
        <v>0,00</v>
      </c>
      <c r="M1487" s="6" t="str">
        <f>"0,00"</f>
        <v>0,00</v>
      </c>
      <c r="N1487" s="1" t="s">
        <v>117</v>
      </c>
      <c r="O1487" s="7"/>
      <c r="P1487" s="6" t="str">
        <f>"0,00"</f>
        <v>0,00</v>
      </c>
      <c r="Q1487" s="7"/>
      <c r="R1487" s="1"/>
      <c r="S1487" s="1" t="str">
        <f>"34-19/NOS-153/17"</f>
        <v>34-19/NOS-153/17</v>
      </c>
      <c r="T1487" s="2" t="s">
        <v>33</v>
      </c>
    </row>
    <row r="1488" spans="1:20" ht="38.25" x14ac:dyDescent="0.25">
      <c r="A1488" s="1">
        <v>1484</v>
      </c>
      <c r="B1488" s="1" t="str">
        <f t="shared" si="145"/>
        <v>2017-424</v>
      </c>
      <c r="C1488" s="2" t="s">
        <v>950</v>
      </c>
      <c r="D1488" s="1" t="s">
        <v>184</v>
      </c>
      <c r="E1488" s="3" t="str">
        <f>""</f>
        <v/>
      </c>
      <c r="F1488" s="2" t="s">
        <v>27</v>
      </c>
      <c r="G1488" s="2" t="str">
        <f t="shared" si="146"/>
        <v>HIDRAULIKA KURELJA D.O.O., MATENAČKA CESTA 41, 49290 DONJA STUBICA, OIB: 3092900595</v>
      </c>
      <c r="H1488" s="4"/>
      <c r="I1488" s="1" t="s">
        <v>475</v>
      </c>
      <c r="J1488" s="1" t="s">
        <v>303</v>
      </c>
      <c r="K1488" s="6" t="str">
        <f>"697,50"</f>
        <v>697,50</v>
      </c>
      <c r="L1488" s="6" t="str">
        <f>"174,38"</f>
        <v>174,38</v>
      </c>
      <c r="M1488" s="6" t="str">
        <f>"871,88"</f>
        <v>871,88</v>
      </c>
      <c r="N1488" s="5">
        <v>43609</v>
      </c>
      <c r="O1488" s="7"/>
      <c r="P1488" s="6" t="str">
        <f>"871,88"</f>
        <v>871,88</v>
      </c>
      <c r="Q1488" s="7"/>
      <c r="R1488" s="1"/>
      <c r="S1488" s="1" t="str">
        <f>"35-19/NOS-153/17"</f>
        <v>35-19/NOS-153/17</v>
      </c>
      <c r="T1488" s="2" t="s">
        <v>33</v>
      </c>
    </row>
    <row r="1489" spans="1:20" ht="38.25" x14ac:dyDescent="0.25">
      <c r="A1489" s="1">
        <v>1485</v>
      </c>
      <c r="B1489" s="1" t="str">
        <f t="shared" si="145"/>
        <v>2017-424</v>
      </c>
      <c r="C1489" s="2" t="s">
        <v>950</v>
      </c>
      <c r="D1489" s="1" t="s">
        <v>184</v>
      </c>
      <c r="E1489" s="3" t="str">
        <f>""</f>
        <v/>
      </c>
      <c r="F1489" s="2" t="s">
        <v>27</v>
      </c>
      <c r="G1489" s="2" t="str">
        <f t="shared" si="146"/>
        <v>HIDRAULIKA KURELJA D.O.O., MATENAČKA CESTA 41, 49290 DONJA STUBICA, OIB: 3092900595</v>
      </c>
      <c r="H1489" s="4"/>
      <c r="I1489" s="1" t="s">
        <v>32</v>
      </c>
      <c r="J1489" s="1" t="s">
        <v>303</v>
      </c>
      <c r="K1489" s="6" t="str">
        <f>"7.229,40"</f>
        <v>7.229,40</v>
      </c>
      <c r="L1489" s="6" t="str">
        <f>"1.807,35"</f>
        <v>1.807,35</v>
      </c>
      <c r="M1489" s="6" t="str">
        <f>"9.036,75"</f>
        <v>9.036,75</v>
      </c>
      <c r="N1489" s="5">
        <v>43616</v>
      </c>
      <c r="O1489" s="7"/>
      <c r="P1489" s="6" t="str">
        <f>"9.036,75"</f>
        <v>9.036,75</v>
      </c>
      <c r="Q1489" s="7"/>
      <c r="R1489" s="1"/>
      <c r="S1489" s="1" t="str">
        <f>"36-19/NOS-153/17"</f>
        <v>36-19/NOS-153/17</v>
      </c>
      <c r="T1489" s="2" t="s">
        <v>33</v>
      </c>
    </row>
    <row r="1490" spans="1:20" ht="38.25" x14ac:dyDescent="0.25">
      <c r="A1490" s="1">
        <v>1486</v>
      </c>
      <c r="B1490" s="1" t="str">
        <f t="shared" si="145"/>
        <v>2017-424</v>
      </c>
      <c r="C1490" s="2" t="s">
        <v>950</v>
      </c>
      <c r="D1490" s="1" t="s">
        <v>184</v>
      </c>
      <c r="E1490" s="3" t="str">
        <f>""</f>
        <v/>
      </c>
      <c r="F1490" s="2" t="s">
        <v>27</v>
      </c>
      <c r="G1490" s="2" t="str">
        <f t="shared" si="146"/>
        <v>HIDRAULIKA KURELJA D.O.O., MATENAČKA CESTA 41, 49290 DONJA STUBICA, OIB: 3092900595</v>
      </c>
      <c r="H1490" s="4"/>
      <c r="I1490" s="1" t="s">
        <v>435</v>
      </c>
      <c r="J1490" s="1" t="s">
        <v>303</v>
      </c>
      <c r="K1490" s="6" t="str">
        <f>"4.661,20"</f>
        <v>4.661,20</v>
      </c>
      <c r="L1490" s="6" t="str">
        <f>"1.165,30"</f>
        <v>1.165,30</v>
      </c>
      <c r="M1490" s="6" t="str">
        <f>"5.826,50"</f>
        <v>5.826,50</v>
      </c>
      <c r="N1490" s="5">
        <v>43626</v>
      </c>
      <c r="O1490" s="7"/>
      <c r="P1490" s="6" t="str">
        <f>"5.826,50"</f>
        <v>5.826,50</v>
      </c>
      <c r="Q1490" s="7"/>
      <c r="R1490" s="1"/>
      <c r="S1490" s="1" t="str">
        <f>"37-19/NOS-153/17"</f>
        <v>37-19/NOS-153/17</v>
      </c>
      <c r="T1490" s="2" t="s">
        <v>33</v>
      </c>
    </row>
    <row r="1491" spans="1:20" ht="38.25" x14ac:dyDescent="0.25">
      <c r="A1491" s="1">
        <v>1487</v>
      </c>
      <c r="B1491" s="1" t="str">
        <f t="shared" si="145"/>
        <v>2017-424</v>
      </c>
      <c r="C1491" s="2" t="s">
        <v>950</v>
      </c>
      <c r="D1491" s="1" t="s">
        <v>184</v>
      </c>
      <c r="E1491" s="3" t="str">
        <f>""</f>
        <v/>
      </c>
      <c r="F1491" s="2" t="s">
        <v>27</v>
      </c>
      <c r="G1491" s="2" t="str">
        <f t="shared" si="146"/>
        <v>HIDRAULIKA KURELJA D.O.O., MATENAČKA CESTA 41, 49290 DONJA STUBICA, OIB: 3092900595</v>
      </c>
      <c r="H1491" s="4"/>
      <c r="I1491" s="1" t="s">
        <v>642</v>
      </c>
      <c r="J1491" s="1" t="s">
        <v>303</v>
      </c>
      <c r="K1491" s="6" t="str">
        <f>"2.562,40"</f>
        <v>2.562,40</v>
      </c>
      <c r="L1491" s="6" t="str">
        <f>"640,60"</f>
        <v>640,60</v>
      </c>
      <c r="M1491" s="6" t="str">
        <f>"3.203,00"</f>
        <v>3.203,00</v>
      </c>
      <c r="N1491" s="5">
        <v>43626</v>
      </c>
      <c r="O1491" s="7"/>
      <c r="P1491" s="6" t="str">
        <f>"3.203,00"</f>
        <v>3.203,00</v>
      </c>
      <c r="Q1491" s="7"/>
      <c r="R1491" s="1"/>
      <c r="S1491" s="1" t="str">
        <f>"38-19/NOS-153/17"</f>
        <v>38-19/NOS-153/17</v>
      </c>
      <c r="T1491" s="2" t="s">
        <v>33</v>
      </c>
    </row>
    <row r="1492" spans="1:20" ht="38.25" x14ac:dyDescent="0.25">
      <c r="A1492" s="1">
        <v>1488</v>
      </c>
      <c r="B1492" s="1" t="str">
        <f t="shared" si="145"/>
        <v>2017-424</v>
      </c>
      <c r="C1492" s="2" t="s">
        <v>950</v>
      </c>
      <c r="D1492" s="1" t="s">
        <v>184</v>
      </c>
      <c r="E1492" s="3" t="str">
        <f>""</f>
        <v/>
      </c>
      <c r="F1492" s="2" t="s">
        <v>27</v>
      </c>
      <c r="G1492" s="2" t="str">
        <f t="shared" si="146"/>
        <v>HIDRAULIKA KURELJA D.O.O., MATENAČKA CESTA 41, 49290 DONJA STUBICA, OIB: 3092900595</v>
      </c>
      <c r="H1492" s="4"/>
      <c r="I1492" s="1" t="s">
        <v>320</v>
      </c>
      <c r="J1492" s="1" t="s">
        <v>303</v>
      </c>
      <c r="K1492" s="6" t="str">
        <f>"2.832,40"</f>
        <v>2.832,40</v>
      </c>
      <c r="L1492" s="6" t="str">
        <f>"708,10"</f>
        <v>708,10</v>
      </c>
      <c r="M1492" s="6" t="str">
        <f>"3.540,50"</f>
        <v>3.540,50</v>
      </c>
      <c r="N1492" s="5">
        <v>43626</v>
      </c>
      <c r="O1492" s="7"/>
      <c r="P1492" s="6" t="str">
        <f>"3.540,50"</f>
        <v>3.540,50</v>
      </c>
      <c r="Q1492" s="7"/>
      <c r="R1492" s="1"/>
      <c r="S1492" s="1" t="str">
        <f>"39-19/NOS-153/17"</f>
        <v>39-19/NOS-153/17</v>
      </c>
      <c r="T1492" s="2" t="s">
        <v>33</v>
      </c>
    </row>
    <row r="1493" spans="1:20" ht="38.25" x14ac:dyDescent="0.25">
      <c r="A1493" s="1">
        <v>1489</v>
      </c>
      <c r="B1493" s="1" t="str">
        <f t="shared" si="145"/>
        <v>2017-424</v>
      </c>
      <c r="C1493" s="2" t="s">
        <v>950</v>
      </c>
      <c r="D1493" s="1" t="s">
        <v>184</v>
      </c>
      <c r="E1493" s="3" t="str">
        <f>""</f>
        <v/>
      </c>
      <c r="F1493" s="2" t="s">
        <v>27</v>
      </c>
      <c r="G1493" s="2" t="str">
        <f t="shared" si="146"/>
        <v>HIDRAULIKA KURELJA D.O.O., MATENAČKA CESTA 41, 49290 DONJA STUBICA, OIB: 3092900595</v>
      </c>
      <c r="H1493" s="4"/>
      <c r="I1493" s="1" t="s">
        <v>162</v>
      </c>
      <c r="J1493" s="1" t="s">
        <v>303</v>
      </c>
      <c r="K1493" s="6" t="str">
        <f>"6.522,64"</f>
        <v>6.522,64</v>
      </c>
      <c r="L1493" s="6" t="str">
        <f>"1.630,66"</f>
        <v>1.630,66</v>
      </c>
      <c r="M1493" s="6" t="str">
        <f>"8.153,30"</f>
        <v>8.153,30</v>
      </c>
      <c r="N1493" s="5">
        <v>43628</v>
      </c>
      <c r="O1493" s="7"/>
      <c r="P1493" s="6" t="str">
        <f>"8.153,30"</f>
        <v>8.153,30</v>
      </c>
      <c r="Q1493" s="7"/>
      <c r="R1493" s="1"/>
      <c r="S1493" s="1" t="str">
        <f>"40-19/NOS-153/17"</f>
        <v>40-19/NOS-153/17</v>
      </c>
      <c r="T1493" s="2" t="s">
        <v>33</v>
      </c>
    </row>
    <row r="1494" spans="1:20" ht="38.25" x14ac:dyDescent="0.25">
      <c r="A1494" s="1">
        <v>1490</v>
      </c>
      <c r="B1494" s="1" t="str">
        <f t="shared" si="145"/>
        <v>2017-424</v>
      </c>
      <c r="C1494" s="2" t="s">
        <v>950</v>
      </c>
      <c r="D1494" s="1" t="s">
        <v>184</v>
      </c>
      <c r="E1494" s="3" t="str">
        <f>""</f>
        <v/>
      </c>
      <c r="F1494" s="2" t="s">
        <v>27</v>
      </c>
      <c r="G1494" s="2" t="str">
        <f t="shared" si="146"/>
        <v>HIDRAULIKA KURELJA D.O.O., MATENAČKA CESTA 41, 49290 DONJA STUBICA, OIB: 3092900595</v>
      </c>
      <c r="H1494" s="4"/>
      <c r="I1494" s="1" t="s">
        <v>597</v>
      </c>
      <c r="J1494" s="1" t="s">
        <v>303</v>
      </c>
      <c r="K1494" s="6" t="str">
        <f>"7.058,04"</f>
        <v>7.058,04</v>
      </c>
      <c r="L1494" s="6" t="str">
        <f>"1.764,51"</f>
        <v>1.764,51</v>
      </c>
      <c r="M1494" s="6" t="str">
        <f>"8.822,55"</f>
        <v>8.822,55</v>
      </c>
      <c r="N1494" s="5">
        <v>43628</v>
      </c>
      <c r="O1494" s="7"/>
      <c r="P1494" s="6" t="str">
        <f>"8.822,55"</f>
        <v>8.822,55</v>
      </c>
      <c r="Q1494" s="7"/>
      <c r="R1494" s="1"/>
      <c r="S1494" s="1" t="str">
        <f>"41-19/NOS-153/17"</f>
        <v>41-19/NOS-153/17</v>
      </c>
      <c r="T1494" s="2" t="s">
        <v>33</v>
      </c>
    </row>
    <row r="1495" spans="1:20" ht="38.25" x14ac:dyDescent="0.25">
      <c r="A1495" s="1">
        <v>1491</v>
      </c>
      <c r="B1495" s="1" t="str">
        <f t="shared" si="145"/>
        <v>2017-424</v>
      </c>
      <c r="C1495" s="2" t="s">
        <v>950</v>
      </c>
      <c r="D1495" s="1" t="s">
        <v>184</v>
      </c>
      <c r="E1495" s="3" t="str">
        <f>""</f>
        <v/>
      </c>
      <c r="F1495" s="2" t="s">
        <v>27</v>
      </c>
      <c r="G1495" s="2" t="str">
        <f t="shared" si="146"/>
        <v>HIDRAULIKA KURELJA D.O.O., MATENAČKA CESTA 41, 49290 DONJA STUBICA, OIB: 3092900595</v>
      </c>
      <c r="H1495" s="4"/>
      <c r="I1495" s="1" t="s">
        <v>374</v>
      </c>
      <c r="J1495" s="1" t="s">
        <v>303</v>
      </c>
      <c r="K1495" s="6" t="str">
        <f>"7.885,28"</f>
        <v>7.885,28</v>
      </c>
      <c r="L1495" s="6" t="str">
        <f>"1.971,32"</f>
        <v>1.971,32</v>
      </c>
      <c r="M1495" s="6" t="str">
        <f>"9.856,60"</f>
        <v>9.856,60</v>
      </c>
      <c r="N1495" s="5">
        <v>43628</v>
      </c>
      <c r="O1495" s="7"/>
      <c r="P1495" s="6" t="str">
        <f>"9.856,60"</f>
        <v>9.856,60</v>
      </c>
      <c r="Q1495" s="7"/>
      <c r="R1495" s="1"/>
      <c r="S1495" s="1" t="str">
        <f>"42-19/NOS-153/17"</f>
        <v>42-19/NOS-153/17</v>
      </c>
      <c r="T1495" s="2" t="s">
        <v>33</v>
      </c>
    </row>
    <row r="1496" spans="1:20" ht="38.25" x14ac:dyDescent="0.25">
      <c r="A1496" s="1">
        <v>1492</v>
      </c>
      <c r="B1496" s="1" t="str">
        <f t="shared" si="145"/>
        <v>2017-424</v>
      </c>
      <c r="C1496" s="2" t="s">
        <v>950</v>
      </c>
      <c r="D1496" s="1" t="s">
        <v>184</v>
      </c>
      <c r="E1496" s="3" t="str">
        <f>""</f>
        <v/>
      </c>
      <c r="F1496" s="2" t="s">
        <v>27</v>
      </c>
      <c r="G1496" s="2" t="str">
        <f t="shared" si="146"/>
        <v>HIDRAULIKA KURELJA D.O.O., MATENAČKA CESTA 41, 49290 DONJA STUBICA, OIB: 3092900595</v>
      </c>
      <c r="H1496" s="4"/>
      <c r="I1496" s="1" t="s">
        <v>638</v>
      </c>
      <c r="J1496" s="1" t="s">
        <v>303</v>
      </c>
      <c r="K1496" s="6" t="str">
        <f>"2.050,80"</f>
        <v>2.050,80</v>
      </c>
      <c r="L1496" s="6" t="str">
        <f>"0,00"</f>
        <v>0,00</v>
      </c>
      <c r="M1496" s="6" t="str">
        <f>"0,00"</f>
        <v>0,00</v>
      </c>
      <c r="N1496" s="1" t="s">
        <v>117</v>
      </c>
      <c r="O1496" s="7"/>
      <c r="P1496" s="6" t="str">
        <f>"0,00"</f>
        <v>0,00</v>
      </c>
      <c r="Q1496" s="7"/>
      <c r="R1496" s="1"/>
      <c r="S1496" s="1" t="str">
        <f>"43-19/NOS-153/17"</f>
        <v>43-19/NOS-153/17</v>
      </c>
      <c r="T1496" s="2" t="s">
        <v>33</v>
      </c>
    </row>
    <row r="1497" spans="1:20" ht="38.25" x14ac:dyDescent="0.25">
      <c r="A1497" s="1">
        <v>1493</v>
      </c>
      <c r="B1497" s="1" t="str">
        <f t="shared" si="145"/>
        <v>2017-424</v>
      </c>
      <c r="C1497" s="2" t="s">
        <v>950</v>
      </c>
      <c r="D1497" s="1" t="s">
        <v>184</v>
      </c>
      <c r="E1497" s="3" t="str">
        <f>""</f>
        <v/>
      </c>
      <c r="F1497" s="2" t="s">
        <v>27</v>
      </c>
      <c r="G1497" s="2" t="str">
        <f t="shared" si="146"/>
        <v>HIDRAULIKA KURELJA D.O.O., MATENAČKA CESTA 41, 49290 DONJA STUBICA, OIB: 3092900595</v>
      </c>
      <c r="H1497" s="4"/>
      <c r="I1497" s="1" t="s">
        <v>403</v>
      </c>
      <c r="J1497" s="1" t="s">
        <v>303</v>
      </c>
      <c r="K1497" s="6" t="str">
        <f>"2.971,60"</f>
        <v>2.971,60</v>
      </c>
      <c r="L1497" s="6" t="str">
        <f>"742,90"</f>
        <v>742,90</v>
      </c>
      <c r="M1497" s="6" t="str">
        <f>"3.714,50"</f>
        <v>3.714,50</v>
      </c>
      <c r="N1497" s="5">
        <v>43696</v>
      </c>
      <c r="O1497" s="7"/>
      <c r="P1497" s="6" t="str">
        <f>"3.714,50"</f>
        <v>3.714,50</v>
      </c>
      <c r="Q1497" s="7"/>
      <c r="R1497" s="1"/>
      <c r="S1497" s="1" t="str">
        <f>"44-19/NOS-153/17"</f>
        <v>44-19/NOS-153/17</v>
      </c>
      <c r="T1497" s="2" t="s">
        <v>33</v>
      </c>
    </row>
    <row r="1498" spans="1:20" ht="38.25" x14ac:dyDescent="0.25">
      <c r="A1498" s="1">
        <v>1494</v>
      </c>
      <c r="B1498" s="1" t="str">
        <f t="shared" si="145"/>
        <v>2017-424</v>
      </c>
      <c r="C1498" s="2" t="s">
        <v>950</v>
      </c>
      <c r="D1498" s="1" t="s">
        <v>184</v>
      </c>
      <c r="E1498" s="3" t="str">
        <f>""</f>
        <v/>
      </c>
      <c r="F1498" s="2" t="s">
        <v>27</v>
      </c>
      <c r="G1498" s="2" t="str">
        <f t="shared" si="146"/>
        <v>HIDRAULIKA KURELJA D.O.O., MATENAČKA CESTA 41, 49290 DONJA STUBICA, OIB: 3092900595</v>
      </c>
      <c r="H1498" s="4"/>
      <c r="I1498" s="1" t="s">
        <v>640</v>
      </c>
      <c r="J1498" s="1" t="s">
        <v>303</v>
      </c>
      <c r="K1498" s="6" t="str">
        <f>"11.233,76"</f>
        <v>11.233,76</v>
      </c>
      <c r="L1498" s="6" t="str">
        <f>"0,00"</f>
        <v>0,00</v>
      </c>
      <c r="M1498" s="6" t="str">
        <f>"0,00"</f>
        <v>0,00</v>
      </c>
      <c r="N1498" s="1" t="s">
        <v>117</v>
      </c>
      <c r="O1498" s="7"/>
      <c r="P1498" s="6" t="str">
        <f>"0,00"</f>
        <v>0,00</v>
      </c>
      <c r="Q1498" s="7"/>
      <c r="R1498" s="1"/>
      <c r="S1498" s="1" t="str">
        <f>"45-19/NOS-153/17"</f>
        <v>45-19/NOS-153/17</v>
      </c>
      <c r="T1498" s="2" t="s">
        <v>33</v>
      </c>
    </row>
    <row r="1499" spans="1:20" ht="38.25" x14ac:dyDescent="0.25">
      <c r="A1499" s="1">
        <v>1495</v>
      </c>
      <c r="B1499" s="1" t="str">
        <f t="shared" si="145"/>
        <v>2017-424</v>
      </c>
      <c r="C1499" s="2" t="s">
        <v>950</v>
      </c>
      <c r="D1499" s="1" t="s">
        <v>184</v>
      </c>
      <c r="E1499" s="3" t="str">
        <f>""</f>
        <v/>
      </c>
      <c r="F1499" s="2" t="s">
        <v>27</v>
      </c>
      <c r="G1499" s="2" t="str">
        <f t="shared" si="146"/>
        <v>HIDRAULIKA KURELJA D.O.O., MATENAČKA CESTA 41, 49290 DONJA STUBICA, OIB: 3092900595</v>
      </c>
      <c r="H1499" s="4"/>
      <c r="I1499" s="1" t="s">
        <v>640</v>
      </c>
      <c r="J1499" s="1" t="s">
        <v>303</v>
      </c>
      <c r="K1499" s="6" t="str">
        <f>"984,00"</f>
        <v>984,00</v>
      </c>
      <c r="L1499" s="6" t="str">
        <f>"246,00"</f>
        <v>246,00</v>
      </c>
      <c r="M1499" s="6" t="str">
        <f>"1.230,00"</f>
        <v>1.230,00</v>
      </c>
      <c r="N1499" s="5">
        <v>43696</v>
      </c>
      <c r="O1499" s="7"/>
      <c r="P1499" s="6" t="str">
        <f>"1.230,00"</f>
        <v>1.230,00</v>
      </c>
      <c r="Q1499" s="7"/>
      <c r="R1499" s="1"/>
      <c r="S1499" s="1" t="str">
        <f>"46-19/NOS-153/17"</f>
        <v>46-19/NOS-153/17</v>
      </c>
      <c r="T1499" s="2" t="s">
        <v>33</v>
      </c>
    </row>
    <row r="1500" spans="1:20" ht="38.25" x14ac:dyDescent="0.25">
      <c r="A1500" s="1">
        <v>1496</v>
      </c>
      <c r="B1500" s="1" t="str">
        <f t="shared" si="145"/>
        <v>2017-424</v>
      </c>
      <c r="C1500" s="2" t="s">
        <v>950</v>
      </c>
      <c r="D1500" s="1" t="s">
        <v>184</v>
      </c>
      <c r="E1500" s="3" t="str">
        <f>""</f>
        <v/>
      </c>
      <c r="F1500" s="2" t="s">
        <v>27</v>
      </c>
      <c r="G1500" s="2" t="str">
        <f t="shared" si="146"/>
        <v>HIDRAULIKA KURELJA D.O.O., MATENAČKA CESTA 41, 49290 DONJA STUBICA, OIB: 3092900595</v>
      </c>
      <c r="H1500" s="4"/>
      <c r="I1500" s="1" t="s">
        <v>640</v>
      </c>
      <c r="J1500" s="1" t="s">
        <v>303</v>
      </c>
      <c r="K1500" s="6" t="str">
        <f>"11.084,00"</f>
        <v>11.084,00</v>
      </c>
      <c r="L1500" s="6" t="str">
        <f>"0,00"</f>
        <v>0,00</v>
      </c>
      <c r="M1500" s="6" t="str">
        <f>"0,00"</f>
        <v>0,00</v>
      </c>
      <c r="N1500" s="1" t="s">
        <v>117</v>
      </c>
      <c r="O1500" s="7"/>
      <c r="P1500" s="6" t="str">
        <f>"0,00"</f>
        <v>0,00</v>
      </c>
      <c r="Q1500" s="7"/>
      <c r="R1500" s="1"/>
      <c r="S1500" s="1" t="str">
        <f>"47-19/NOS-153/17"</f>
        <v>47-19/NOS-153/17</v>
      </c>
      <c r="T1500" s="2" t="s">
        <v>33</v>
      </c>
    </row>
    <row r="1501" spans="1:20" ht="89.25" x14ac:dyDescent="0.25">
      <c r="A1501" s="1">
        <v>1497</v>
      </c>
      <c r="B1501" s="1" t="str">
        <f>"2017-342"</f>
        <v>2017-342</v>
      </c>
      <c r="C1501" s="2" t="s">
        <v>952</v>
      </c>
      <c r="D1501" s="1" t="s">
        <v>953</v>
      </c>
      <c r="E1501" s="3" t="str">
        <f>"2017/S 0F2-0012681"</f>
        <v>2017/S 0F2-0012681</v>
      </c>
      <c r="F1501" s="2" t="s">
        <v>23</v>
      </c>
      <c r="G1501" s="2" t="str">
        <f>CONCATENATE("GDI D.O.O.,"," BAŠTIJANOVA 52A,"," 10000 ZAGREB,"," OIB: 95032181708")</f>
        <v>GDI D.O.O., BAŠTIJANOVA 52A, 10000 ZAGREB, OIB: 95032181708</v>
      </c>
      <c r="H1501" s="1" t="str">
        <f>CONCATENATE("ECCOS-INŽENJERING D.O.O.,"," OIB: 71629027685",CHAR(10),"RAPTOR D.O.O.,"," OIB: 7158639729")</f>
        <v>ECCOS-INŽENJERING D.O.O., OIB: 71629027685
RAPTOR D.O.O., OIB: 7158639729</v>
      </c>
      <c r="I1501" s="1" t="s">
        <v>954</v>
      </c>
      <c r="J1501" s="1" t="s">
        <v>955</v>
      </c>
      <c r="K1501" s="6" t="str">
        <f>"6.500.000,00"</f>
        <v>6.500.000,00</v>
      </c>
      <c r="L1501" s="6" t="str">
        <f>"1.625.000,00"</f>
        <v>1.625.000,00</v>
      </c>
      <c r="M1501" s="6" t="str">
        <f>"8.125.000,00"</f>
        <v>8.125.000,00</v>
      </c>
      <c r="N1501" s="7"/>
      <c r="O1501" s="7"/>
      <c r="P1501" s="6" t="str">
        <f>""</f>
        <v/>
      </c>
      <c r="Q1501" s="7"/>
      <c r="R1501" s="1"/>
      <c r="S1501" s="1" t="str">
        <f>"NOS-154/17"</f>
        <v>NOS-154/17</v>
      </c>
      <c r="T1501" s="2" t="s">
        <v>26</v>
      </c>
    </row>
    <row r="1502" spans="1:20" ht="25.5" x14ac:dyDescent="0.25">
      <c r="A1502" s="1">
        <v>1498</v>
      </c>
      <c r="B1502" s="1" t="str">
        <f>"2017-342"</f>
        <v>2017-342</v>
      </c>
      <c r="C1502" s="2" t="s">
        <v>952</v>
      </c>
      <c r="D1502" s="1" t="s">
        <v>953</v>
      </c>
      <c r="E1502" s="3" t="str">
        <f>""</f>
        <v/>
      </c>
      <c r="F1502" s="2" t="s">
        <v>27</v>
      </c>
      <c r="G1502" s="2" t="str">
        <f>CONCATENATE("GDI D.O.O.,"," BAŠTIJANOVA 52A,"," 10000 ZAGREB,"," OIB: 95032181708")</f>
        <v>GDI D.O.O., BAŠTIJANOVA 52A, 10000 ZAGREB, OIB: 95032181708</v>
      </c>
      <c r="H1502" s="4"/>
      <c r="I1502" s="1" t="s">
        <v>956</v>
      </c>
      <c r="J1502" s="1" t="s">
        <v>71</v>
      </c>
      <c r="K1502" s="6" t="str">
        <f>"155.889,37"</f>
        <v>155.889,37</v>
      </c>
      <c r="L1502" s="6" t="str">
        <f>"38.972,34"</f>
        <v>38.972,34</v>
      </c>
      <c r="M1502" s="6" t="str">
        <f>"194.861,71"</f>
        <v>194.861,71</v>
      </c>
      <c r="N1502" s="5">
        <v>43710</v>
      </c>
      <c r="O1502" s="7"/>
      <c r="P1502" s="6" t="str">
        <f>"83.399,76"</f>
        <v>83.399,76</v>
      </c>
      <c r="Q1502" s="7"/>
      <c r="R1502" s="1"/>
      <c r="S1502" s="1" t="str">
        <f>"2-18/NOS-154/17"</f>
        <v>2-18/NOS-154/17</v>
      </c>
      <c r="T1502" s="2" t="s">
        <v>33</v>
      </c>
    </row>
    <row r="1503" spans="1:20" ht="25.5" x14ac:dyDescent="0.25">
      <c r="A1503" s="1">
        <v>1499</v>
      </c>
      <c r="B1503" s="1" t="str">
        <f>"2017-342"</f>
        <v>2017-342</v>
      </c>
      <c r="C1503" s="2" t="s">
        <v>952</v>
      </c>
      <c r="D1503" s="1" t="s">
        <v>953</v>
      </c>
      <c r="E1503" s="3" t="str">
        <f>""</f>
        <v/>
      </c>
      <c r="F1503" s="2" t="s">
        <v>27</v>
      </c>
      <c r="G1503" s="2" t="str">
        <f>CONCATENATE("GDI D.O.O.,"," BAŠTIJANOVA 52A,"," 10000 ZAGREB,"," OIB: 95032181708")</f>
        <v>GDI D.O.O., BAŠTIJANOVA 52A, 10000 ZAGREB, OIB: 95032181708</v>
      </c>
      <c r="H1503" s="4"/>
      <c r="I1503" s="1" t="s">
        <v>957</v>
      </c>
      <c r="J1503" s="1" t="s">
        <v>114</v>
      </c>
      <c r="K1503" s="6" t="str">
        <f>"205.996,08"</f>
        <v>205.996,08</v>
      </c>
      <c r="L1503" s="6" t="str">
        <f>"51.499,02"</f>
        <v>51.499,02</v>
      </c>
      <c r="M1503" s="6" t="str">
        <f>"257.495,10"</f>
        <v>257.495,10</v>
      </c>
      <c r="N1503" s="5">
        <v>43706</v>
      </c>
      <c r="O1503" s="7"/>
      <c r="P1503" s="6" t="str">
        <f>"166.976,04"</f>
        <v>166.976,04</v>
      </c>
      <c r="Q1503" s="7"/>
      <c r="R1503" s="1"/>
      <c r="S1503" s="1" t="str">
        <f>"3-18/NOS-154/17"</f>
        <v>3-18/NOS-154/17</v>
      </c>
      <c r="T1503" s="2" t="s">
        <v>29</v>
      </c>
    </row>
    <row r="1504" spans="1:20" ht="25.5" x14ac:dyDescent="0.25">
      <c r="A1504" s="1">
        <v>1500</v>
      </c>
      <c r="B1504" s="1" t="str">
        <f>"2017-342"</f>
        <v>2017-342</v>
      </c>
      <c r="C1504" s="2" t="s">
        <v>952</v>
      </c>
      <c r="D1504" s="1" t="s">
        <v>953</v>
      </c>
      <c r="E1504" s="3" t="str">
        <f>""</f>
        <v/>
      </c>
      <c r="F1504" s="2" t="s">
        <v>27</v>
      </c>
      <c r="G1504" s="2" t="str">
        <f>CONCATENATE("GDI D.O.O.,"," BAŠTIJANOVA 52A,"," 10000 ZAGREB,"," OIB: 95032181708")</f>
        <v>GDI D.O.O., BAŠTIJANOVA 52A, 10000 ZAGREB, OIB: 95032181708</v>
      </c>
      <c r="H1504" s="4"/>
      <c r="I1504" s="1" t="s">
        <v>269</v>
      </c>
      <c r="J1504" s="1" t="s">
        <v>221</v>
      </c>
      <c r="K1504" s="6" t="str">
        <f>"491.332,15"</f>
        <v>491.332,15</v>
      </c>
      <c r="L1504" s="6" t="str">
        <f>"122.833,04"</f>
        <v>122.833,04</v>
      </c>
      <c r="M1504" s="6" t="str">
        <f>"614.165,19"</f>
        <v>614.165,19</v>
      </c>
      <c r="N1504" s="5">
        <v>43710</v>
      </c>
      <c r="O1504" s="7"/>
      <c r="P1504" s="6" t="str">
        <f>"9.115,08"</f>
        <v>9.115,08</v>
      </c>
      <c r="Q1504" s="7"/>
      <c r="R1504" s="1"/>
      <c r="S1504" s="1" t="str">
        <f>"3-19/NOS-154/17"</f>
        <v>3-19/NOS-154/17</v>
      </c>
      <c r="T1504" s="2" t="s">
        <v>33</v>
      </c>
    </row>
    <row r="1505" spans="1:20" ht="89.25" x14ac:dyDescent="0.25">
      <c r="A1505" s="1">
        <v>1501</v>
      </c>
      <c r="B1505" s="1" t="str">
        <f>"2017-342"</f>
        <v>2017-342</v>
      </c>
      <c r="C1505" s="2" t="s">
        <v>952</v>
      </c>
      <c r="D1505" s="1" t="s">
        <v>953</v>
      </c>
      <c r="E1505" s="3" t="str">
        <f>""</f>
        <v/>
      </c>
      <c r="F1505" s="2" t="s">
        <v>27</v>
      </c>
      <c r="G1505" s="2" t="str">
        <f>CONCATENATE("GDI D.O.O.,"," BAŠTIJANOVA 52A,"," 10000 ZAGREB,"," OIB: 95032181708")</f>
        <v>GDI D.O.O., BAŠTIJANOVA 52A, 10000 ZAGREB, OIB: 95032181708</v>
      </c>
      <c r="H1505" s="1" t="str">
        <f>CONCATENATE("ECCOS-INŽENJERING D.O.O.,"," OIB: 71629027685",CHAR(10),"RAPTOR D.O.O.,"," OIB: 7158639729")</f>
        <v>ECCOS-INŽENJERING D.O.O., OIB: 71629027685
RAPTOR D.O.O., OIB: 7158639729</v>
      </c>
      <c r="I1505" s="1" t="s">
        <v>64</v>
      </c>
      <c r="J1505" s="1" t="s">
        <v>121</v>
      </c>
      <c r="K1505" s="6" t="str">
        <f>"3.090,46"</f>
        <v>3.090,46</v>
      </c>
      <c r="L1505" s="6" t="str">
        <f>"671,94"</f>
        <v>671,94</v>
      </c>
      <c r="M1505" s="6" t="str">
        <f>"3.359,69"</f>
        <v>3.359,69</v>
      </c>
      <c r="N1505" s="5">
        <v>43644</v>
      </c>
      <c r="O1505" s="7"/>
      <c r="P1505" s="6" t="str">
        <f>"3.359,69"</f>
        <v>3.359,69</v>
      </c>
      <c r="Q1505" s="7"/>
      <c r="R1505" s="1"/>
      <c r="S1505" s="1" t="str">
        <f>"1-19/NOS-154/17"</f>
        <v>1-19/NOS-154/17</v>
      </c>
      <c r="T1505" s="2" t="s">
        <v>33</v>
      </c>
    </row>
    <row r="1506" spans="1:20" ht="76.5" x14ac:dyDescent="0.25">
      <c r="A1506" s="1">
        <v>1502</v>
      </c>
      <c r="B1506" s="1" t="str">
        <f>"2017-2869"</f>
        <v>2017-2869</v>
      </c>
      <c r="C1506" s="2" t="s">
        <v>958</v>
      </c>
      <c r="D1506" s="1" t="s">
        <v>725</v>
      </c>
      <c r="E1506" s="3" t="str">
        <f>"2017/S 0F2-0023072"</f>
        <v>2017/S 0F2-0023072</v>
      </c>
      <c r="F1506" s="2" t="s">
        <v>23</v>
      </c>
      <c r="G1506" s="2" t="str">
        <f>CONCATENATE("POLJO-PROM,"," VL. ZLATKO KRIŽANIĆ,"," HRAŠĆE TUROPOLJSKO,"," KRIŽANIĆI 27,"," 10020 ZAGREB-NOVI ZAGREB,"," OIB: 22277452223",CHAR(10),"SANAC D.O.O.,"," OIB: 99410889025",CHAR(10),"BINĐO D.O.O.,"," MAJDEKOVA 17,"," 10310 IVANIĆ-GRAD,"," OIB: 49733628869")</f>
        <v>POLJO-PROM, VL. ZLATKO KRIŽANIĆ, HRAŠĆE TUROPOLJSKO, KRIŽANIĆI 27, 10020 ZAGREB-NOVI ZAGREB, OIB: 22277452223
SANAC D.O.O., OIB: 99410889025
BINĐO D.O.O., MAJDEKOVA 17, 10310 IVANIĆ-GRAD, OIB: 49733628869</v>
      </c>
      <c r="H1506" s="4"/>
      <c r="I1506" s="1" t="s">
        <v>954</v>
      </c>
      <c r="J1506" s="1" t="s">
        <v>959</v>
      </c>
      <c r="K1506" s="6" t="str">
        <f>"4.000.000,00"</f>
        <v>4.000.000,00</v>
      </c>
      <c r="L1506" s="6" t="str">
        <f>"1.000.000,00"</f>
        <v>1.000.000,00</v>
      </c>
      <c r="M1506" s="6" t="str">
        <f>"5.000.000,00"</f>
        <v>5.000.000,00</v>
      </c>
      <c r="N1506" s="7"/>
      <c r="O1506" s="7"/>
      <c r="P1506" s="6" t="str">
        <f>""</f>
        <v/>
      </c>
      <c r="Q1506" s="7"/>
      <c r="R1506" s="1"/>
      <c r="S1506" s="1" t="str">
        <f>"NOS-155/17"</f>
        <v>NOS-155/17</v>
      </c>
      <c r="T1506" s="2" t="s">
        <v>33</v>
      </c>
    </row>
    <row r="1507" spans="1:20" ht="38.25" x14ac:dyDescent="0.25">
      <c r="A1507" s="1">
        <v>1503</v>
      </c>
      <c r="B1507" s="1" t="str">
        <f>"2017-2869"</f>
        <v>2017-2869</v>
      </c>
      <c r="C1507" s="2" t="s">
        <v>958</v>
      </c>
      <c r="D1507" s="1" t="s">
        <v>725</v>
      </c>
      <c r="E1507" s="3" t="str">
        <f>""</f>
        <v/>
      </c>
      <c r="F1507" s="2" t="s">
        <v>27</v>
      </c>
      <c r="G1507" s="2" t="str">
        <f>CONCATENATE("POLJO-PROM,"," VL. ZLATKO KRIŽANIĆ,"," HRAŠĆE TUROPOLJSKO,"," KRIŽANIĆI 27,"," 10020 ZAGREB-NOVI ZAGREB,"," OIB: 22277452223")</f>
        <v>POLJO-PROM, VL. ZLATKO KRIŽANIĆ, HRAŠĆE TUROPOLJSKO, KRIŽANIĆI 27, 10020 ZAGREB-NOVI ZAGREB, OIB: 22277452223</v>
      </c>
      <c r="H1507" s="4"/>
      <c r="I1507" s="1" t="s">
        <v>320</v>
      </c>
      <c r="J1507" s="1" t="s">
        <v>380</v>
      </c>
      <c r="K1507" s="6" t="str">
        <f>"2.880,00"</f>
        <v>2.880,00</v>
      </c>
      <c r="L1507" s="6" t="str">
        <f>"720,00"</f>
        <v>720,00</v>
      </c>
      <c r="M1507" s="6" t="str">
        <f>"3.600,00"</f>
        <v>3.600,00</v>
      </c>
      <c r="N1507" s="5">
        <v>43642</v>
      </c>
      <c r="O1507" s="7"/>
      <c r="P1507" s="6" t="str">
        <f>"3.600,00"</f>
        <v>3.600,00</v>
      </c>
      <c r="Q1507" s="7"/>
      <c r="R1507" s="1"/>
      <c r="S1507" s="1" t="str">
        <f>"1-19/NOS-155/17"</f>
        <v>1-19/NOS-155/17</v>
      </c>
      <c r="T1507" s="2" t="s">
        <v>33</v>
      </c>
    </row>
    <row r="1508" spans="1:20" ht="38.25" x14ac:dyDescent="0.25">
      <c r="A1508" s="1">
        <v>1504</v>
      </c>
      <c r="B1508" s="1" t="str">
        <f>"2017-2513"</f>
        <v>2017-2513</v>
      </c>
      <c r="C1508" s="2" t="s">
        <v>960</v>
      </c>
      <c r="D1508" s="1" t="s">
        <v>725</v>
      </c>
      <c r="E1508" s="3" t="str">
        <f>"2017/S 0F2-0023098"</f>
        <v>2017/S 0F2-0023098</v>
      </c>
      <c r="F1508" s="2" t="s">
        <v>23</v>
      </c>
      <c r="G1508" s="2" t="str">
        <f>CONCATENATE("OBRT ZA USLUGE U ŠUMARSTVU,"," VLASNIK DRAGO MARJANOVIĆ,"," BRAĆE GOJAK 42,"," 47000 KARLOVAC,"," OIB: 46063133742")</f>
        <v>OBRT ZA USLUGE U ŠUMARSTVU, VLASNIK DRAGO MARJANOVIĆ, BRAĆE GOJAK 42, 47000 KARLOVAC, OIB: 46063133742</v>
      </c>
      <c r="H1508" s="4"/>
      <c r="I1508" s="1" t="s">
        <v>954</v>
      </c>
      <c r="J1508" s="1" t="s">
        <v>959</v>
      </c>
      <c r="K1508" s="6" t="str">
        <f>"800.000,00"</f>
        <v>800.000,00</v>
      </c>
      <c r="L1508" s="6" t="str">
        <f>"200.000,00"</f>
        <v>200.000,00</v>
      </c>
      <c r="M1508" s="6" t="str">
        <f>"1.000.000,00"</f>
        <v>1.000.000,00</v>
      </c>
      <c r="N1508" s="7"/>
      <c r="O1508" s="7"/>
      <c r="P1508" s="6" t="str">
        <f>""</f>
        <v/>
      </c>
      <c r="Q1508" s="7"/>
      <c r="R1508" s="1"/>
      <c r="S1508" s="1" t="str">
        <f>"NOS-156/17"</f>
        <v>NOS-156/17</v>
      </c>
      <c r="T1508" s="2" t="s">
        <v>29</v>
      </c>
    </row>
    <row r="1509" spans="1:20" ht="38.25" x14ac:dyDescent="0.25">
      <c r="A1509" s="1">
        <v>1505</v>
      </c>
      <c r="B1509" s="1" t="str">
        <f>"2017-2513"</f>
        <v>2017-2513</v>
      </c>
      <c r="C1509" s="2" t="s">
        <v>960</v>
      </c>
      <c r="D1509" s="4"/>
      <c r="E1509" s="3" t="str">
        <f>""</f>
        <v/>
      </c>
      <c r="F1509" s="2" t="s">
        <v>27</v>
      </c>
      <c r="G1509" s="2" t="str">
        <f>CONCATENATE("OBRT ZA USLUGE U ŠUMARSTVU,"," VLASNIK DRAGO MARJANOVIĆ,"," BRAĆE GOJAK 42,"," 47000 KARLOVAC,"," OIB: 46063133742")</f>
        <v>OBRT ZA USLUGE U ŠUMARSTVU, VLASNIK DRAGO MARJANOVIĆ, BRAĆE GOJAK 42, 47000 KARLOVAC, OIB: 46063133742</v>
      </c>
      <c r="H1509" s="4"/>
      <c r="I1509" s="1" t="s">
        <v>44</v>
      </c>
      <c r="J1509" s="1" t="s">
        <v>28</v>
      </c>
      <c r="K1509" s="6" t="str">
        <f>"299.500,00"</f>
        <v>299.500,00</v>
      </c>
      <c r="L1509" s="6" t="str">
        <f>"74.875,00"</f>
        <v>74.875,00</v>
      </c>
      <c r="M1509" s="6" t="str">
        <f>"374.375,00"</f>
        <v>374.375,00</v>
      </c>
      <c r="N1509" s="5">
        <v>43647</v>
      </c>
      <c r="O1509" s="7"/>
      <c r="P1509" s="6" t="str">
        <f>"374.374,12"</f>
        <v>374.374,12</v>
      </c>
      <c r="Q1509" s="7"/>
      <c r="R1509" s="1"/>
      <c r="S1509" s="1" t="str">
        <f>"1-19/NOS-156/17"</f>
        <v>1-19/NOS-156/17</v>
      </c>
      <c r="T1509" s="2" t="s">
        <v>29</v>
      </c>
    </row>
    <row r="1510" spans="1:20" ht="89.25" x14ac:dyDescent="0.25">
      <c r="A1510" s="1">
        <v>1506</v>
      </c>
      <c r="B1510" s="1" t="str">
        <f t="shared" ref="B1510:B1541" si="147">"2017-2500"</f>
        <v>2017-2500</v>
      </c>
      <c r="C1510" s="2" t="s">
        <v>961</v>
      </c>
      <c r="D1510" s="1" t="s">
        <v>962</v>
      </c>
      <c r="E1510" s="3" t="str">
        <f>"2017/S 0F2-0023320"</f>
        <v>2017/S 0F2-0023320</v>
      </c>
      <c r="F1510" s="2" t="s">
        <v>23</v>
      </c>
      <c r="G1510" s="2" t="str">
        <f>CONCATENATE("BAZENI - FONTANE,","  VL. EDIN KAHRIMANOVIĆ,"," STJEPANA LACKA 32B,"," 10040 ZAGREB-DUBRAVA,"," OIB: 95070283178",CHAR(10),"VODOTEHNIKA D.D.,"," KOTURAŠKA CESTA 49,"," 10000 ZAGREB,"," OIB: 17631431320",CHAR(10),"NIVETO D.O.O.,"," DRAGUTINA MANDLA 1,"," 10000 ZAGREB,"," OIB: 46572491389")</f>
        <v>BAZENI - FONTANE,  VL. EDIN KAHRIMANOVIĆ, STJEPANA LACKA 32B, 10040 ZAGREB-DUBRAVA, OIB: 95070283178
VODOTEHNIKA D.D., KOTURAŠKA CESTA 49, 10000 ZAGREB, OIB: 17631431320
NIVETO D.O.O., DRAGUTINA MANDLA 1, 10000 ZAGREB, OIB: 46572491389</v>
      </c>
      <c r="H1510" s="4"/>
      <c r="I1510" s="1" t="s">
        <v>565</v>
      </c>
      <c r="J1510" s="1" t="s">
        <v>963</v>
      </c>
      <c r="K1510" s="6" t="str">
        <f>"16.000.000,00"</f>
        <v>16.000.000,00</v>
      </c>
      <c r="L1510" s="6" t="str">
        <f>"4.000.000,00"</f>
        <v>4.000.000,00</v>
      </c>
      <c r="M1510" s="6" t="str">
        <f>"20.000.000,00"</f>
        <v>20.000.000,00</v>
      </c>
      <c r="N1510" s="7"/>
      <c r="O1510" s="7"/>
      <c r="P1510" s="6" t="str">
        <f>""</f>
        <v/>
      </c>
      <c r="Q1510" s="7"/>
      <c r="R1510" s="1"/>
      <c r="S1510" s="1" t="str">
        <f>"NOS-157/17"</f>
        <v>NOS-157/17</v>
      </c>
      <c r="T1510" s="2" t="s">
        <v>65</v>
      </c>
    </row>
    <row r="1511" spans="1:20" ht="38.25" x14ac:dyDescent="0.25">
      <c r="A1511" s="1">
        <v>1507</v>
      </c>
      <c r="B1511" s="1" t="str">
        <f t="shared" si="147"/>
        <v>2017-2500</v>
      </c>
      <c r="C1511" s="2" t="s">
        <v>961</v>
      </c>
      <c r="D1511" s="1" t="s">
        <v>962</v>
      </c>
      <c r="E1511" s="3" t="str">
        <f>""</f>
        <v/>
      </c>
      <c r="F1511" s="2" t="s">
        <v>27</v>
      </c>
      <c r="G1511" s="2" t="str">
        <f t="shared" ref="G1511:G1542" si="148">CONCATENATE("BAZENI - FONTANE,","  VL. EDIN KAHRIMANOVIĆ,"," STJEPANA LACKA 32B,"," 10040 ZAGREB-DUBRAVA,"," OIB: 95070283178")</f>
        <v>BAZENI - FONTANE,  VL. EDIN KAHRIMANOVIĆ, STJEPANA LACKA 32B, 10040 ZAGREB-DUBRAVA, OIB: 95070283178</v>
      </c>
      <c r="H1511" s="4"/>
      <c r="I1511" s="1" t="s">
        <v>964</v>
      </c>
      <c r="J1511" s="1" t="s">
        <v>114</v>
      </c>
      <c r="K1511" s="6" t="str">
        <f>"1.677.122,55"</f>
        <v>1.677.122,55</v>
      </c>
      <c r="L1511" s="6" t="str">
        <f>"419.280,64"</f>
        <v>419.280,64</v>
      </c>
      <c r="M1511" s="6" t="str">
        <f>"2.096.403,19"</f>
        <v>2.096.403,19</v>
      </c>
      <c r="N1511" s="5">
        <v>43644</v>
      </c>
      <c r="O1511" s="7"/>
      <c r="P1511" s="6" t="str">
        <f>"2.096.403,19"</f>
        <v>2.096.403,19</v>
      </c>
      <c r="Q1511" s="7"/>
      <c r="R1511" s="1"/>
      <c r="S1511" s="1" t="str">
        <f>"1-18/NOS-157/17"</f>
        <v>1-18/NOS-157/17</v>
      </c>
      <c r="T1511" s="2" t="s">
        <v>65</v>
      </c>
    </row>
    <row r="1512" spans="1:20" ht="38.25" x14ac:dyDescent="0.25">
      <c r="A1512" s="1">
        <v>1508</v>
      </c>
      <c r="B1512" s="1" t="str">
        <f t="shared" si="147"/>
        <v>2017-2500</v>
      </c>
      <c r="C1512" s="2" t="s">
        <v>961</v>
      </c>
      <c r="D1512" s="4"/>
      <c r="E1512" s="3" t="str">
        <f>""</f>
        <v/>
      </c>
      <c r="F1512" s="2" t="s">
        <v>27</v>
      </c>
      <c r="G1512" s="2" t="str">
        <f t="shared" si="148"/>
        <v>BAZENI - FONTANE,  VL. EDIN KAHRIMANOVIĆ, STJEPANA LACKA 32B, 10040 ZAGREB-DUBRAVA, OIB: 95070283178</v>
      </c>
      <c r="H1512" s="4"/>
      <c r="I1512" s="1" t="s">
        <v>162</v>
      </c>
      <c r="J1512" s="1" t="s">
        <v>516</v>
      </c>
      <c r="K1512" s="6" t="str">
        <f>"1.592.591,45"</f>
        <v>1.592.591,45</v>
      </c>
      <c r="L1512" s="6" t="str">
        <f>"398.147,86"</f>
        <v>398.147,86</v>
      </c>
      <c r="M1512" s="6" t="str">
        <f>"1.990.739,31"</f>
        <v>1.990.739,31</v>
      </c>
      <c r="N1512" s="5">
        <v>43707</v>
      </c>
      <c r="O1512" s="7"/>
      <c r="P1512" s="6" t="str">
        <f>"437.241,81"</f>
        <v>437.241,81</v>
      </c>
      <c r="Q1512" s="7"/>
      <c r="R1512" s="1"/>
      <c r="S1512" s="1" t="str">
        <f>"45-19/NOS-157/17"</f>
        <v>45-19/NOS-157/17</v>
      </c>
      <c r="T1512" s="2" t="s">
        <v>65</v>
      </c>
    </row>
    <row r="1513" spans="1:20" ht="38.25" x14ac:dyDescent="0.25">
      <c r="A1513" s="1">
        <v>1509</v>
      </c>
      <c r="B1513" s="1" t="str">
        <f t="shared" si="147"/>
        <v>2017-2500</v>
      </c>
      <c r="C1513" s="2" t="s">
        <v>961</v>
      </c>
      <c r="D1513" s="1" t="s">
        <v>962</v>
      </c>
      <c r="E1513" s="3" t="str">
        <f>""</f>
        <v/>
      </c>
      <c r="F1513" s="2" t="s">
        <v>27</v>
      </c>
      <c r="G1513" s="2" t="str">
        <f t="shared" si="148"/>
        <v>BAZENI - FONTANE,  VL. EDIN KAHRIMANOVIĆ, STJEPANA LACKA 32B, 10040 ZAGREB-DUBRAVA, OIB: 95070283178</v>
      </c>
      <c r="H1513" s="4"/>
      <c r="I1513" s="1" t="s">
        <v>462</v>
      </c>
      <c r="J1513" s="1" t="s">
        <v>251</v>
      </c>
      <c r="K1513" s="6" t="str">
        <f>"48.215,00"</f>
        <v>48.215,00</v>
      </c>
      <c r="L1513" s="6" t="str">
        <f>"12.053,75"</f>
        <v>12.053,75</v>
      </c>
      <c r="M1513" s="6" t="str">
        <f>"60.268,75"</f>
        <v>60.268,75</v>
      </c>
      <c r="N1513" s="5">
        <v>43523</v>
      </c>
      <c r="O1513" s="7"/>
      <c r="P1513" s="6" t="str">
        <f>"60.268,75"</f>
        <v>60.268,75</v>
      </c>
      <c r="Q1513" s="7"/>
      <c r="R1513" s="1"/>
      <c r="S1513" s="1" t="str">
        <f>"1-19/NOS-157/17"</f>
        <v>1-19/NOS-157/17</v>
      </c>
      <c r="T1513" s="2" t="s">
        <v>65</v>
      </c>
    </row>
    <row r="1514" spans="1:20" ht="38.25" x14ac:dyDescent="0.25">
      <c r="A1514" s="1">
        <v>1510</v>
      </c>
      <c r="B1514" s="1" t="str">
        <f t="shared" si="147"/>
        <v>2017-2500</v>
      </c>
      <c r="C1514" s="2" t="s">
        <v>961</v>
      </c>
      <c r="D1514" s="1" t="s">
        <v>962</v>
      </c>
      <c r="E1514" s="3" t="str">
        <f>""</f>
        <v/>
      </c>
      <c r="F1514" s="2" t="s">
        <v>27</v>
      </c>
      <c r="G1514" s="2" t="str">
        <f t="shared" si="148"/>
        <v>BAZENI - FONTANE,  VL. EDIN KAHRIMANOVIĆ, STJEPANA LACKA 32B, 10040 ZAGREB-DUBRAVA, OIB: 95070283178</v>
      </c>
      <c r="H1514" s="4"/>
      <c r="I1514" s="1" t="s">
        <v>293</v>
      </c>
      <c r="J1514" s="1" t="s">
        <v>251</v>
      </c>
      <c r="K1514" s="6" t="str">
        <f>"18.560,00"</f>
        <v>18.560,00</v>
      </c>
      <c r="L1514" s="6" t="str">
        <f>"4.640,00"</f>
        <v>4.640,00</v>
      </c>
      <c r="M1514" s="6" t="str">
        <f>"23.200,00"</f>
        <v>23.200,00</v>
      </c>
      <c r="N1514" s="5">
        <v>43543</v>
      </c>
      <c r="O1514" s="7"/>
      <c r="P1514" s="6" t="str">
        <f>"23.200,00"</f>
        <v>23.200,00</v>
      </c>
      <c r="Q1514" s="7"/>
      <c r="R1514" s="1"/>
      <c r="S1514" s="1" t="str">
        <f>"2-19/NOS-157/17"</f>
        <v>2-19/NOS-157/17</v>
      </c>
      <c r="T1514" s="2" t="s">
        <v>65</v>
      </c>
    </row>
    <row r="1515" spans="1:20" ht="38.25" x14ac:dyDescent="0.25">
      <c r="A1515" s="1">
        <v>1511</v>
      </c>
      <c r="B1515" s="1" t="str">
        <f t="shared" si="147"/>
        <v>2017-2500</v>
      </c>
      <c r="C1515" s="2" t="s">
        <v>961</v>
      </c>
      <c r="D1515" s="1" t="s">
        <v>962</v>
      </c>
      <c r="E1515" s="3" t="str">
        <f>""</f>
        <v/>
      </c>
      <c r="F1515" s="2" t="s">
        <v>27</v>
      </c>
      <c r="G1515" s="2" t="str">
        <f t="shared" si="148"/>
        <v>BAZENI - FONTANE,  VL. EDIN KAHRIMANOVIĆ, STJEPANA LACKA 32B, 10040 ZAGREB-DUBRAVA, OIB: 95070283178</v>
      </c>
      <c r="H1515" s="4"/>
      <c r="I1515" s="1" t="s">
        <v>244</v>
      </c>
      <c r="J1515" s="1" t="s">
        <v>251</v>
      </c>
      <c r="K1515" s="6" t="str">
        <f>"7.472,00"</f>
        <v>7.472,00</v>
      </c>
      <c r="L1515" s="6" t="str">
        <f>"1.868,00"</f>
        <v>1.868,00</v>
      </c>
      <c r="M1515" s="6" t="str">
        <f>"9.340,00"</f>
        <v>9.340,00</v>
      </c>
      <c r="N1515" s="5">
        <v>43549</v>
      </c>
      <c r="O1515" s="7"/>
      <c r="P1515" s="6" t="str">
        <f>"9.340,00"</f>
        <v>9.340,00</v>
      </c>
      <c r="Q1515" s="7"/>
      <c r="R1515" s="1"/>
      <c r="S1515" s="1" t="str">
        <f>"3-19/NOS-157/17"</f>
        <v>3-19/NOS-157/17</v>
      </c>
      <c r="T1515" s="2" t="s">
        <v>65</v>
      </c>
    </row>
    <row r="1516" spans="1:20" ht="38.25" x14ac:dyDescent="0.25">
      <c r="A1516" s="1">
        <v>1512</v>
      </c>
      <c r="B1516" s="1" t="str">
        <f t="shared" si="147"/>
        <v>2017-2500</v>
      </c>
      <c r="C1516" s="2" t="s">
        <v>961</v>
      </c>
      <c r="D1516" s="1" t="s">
        <v>962</v>
      </c>
      <c r="E1516" s="3" t="str">
        <f>""</f>
        <v/>
      </c>
      <c r="F1516" s="2" t="s">
        <v>27</v>
      </c>
      <c r="G1516" s="2" t="str">
        <f t="shared" si="148"/>
        <v>BAZENI - FONTANE,  VL. EDIN KAHRIMANOVIĆ, STJEPANA LACKA 32B, 10040 ZAGREB-DUBRAVA, OIB: 95070283178</v>
      </c>
      <c r="H1516" s="4"/>
      <c r="I1516" s="1" t="s">
        <v>244</v>
      </c>
      <c r="J1516" s="1" t="s">
        <v>251</v>
      </c>
      <c r="K1516" s="6" t="str">
        <f>"6.340,00"</f>
        <v>6.340,00</v>
      </c>
      <c r="L1516" s="6" t="str">
        <f>"1.585,00"</f>
        <v>1.585,00</v>
      </c>
      <c r="M1516" s="6" t="str">
        <f>"7.925,00"</f>
        <v>7.925,00</v>
      </c>
      <c r="N1516" s="5">
        <v>43563</v>
      </c>
      <c r="O1516" s="7"/>
      <c r="P1516" s="6" t="str">
        <f>"7.925,00"</f>
        <v>7.925,00</v>
      </c>
      <c r="Q1516" s="7"/>
      <c r="R1516" s="1"/>
      <c r="S1516" s="1" t="str">
        <f>"4-19/NOS-157/17"</f>
        <v>4-19/NOS-157/17</v>
      </c>
      <c r="T1516" s="2" t="s">
        <v>65</v>
      </c>
    </row>
    <row r="1517" spans="1:20" ht="38.25" x14ac:dyDescent="0.25">
      <c r="A1517" s="1">
        <v>1513</v>
      </c>
      <c r="B1517" s="1" t="str">
        <f t="shared" si="147"/>
        <v>2017-2500</v>
      </c>
      <c r="C1517" s="2" t="s">
        <v>961</v>
      </c>
      <c r="D1517" s="1" t="s">
        <v>962</v>
      </c>
      <c r="E1517" s="3" t="str">
        <f>""</f>
        <v/>
      </c>
      <c r="F1517" s="2" t="s">
        <v>27</v>
      </c>
      <c r="G1517" s="2" t="str">
        <f t="shared" si="148"/>
        <v>BAZENI - FONTANE,  VL. EDIN KAHRIMANOVIĆ, STJEPANA LACKA 32B, 10040 ZAGREB-DUBRAVA, OIB: 95070283178</v>
      </c>
      <c r="H1517" s="4"/>
      <c r="I1517" s="1" t="s">
        <v>244</v>
      </c>
      <c r="J1517" s="1" t="s">
        <v>251</v>
      </c>
      <c r="K1517" s="6" t="str">
        <f>"10.200,00"</f>
        <v>10.200,00</v>
      </c>
      <c r="L1517" s="6" t="str">
        <f>"2.550,00"</f>
        <v>2.550,00</v>
      </c>
      <c r="M1517" s="6" t="str">
        <f>"12.750,00"</f>
        <v>12.750,00</v>
      </c>
      <c r="N1517" s="5">
        <v>43549</v>
      </c>
      <c r="O1517" s="7"/>
      <c r="P1517" s="6" t="str">
        <f>"12.750,00"</f>
        <v>12.750,00</v>
      </c>
      <c r="Q1517" s="7"/>
      <c r="R1517" s="1"/>
      <c r="S1517" s="1" t="str">
        <f>"5-19/NOS-157/17"</f>
        <v>5-19/NOS-157/17</v>
      </c>
      <c r="T1517" s="2" t="s">
        <v>65</v>
      </c>
    </row>
    <row r="1518" spans="1:20" ht="38.25" x14ac:dyDescent="0.25">
      <c r="A1518" s="1">
        <v>1514</v>
      </c>
      <c r="B1518" s="1" t="str">
        <f t="shared" si="147"/>
        <v>2017-2500</v>
      </c>
      <c r="C1518" s="2" t="s">
        <v>961</v>
      </c>
      <c r="D1518" s="1" t="s">
        <v>962</v>
      </c>
      <c r="E1518" s="3" t="str">
        <f>""</f>
        <v/>
      </c>
      <c r="F1518" s="2" t="s">
        <v>27</v>
      </c>
      <c r="G1518" s="2" t="str">
        <f t="shared" si="148"/>
        <v>BAZENI - FONTANE,  VL. EDIN KAHRIMANOVIĆ, STJEPANA LACKA 32B, 10040 ZAGREB-DUBRAVA, OIB: 95070283178</v>
      </c>
      <c r="H1518" s="4"/>
      <c r="I1518" s="1" t="s">
        <v>244</v>
      </c>
      <c r="J1518" s="1" t="s">
        <v>251</v>
      </c>
      <c r="K1518" s="6" t="str">
        <f>"2.012,00"</f>
        <v>2.012,00</v>
      </c>
      <c r="L1518" s="6" t="str">
        <f>"503,00"</f>
        <v>503,00</v>
      </c>
      <c r="M1518" s="6" t="str">
        <f>"2.515,00"</f>
        <v>2.515,00</v>
      </c>
      <c r="N1518" s="5">
        <v>43551</v>
      </c>
      <c r="O1518" s="7"/>
      <c r="P1518" s="6" t="str">
        <f>"2.515,00"</f>
        <v>2.515,00</v>
      </c>
      <c r="Q1518" s="7"/>
      <c r="R1518" s="1"/>
      <c r="S1518" s="1" t="str">
        <f>"6-19/NOS-157/17"</f>
        <v>6-19/NOS-157/17</v>
      </c>
      <c r="T1518" s="2" t="s">
        <v>65</v>
      </c>
    </row>
    <row r="1519" spans="1:20" ht="38.25" x14ac:dyDescent="0.25">
      <c r="A1519" s="1">
        <v>1515</v>
      </c>
      <c r="B1519" s="1" t="str">
        <f t="shared" si="147"/>
        <v>2017-2500</v>
      </c>
      <c r="C1519" s="2" t="s">
        <v>961</v>
      </c>
      <c r="D1519" s="1" t="s">
        <v>962</v>
      </c>
      <c r="E1519" s="3" t="str">
        <f>""</f>
        <v/>
      </c>
      <c r="F1519" s="2" t="s">
        <v>27</v>
      </c>
      <c r="G1519" s="2" t="str">
        <f t="shared" si="148"/>
        <v>BAZENI - FONTANE,  VL. EDIN KAHRIMANOVIĆ, STJEPANA LACKA 32B, 10040 ZAGREB-DUBRAVA, OIB: 95070283178</v>
      </c>
      <c r="H1519" s="4"/>
      <c r="I1519" s="1" t="s">
        <v>297</v>
      </c>
      <c r="J1519" s="1" t="s">
        <v>251</v>
      </c>
      <c r="K1519" s="6" t="str">
        <f>"7.700,00"</f>
        <v>7.700,00</v>
      </c>
      <c r="L1519" s="6" t="str">
        <f>"1.925,00"</f>
        <v>1.925,00</v>
      </c>
      <c r="M1519" s="6" t="str">
        <f>"9.625,00"</f>
        <v>9.625,00</v>
      </c>
      <c r="N1519" s="5">
        <v>43549</v>
      </c>
      <c r="O1519" s="7"/>
      <c r="P1519" s="6" t="str">
        <f>"9.625,00"</f>
        <v>9.625,00</v>
      </c>
      <c r="Q1519" s="7"/>
      <c r="R1519" s="1"/>
      <c r="S1519" s="1" t="str">
        <f>"7-19/NOS-157/17"</f>
        <v>7-19/NOS-157/17</v>
      </c>
      <c r="T1519" s="2" t="s">
        <v>65</v>
      </c>
    </row>
    <row r="1520" spans="1:20" ht="38.25" x14ac:dyDescent="0.25">
      <c r="A1520" s="1">
        <v>1516</v>
      </c>
      <c r="B1520" s="1" t="str">
        <f t="shared" si="147"/>
        <v>2017-2500</v>
      </c>
      <c r="C1520" s="2" t="s">
        <v>961</v>
      </c>
      <c r="D1520" s="1" t="s">
        <v>962</v>
      </c>
      <c r="E1520" s="3" t="str">
        <f>""</f>
        <v/>
      </c>
      <c r="F1520" s="2" t="s">
        <v>27</v>
      </c>
      <c r="G1520" s="2" t="str">
        <f t="shared" si="148"/>
        <v>BAZENI - FONTANE,  VL. EDIN KAHRIMANOVIĆ, STJEPANA LACKA 32B, 10040 ZAGREB-DUBRAVA, OIB: 95070283178</v>
      </c>
      <c r="H1520" s="4"/>
      <c r="I1520" s="1" t="s">
        <v>297</v>
      </c>
      <c r="J1520" s="1" t="s">
        <v>251</v>
      </c>
      <c r="K1520" s="6" t="str">
        <f>"279,00"</f>
        <v>279,00</v>
      </c>
      <c r="L1520" s="6" t="str">
        <f>"69,75"</f>
        <v>69,75</v>
      </c>
      <c r="M1520" s="6" t="str">
        <f>"348,75"</f>
        <v>348,75</v>
      </c>
      <c r="N1520" s="5">
        <v>43551</v>
      </c>
      <c r="O1520" s="7"/>
      <c r="P1520" s="6" t="str">
        <f>"348,75"</f>
        <v>348,75</v>
      </c>
      <c r="Q1520" s="7"/>
      <c r="R1520" s="1"/>
      <c r="S1520" s="1" t="str">
        <f>"8-19/NOS-157/17"</f>
        <v>8-19/NOS-157/17</v>
      </c>
      <c r="T1520" s="2" t="s">
        <v>65</v>
      </c>
    </row>
    <row r="1521" spans="1:20" ht="38.25" x14ac:dyDescent="0.25">
      <c r="A1521" s="1">
        <v>1517</v>
      </c>
      <c r="B1521" s="1" t="str">
        <f t="shared" si="147"/>
        <v>2017-2500</v>
      </c>
      <c r="C1521" s="2" t="s">
        <v>961</v>
      </c>
      <c r="D1521" s="1" t="s">
        <v>962</v>
      </c>
      <c r="E1521" s="3" t="str">
        <f>""</f>
        <v/>
      </c>
      <c r="F1521" s="2" t="s">
        <v>27</v>
      </c>
      <c r="G1521" s="2" t="str">
        <f t="shared" si="148"/>
        <v>BAZENI - FONTANE,  VL. EDIN KAHRIMANOVIĆ, STJEPANA LACKA 32B, 10040 ZAGREB-DUBRAVA, OIB: 95070283178</v>
      </c>
      <c r="H1521" s="4"/>
      <c r="I1521" s="1" t="s">
        <v>297</v>
      </c>
      <c r="J1521" s="1" t="s">
        <v>251</v>
      </c>
      <c r="K1521" s="6" t="str">
        <f>"16.372,00"</f>
        <v>16.372,00</v>
      </c>
      <c r="L1521" s="6" t="str">
        <f>"0,00"</f>
        <v>0,00</v>
      </c>
      <c r="M1521" s="6" t="str">
        <f>"0,00"</f>
        <v>0,00</v>
      </c>
      <c r="N1521" s="5">
        <v>43560</v>
      </c>
      <c r="O1521" s="7"/>
      <c r="P1521" s="6" t="str">
        <f>""</f>
        <v/>
      </c>
      <c r="Q1521" s="7"/>
      <c r="R1521" s="1"/>
      <c r="S1521" s="1" t="str">
        <f>"9-19/NOS-157/17"</f>
        <v>9-19/NOS-157/17</v>
      </c>
      <c r="T1521" s="2" t="s">
        <v>65</v>
      </c>
    </row>
    <row r="1522" spans="1:20" ht="38.25" x14ac:dyDescent="0.25">
      <c r="A1522" s="1">
        <v>1518</v>
      </c>
      <c r="B1522" s="1" t="str">
        <f t="shared" si="147"/>
        <v>2017-2500</v>
      </c>
      <c r="C1522" s="2" t="s">
        <v>961</v>
      </c>
      <c r="D1522" s="1" t="s">
        <v>962</v>
      </c>
      <c r="E1522" s="3" t="str">
        <f>""</f>
        <v/>
      </c>
      <c r="F1522" s="2" t="s">
        <v>27</v>
      </c>
      <c r="G1522" s="2" t="str">
        <f t="shared" si="148"/>
        <v>BAZENI - FONTANE,  VL. EDIN KAHRIMANOVIĆ, STJEPANA LACKA 32B, 10040 ZAGREB-DUBRAVA, OIB: 95070283178</v>
      </c>
      <c r="H1522" s="4"/>
      <c r="I1522" s="1" t="s">
        <v>297</v>
      </c>
      <c r="J1522" s="1" t="s">
        <v>251</v>
      </c>
      <c r="K1522" s="6" t="str">
        <f>"1.600,00"</f>
        <v>1.600,00</v>
      </c>
      <c r="L1522" s="6" t="str">
        <f>"400,00"</f>
        <v>400,00</v>
      </c>
      <c r="M1522" s="6" t="str">
        <f>"2.000,00"</f>
        <v>2.000,00</v>
      </c>
      <c r="N1522" s="5">
        <v>43557</v>
      </c>
      <c r="O1522" s="7"/>
      <c r="P1522" s="6" t="str">
        <f>"2.000,00"</f>
        <v>2.000,00</v>
      </c>
      <c r="Q1522" s="7"/>
      <c r="R1522" s="1"/>
      <c r="S1522" s="1" t="str">
        <f>"10-19/NOS-157/17"</f>
        <v>10-19/NOS-157/17</v>
      </c>
      <c r="T1522" s="2" t="s">
        <v>65</v>
      </c>
    </row>
    <row r="1523" spans="1:20" ht="38.25" x14ac:dyDescent="0.25">
      <c r="A1523" s="1">
        <v>1519</v>
      </c>
      <c r="B1523" s="1" t="str">
        <f t="shared" si="147"/>
        <v>2017-2500</v>
      </c>
      <c r="C1523" s="2" t="s">
        <v>961</v>
      </c>
      <c r="D1523" s="1" t="s">
        <v>962</v>
      </c>
      <c r="E1523" s="3" t="str">
        <f>""</f>
        <v/>
      </c>
      <c r="F1523" s="2" t="s">
        <v>27</v>
      </c>
      <c r="G1523" s="2" t="str">
        <f t="shared" si="148"/>
        <v>BAZENI - FONTANE,  VL. EDIN KAHRIMANOVIĆ, STJEPANA LACKA 32B, 10040 ZAGREB-DUBRAVA, OIB: 95070283178</v>
      </c>
      <c r="H1523" s="4"/>
      <c r="I1523" s="1" t="s">
        <v>302</v>
      </c>
      <c r="J1523" s="1" t="s">
        <v>251</v>
      </c>
      <c r="K1523" s="6" t="str">
        <f>"10.660,00"</f>
        <v>10.660,00</v>
      </c>
      <c r="L1523" s="6" t="str">
        <f>"2.665,00"</f>
        <v>2.665,00</v>
      </c>
      <c r="M1523" s="6" t="str">
        <f>"13.325,00"</f>
        <v>13.325,00</v>
      </c>
      <c r="N1523" s="5">
        <v>43557</v>
      </c>
      <c r="O1523" s="7"/>
      <c r="P1523" s="6" t="str">
        <f>"13.325,00"</f>
        <v>13.325,00</v>
      </c>
      <c r="Q1523" s="7"/>
      <c r="R1523" s="1"/>
      <c r="S1523" s="1" t="str">
        <f>"11-19/NOS-157/17"</f>
        <v>11-19/NOS-157/17</v>
      </c>
      <c r="T1523" s="2" t="s">
        <v>65</v>
      </c>
    </row>
    <row r="1524" spans="1:20" ht="38.25" x14ac:dyDescent="0.25">
      <c r="A1524" s="1">
        <v>1520</v>
      </c>
      <c r="B1524" s="1" t="str">
        <f t="shared" si="147"/>
        <v>2017-2500</v>
      </c>
      <c r="C1524" s="2" t="s">
        <v>961</v>
      </c>
      <c r="D1524" s="1" t="s">
        <v>962</v>
      </c>
      <c r="E1524" s="3" t="str">
        <f>""</f>
        <v/>
      </c>
      <c r="F1524" s="2" t="s">
        <v>27</v>
      </c>
      <c r="G1524" s="2" t="str">
        <f t="shared" si="148"/>
        <v>BAZENI - FONTANE,  VL. EDIN KAHRIMANOVIĆ, STJEPANA LACKA 32B, 10040 ZAGREB-DUBRAVA, OIB: 95070283178</v>
      </c>
      <c r="H1524" s="4"/>
      <c r="I1524" s="1" t="s">
        <v>302</v>
      </c>
      <c r="J1524" s="1" t="s">
        <v>251</v>
      </c>
      <c r="K1524" s="6" t="str">
        <f>"2.700,00"</f>
        <v>2.700,00</v>
      </c>
      <c r="L1524" s="6" t="str">
        <f>"675,00"</f>
        <v>675,00</v>
      </c>
      <c r="M1524" s="6" t="str">
        <f>"3.375,00"</f>
        <v>3.375,00</v>
      </c>
      <c r="N1524" s="5">
        <v>43559</v>
      </c>
      <c r="O1524" s="7"/>
      <c r="P1524" s="6" t="str">
        <f>"3.375,00"</f>
        <v>3.375,00</v>
      </c>
      <c r="Q1524" s="7"/>
      <c r="R1524" s="1"/>
      <c r="S1524" s="1" t="str">
        <f>"12-19/NOS-157/17"</f>
        <v>12-19/NOS-157/17</v>
      </c>
      <c r="T1524" s="2" t="s">
        <v>65</v>
      </c>
    </row>
    <row r="1525" spans="1:20" ht="38.25" x14ac:dyDescent="0.25">
      <c r="A1525" s="1">
        <v>1521</v>
      </c>
      <c r="B1525" s="1" t="str">
        <f t="shared" si="147"/>
        <v>2017-2500</v>
      </c>
      <c r="C1525" s="2" t="s">
        <v>961</v>
      </c>
      <c r="D1525" s="1" t="s">
        <v>962</v>
      </c>
      <c r="E1525" s="3" t="str">
        <f>""</f>
        <v/>
      </c>
      <c r="F1525" s="2" t="s">
        <v>27</v>
      </c>
      <c r="G1525" s="2" t="str">
        <f t="shared" si="148"/>
        <v>BAZENI - FONTANE,  VL. EDIN KAHRIMANOVIĆ, STJEPANA LACKA 32B, 10040 ZAGREB-DUBRAVA, OIB: 95070283178</v>
      </c>
      <c r="H1525" s="4"/>
      <c r="I1525" s="1" t="s">
        <v>302</v>
      </c>
      <c r="J1525" s="1" t="s">
        <v>251</v>
      </c>
      <c r="K1525" s="6" t="str">
        <f>"2.300,00"</f>
        <v>2.300,00</v>
      </c>
      <c r="L1525" s="6" t="str">
        <f>"575,00"</f>
        <v>575,00</v>
      </c>
      <c r="M1525" s="6" t="str">
        <f>"2.875,00"</f>
        <v>2.875,00</v>
      </c>
      <c r="N1525" s="5">
        <v>43563</v>
      </c>
      <c r="O1525" s="7"/>
      <c r="P1525" s="6" t="str">
        <f>"2.875,00"</f>
        <v>2.875,00</v>
      </c>
      <c r="Q1525" s="7"/>
      <c r="R1525" s="1"/>
      <c r="S1525" s="1" t="str">
        <f>"13-19/NOS-157/17"</f>
        <v>13-19/NOS-157/17</v>
      </c>
      <c r="T1525" s="2" t="s">
        <v>65</v>
      </c>
    </row>
    <row r="1526" spans="1:20" ht="38.25" x14ac:dyDescent="0.25">
      <c r="A1526" s="1">
        <v>1522</v>
      </c>
      <c r="B1526" s="1" t="str">
        <f t="shared" si="147"/>
        <v>2017-2500</v>
      </c>
      <c r="C1526" s="2" t="s">
        <v>961</v>
      </c>
      <c r="D1526" s="1" t="s">
        <v>962</v>
      </c>
      <c r="E1526" s="3" t="str">
        <f>""</f>
        <v/>
      </c>
      <c r="F1526" s="2" t="s">
        <v>27</v>
      </c>
      <c r="G1526" s="2" t="str">
        <f t="shared" si="148"/>
        <v>BAZENI - FONTANE,  VL. EDIN KAHRIMANOVIĆ, STJEPANA LACKA 32B, 10040 ZAGREB-DUBRAVA, OIB: 95070283178</v>
      </c>
      <c r="H1526" s="4"/>
      <c r="I1526" s="1" t="s">
        <v>25</v>
      </c>
      <c r="J1526" s="1" t="s">
        <v>380</v>
      </c>
      <c r="K1526" s="6" t="str">
        <f>"317.436,00"</f>
        <v>317.436,00</v>
      </c>
      <c r="L1526" s="6" t="str">
        <f>"0,00"</f>
        <v>0,00</v>
      </c>
      <c r="M1526" s="6" t="str">
        <f>"0,00"</f>
        <v>0,00</v>
      </c>
      <c r="N1526" s="1" t="s">
        <v>117</v>
      </c>
      <c r="O1526" s="7"/>
      <c r="P1526" s="6" t="str">
        <f>"0,00"</f>
        <v>0,00</v>
      </c>
      <c r="Q1526" s="7"/>
      <c r="R1526" s="1"/>
      <c r="S1526" s="1" t="str">
        <f>"14-19/NOS-157/17"</f>
        <v>14-19/NOS-157/17</v>
      </c>
      <c r="T1526" s="2" t="s">
        <v>65</v>
      </c>
    </row>
    <row r="1527" spans="1:20" ht="38.25" x14ac:dyDescent="0.25">
      <c r="A1527" s="1">
        <v>1523</v>
      </c>
      <c r="B1527" s="1" t="str">
        <f t="shared" si="147"/>
        <v>2017-2500</v>
      </c>
      <c r="C1527" s="2" t="s">
        <v>961</v>
      </c>
      <c r="D1527" s="1" t="s">
        <v>962</v>
      </c>
      <c r="E1527" s="3" t="str">
        <f>""</f>
        <v/>
      </c>
      <c r="F1527" s="2" t="s">
        <v>27</v>
      </c>
      <c r="G1527" s="2" t="str">
        <f t="shared" si="148"/>
        <v>BAZENI - FONTANE,  VL. EDIN KAHRIMANOVIĆ, STJEPANA LACKA 32B, 10040 ZAGREB-DUBRAVA, OIB: 95070283178</v>
      </c>
      <c r="H1527" s="4"/>
      <c r="I1527" s="1" t="s">
        <v>340</v>
      </c>
      <c r="J1527" s="1" t="s">
        <v>251</v>
      </c>
      <c r="K1527" s="6" t="str">
        <f>"10.336,00"</f>
        <v>10.336,00</v>
      </c>
      <c r="L1527" s="6" t="str">
        <f>"2.584,00"</f>
        <v>2.584,00</v>
      </c>
      <c r="M1527" s="6" t="str">
        <f>"12.920,00"</f>
        <v>12.920,00</v>
      </c>
      <c r="N1527" s="5">
        <v>43570</v>
      </c>
      <c r="O1527" s="7"/>
      <c r="P1527" s="6" t="str">
        <f>"12.920,00"</f>
        <v>12.920,00</v>
      </c>
      <c r="Q1527" s="7"/>
      <c r="R1527" s="1"/>
      <c r="S1527" s="1" t="str">
        <f>"15-19/NOS-157/17"</f>
        <v>15-19/NOS-157/17</v>
      </c>
      <c r="T1527" s="2" t="s">
        <v>65</v>
      </c>
    </row>
    <row r="1528" spans="1:20" ht="38.25" x14ac:dyDescent="0.25">
      <c r="A1528" s="1">
        <v>1524</v>
      </c>
      <c r="B1528" s="1" t="str">
        <f t="shared" si="147"/>
        <v>2017-2500</v>
      </c>
      <c r="C1528" s="2" t="s">
        <v>961</v>
      </c>
      <c r="D1528" s="1" t="s">
        <v>962</v>
      </c>
      <c r="E1528" s="3" t="str">
        <f>""</f>
        <v/>
      </c>
      <c r="F1528" s="2" t="s">
        <v>27</v>
      </c>
      <c r="G1528" s="2" t="str">
        <f t="shared" si="148"/>
        <v>BAZENI - FONTANE,  VL. EDIN KAHRIMANOVIĆ, STJEPANA LACKA 32B, 10040 ZAGREB-DUBRAVA, OIB: 95070283178</v>
      </c>
      <c r="H1528" s="4"/>
      <c r="I1528" s="1" t="s">
        <v>340</v>
      </c>
      <c r="J1528" s="1" t="s">
        <v>251</v>
      </c>
      <c r="K1528" s="6" t="str">
        <f>"15.300,00"</f>
        <v>15.300,00</v>
      </c>
      <c r="L1528" s="6" t="str">
        <f>"3.825,00"</f>
        <v>3.825,00</v>
      </c>
      <c r="M1528" s="6" t="str">
        <f>"19.125,00"</f>
        <v>19.125,00</v>
      </c>
      <c r="N1528" s="5">
        <v>43573</v>
      </c>
      <c r="O1528" s="7"/>
      <c r="P1528" s="6" t="str">
        <f>"19.125,00"</f>
        <v>19.125,00</v>
      </c>
      <c r="Q1528" s="7"/>
      <c r="R1528" s="1"/>
      <c r="S1528" s="1" t="str">
        <f>"16-19/NOS-157/17"</f>
        <v>16-19/NOS-157/17</v>
      </c>
      <c r="T1528" s="2" t="s">
        <v>65</v>
      </c>
    </row>
    <row r="1529" spans="1:20" ht="38.25" x14ac:dyDescent="0.25">
      <c r="A1529" s="1">
        <v>1525</v>
      </c>
      <c r="B1529" s="1" t="str">
        <f t="shared" si="147"/>
        <v>2017-2500</v>
      </c>
      <c r="C1529" s="2" t="s">
        <v>961</v>
      </c>
      <c r="D1529" s="1" t="s">
        <v>962</v>
      </c>
      <c r="E1529" s="3" t="str">
        <f>""</f>
        <v/>
      </c>
      <c r="F1529" s="2" t="s">
        <v>27</v>
      </c>
      <c r="G1529" s="2" t="str">
        <f t="shared" si="148"/>
        <v>BAZENI - FONTANE,  VL. EDIN KAHRIMANOVIĆ, STJEPANA LACKA 32B, 10040 ZAGREB-DUBRAVA, OIB: 95070283178</v>
      </c>
      <c r="H1529" s="4"/>
      <c r="I1529" s="1" t="s">
        <v>340</v>
      </c>
      <c r="J1529" s="1" t="s">
        <v>251</v>
      </c>
      <c r="K1529" s="6" t="str">
        <f>"10.150,00"</f>
        <v>10.150,00</v>
      </c>
      <c r="L1529" s="6" t="str">
        <f>"2.537,50"</f>
        <v>2.537,50</v>
      </c>
      <c r="M1529" s="6" t="str">
        <f>"12.687,50"</f>
        <v>12.687,50</v>
      </c>
      <c r="N1529" s="5">
        <v>43573</v>
      </c>
      <c r="O1529" s="7"/>
      <c r="P1529" s="6" t="str">
        <f>"12.687,50"</f>
        <v>12.687,50</v>
      </c>
      <c r="Q1529" s="7"/>
      <c r="R1529" s="1"/>
      <c r="S1529" s="1" t="str">
        <f>"17-19/NOS-157/17"</f>
        <v>17-19/NOS-157/17</v>
      </c>
      <c r="T1529" s="2" t="s">
        <v>65</v>
      </c>
    </row>
    <row r="1530" spans="1:20" ht="38.25" x14ac:dyDescent="0.25">
      <c r="A1530" s="1">
        <v>1526</v>
      </c>
      <c r="B1530" s="1" t="str">
        <f t="shared" si="147"/>
        <v>2017-2500</v>
      </c>
      <c r="C1530" s="2" t="s">
        <v>961</v>
      </c>
      <c r="D1530" s="1" t="s">
        <v>962</v>
      </c>
      <c r="E1530" s="3" t="str">
        <f>""</f>
        <v/>
      </c>
      <c r="F1530" s="2" t="s">
        <v>27</v>
      </c>
      <c r="G1530" s="2" t="str">
        <f t="shared" si="148"/>
        <v>BAZENI - FONTANE,  VL. EDIN KAHRIMANOVIĆ, STJEPANA LACKA 32B, 10040 ZAGREB-DUBRAVA, OIB: 95070283178</v>
      </c>
      <c r="H1530" s="4"/>
      <c r="I1530" s="1" t="s">
        <v>340</v>
      </c>
      <c r="J1530" s="1" t="s">
        <v>251</v>
      </c>
      <c r="K1530" s="6" t="str">
        <f>"10.150,00"</f>
        <v>10.150,00</v>
      </c>
      <c r="L1530" s="6" t="str">
        <f>"2.537,50"</f>
        <v>2.537,50</v>
      </c>
      <c r="M1530" s="6" t="str">
        <f>"12.687,50"</f>
        <v>12.687,50</v>
      </c>
      <c r="N1530" s="5">
        <v>43573</v>
      </c>
      <c r="O1530" s="7"/>
      <c r="P1530" s="6" t="str">
        <f>"12.687,50"</f>
        <v>12.687,50</v>
      </c>
      <c r="Q1530" s="7"/>
      <c r="R1530" s="1"/>
      <c r="S1530" s="1" t="str">
        <f>"18-19/NOS-157/17"</f>
        <v>18-19/NOS-157/17</v>
      </c>
      <c r="T1530" s="2" t="s">
        <v>65</v>
      </c>
    </row>
    <row r="1531" spans="1:20" ht="38.25" x14ac:dyDescent="0.25">
      <c r="A1531" s="1">
        <v>1527</v>
      </c>
      <c r="B1531" s="1" t="str">
        <f t="shared" si="147"/>
        <v>2017-2500</v>
      </c>
      <c r="C1531" s="2" t="s">
        <v>961</v>
      </c>
      <c r="D1531" s="1" t="s">
        <v>962</v>
      </c>
      <c r="E1531" s="3" t="str">
        <f>""</f>
        <v/>
      </c>
      <c r="F1531" s="2" t="s">
        <v>27</v>
      </c>
      <c r="G1531" s="2" t="str">
        <f t="shared" si="148"/>
        <v>BAZENI - FONTANE,  VL. EDIN KAHRIMANOVIĆ, STJEPANA LACKA 32B, 10040 ZAGREB-DUBRAVA, OIB: 95070283178</v>
      </c>
      <c r="H1531" s="4"/>
      <c r="I1531" s="1" t="s">
        <v>340</v>
      </c>
      <c r="J1531" s="1" t="s">
        <v>47</v>
      </c>
      <c r="K1531" s="6" t="str">
        <f>"9.593,00"</f>
        <v>9.593,00</v>
      </c>
      <c r="L1531" s="6" t="str">
        <f>"2.398,25"</f>
        <v>2.398,25</v>
      </c>
      <c r="M1531" s="6" t="str">
        <f>"11.991,25"</f>
        <v>11.991,25</v>
      </c>
      <c r="N1531" s="5">
        <v>43565</v>
      </c>
      <c r="O1531" s="7"/>
      <c r="P1531" s="6" t="str">
        <f>"11.991,25"</f>
        <v>11.991,25</v>
      </c>
      <c r="Q1531" s="7"/>
      <c r="R1531" s="1"/>
      <c r="S1531" s="1" t="str">
        <f>"19-19/NOS-157/17"</f>
        <v>19-19/NOS-157/17</v>
      </c>
      <c r="T1531" s="2" t="s">
        <v>65</v>
      </c>
    </row>
    <row r="1532" spans="1:20" ht="38.25" x14ac:dyDescent="0.25">
      <c r="A1532" s="1">
        <v>1528</v>
      </c>
      <c r="B1532" s="1" t="str">
        <f t="shared" si="147"/>
        <v>2017-2500</v>
      </c>
      <c r="C1532" s="2" t="s">
        <v>961</v>
      </c>
      <c r="D1532" s="1" t="s">
        <v>962</v>
      </c>
      <c r="E1532" s="3" t="str">
        <f>""</f>
        <v/>
      </c>
      <c r="F1532" s="2" t="s">
        <v>27</v>
      </c>
      <c r="G1532" s="2" t="str">
        <f t="shared" si="148"/>
        <v>BAZENI - FONTANE,  VL. EDIN KAHRIMANOVIĆ, STJEPANA LACKA 32B, 10040 ZAGREB-DUBRAVA, OIB: 95070283178</v>
      </c>
      <c r="H1532" s="4"/>
      <c r="I1532" s="1" t="s">
        <v>498</v>
      </c>
      <c r="J1532" s="1" t="s">
        <v>47</v>
      </c>
      <c r="K1532" s="6" t="str">
        <f>"14.100,00"</f>
        <v>14.100,00</v>
      </c>
      <c r="L1532" s="6" t="str">
        <f>"3.525,00"</f>
        <v>3.525,00</v>
      </c>
      <c r="M1532" s="6" t="str">
        <f>"17.625,00"</f>
        <v>17.625,00</v>
      </c>
      <c r="N1532" s="5">
        <v>43567</v>
      </c>
      <c r="O1532" s="7"/>
      <c r="P1532" s="6" t="str">
        <f>"17.625,00"</f>
        <v>17.625,00</v>
      </c>
      <c r="Q1532" s="7"/>
      <c r="R1532" s="1"/>
      <c r="S1532" s="1" t="str">
        <f>"20-19/NOS-157/17"</f>
        <v>20-19/NOS-157/17</v>
      </c>
      <c r="T1532" s="2" t="s">
        <v>65</v>
      </c>
    </row>
    <row r="1533" spans="1:20" ht="38.25" x14ac:dyDescent="0.25">
      <c r="A1533" s="1">
        <v>1529</v>
      </c>
      <c r="B1533" s="1" t="str">
        <f t="shared" si="147"/>
        <v>2017-2500</v>
      </c>
      <c r="C1533" s="2" t="s">
        <v>961</v>
      </c>
      <c r="D1533" s="1" t="s">
        <v>962</v>
      </c>
      <c r="E1533" s="3" t="str">
        <f>""</f>
        <v/>
      </c>
      <c r="F1533" s="2" t="s">
        <v>27</v>
      </c>
      <c r="G1533" s="2" t="str">
        <f t="shared" si="148"/>
        <v>BAZENI - FONTANE,  VL. EDIN KAHRIMANOVIĆ, STJEPANA LACKA 32B, 10040 ZAGREB-DUBRAVA, OIB: 95070283178</v>
      </c>
      <c r="H1533" s="4"/>
      <c r="I1533" s="1" t="s">
        <v>498</v>
      </c>
      <c r="J1533" s="1" t="s">
        <v>47</v>
      </c>
      <c r="K1533" s="6" t="str">
        <f>"21.380,00"</f>
        <v>21.380,00</v>
      </c>
      <c r="L1533" s="6" t="str">
        <f>"5.345,00"</f>
        <v>5.345,00</v>
      </c>
      <c r="M1533" s="6" t="str">
        <f>"26.725,00"</f>
        <v>26.725,00</v>
      </c>
      <c r="N1533" s="5">
        <v>43574</v>
      </c>
      <c r="O1533" s="7"/>
      <c r="P1533" s="6" t="str">
        <f>"26.725,00"</f>
        <v>26.725,00</v>
      </c>
      <c r="Q1533" s="7"/>
      <c r="R1533" s="1"/>
      <c r="S1533" s="1" t="str">
        <f>"21-19/NOS-157/17"</f>
        <v>21-19/NOS-157/17</v>
      </c>
      <c r="T1533" s="2" t="s">
        <v>65</v>
      </c>
    </row>
    <row r="1534" spans="1:20" ht="38.25" x14ac:dyDescent="0.25">
      <c r="A1534" s="1">
        <v>1530</v>
      </c>
      <c r="B1534" s="1" t="str">
        <f t="shared" si="147"/>
        <v>2017-2500</v>
      </c>
      <c r="C1534" s="2" t="s">
        <v>961</v>
      </c>
      <c r="D1534" s="1" t="s">
        <v>962</v>
      </c>
      <c r="E1534" s="3" t="str">
        <f>""</f>
        <v/>
      </c>
      <c r="F1534" s="2" t="s">
        <v>27</v>
      </c>
      <c r="G1534" s="2" t="str">
        <f t="shared" si="148"/>
        <v>BAZENI - FONTANE,  VL. EDIN KAHRIMANOVIĆ, STJEPANA LACKA 32B, 10040 ZAGREB-DUBRAVA, OIB: 95070283178</v>
      </c>
      <c r="H1534" s="4"/>
      <c r="I1534" s="1" t="s">
        <v>498</v>
      </c>
      <c r="J1534" s="1" t="s">
        <v>47</v>
      </c>
      <c r="K1534" s="6" t="str">
        <f>"2.118,00"</f>
        <v>2.118,00</v>
      </c>
      <c r="L1534" s="6" t="str">
        <f>"529,50"</f>
        <v>529,50</v>
      </c>
      <c r="M1534" s="6" t="str">
        <f>"2.647,50"</f>
        <v>2.647,50</v>
      </c>
      <c r="N1534" s="5">
        <v>43581</v>
      </c>
      <c r="O1534" s="7"/>
      <c r="P1534" s="6" t="str">
        <f>"2.647,50"</f>
        <v>2.647,50</v>
      </c>
      <c r="Q1534" s="7"/>
      <c r="R1534" s="1"/>
      <c r="S1534" s="1" t="str">
        <f>"22-19/NOS-157/17"</f>
        <v>22-19/NOS-157/17</v>
      </c>
      <c r="T1534" s="2" t="s">
        <v>65</v>
      </c>
    </row>
    <row r="1535" spans="1:20" ht="38.25" x14ac:dyDescent="0.25">
      <c r="A1535" s="1">
        <v>1531</v>
      </c>
      <c r="B1535" s="1" t="str">
        <f t="shared" si="147"/>
        <v>2017-2500</v>
      </c>
      <c r="C1535" s="2" t="s">
        <v>961</v>
      </c>
      <c r="D1535" s="1" t="s">
        <v>962</v>
      </c>
      <c r="E1535" s="3" t="str">
        <f>""</f>
        <v/>
      </c>
      <c r="F1535" s="2" t="s">
        <v>27</v>
      </c>
      <c r="G1535" s="2" t="str">
        <f t="shared" si="148"/>
        <v>BAZENI - FONTANE,  VL. EDIN KAHRIMANOVIĆ, STJEPANA LACKA 32B, 10040 ZAGREB-DUBRAVA, OIB: 95070283178</v>
      </c>
      <c r="H1535" s="4"/>
      <c r="I1535" s="1" t="s">
        <v>498</v>
      </c>
      <c r="J1535" s="1" t="s">
        <v>47</v>
      </c>
      <c r="K1535" s="6" t="str">
        <f>"21.360,00"</f>
        <v>21.360,00</v>
      </c>
      <c r="L1535" s="6" t="str">
        <f>"5.340,00"</f>
        <v>5.340,00</v>
      </c>
      <c r="M1535" s="6" t="str">
        <f>"26.700,00"</f>
        <v>26.700,00</v>
      </c>
      <c r="N1535" s="5">
        <v>43581</v>
      </c>
      <c r="O1535" s="7"/>
      <c r="P1535" s="6" t="str">
        <f>"26.700,00"</f>
        <v>26.700,00</v>
      </c>
      <c r="Q1535" s="7"/>
      <c r="R1535" s="1"/>
      <c r="S1535" s="1" t="str">
        <f>"23-19/NOS-157/17"</f>
        <v>23-19/NOS-157/17</v>
      </c>
      <c r="T1535" s="2" t="s">
        <v>65</v>
      </c>
    </row>
    <row r="1536" spans="1:20" ht="38.25" x14ac:dyDescent="0.25">
      <c r="A1536" s="1">
        <v>1532</v>
      </c>
      <c r="B1536" s="1" t="str">
        <f t="shared" si="147"/>
        <v>2017-2500</v>
      </c>
      <c r="C1536" s="2" t="s">
        <v>961</v>
      </c>
      <c r="D1536" s="1" t="s">
        <v>962</v>
      </c>
      <c r="E1536" s="3" t="str">
        <f>""</f>
        <v/>
      </c>
      <c r="F1536" s="2" t="s">
        <v>27</v>
      </c>
      <c r="G1536" s="2" t="str">
        <f t="shared" si="148"/>
        <v>BAZENI - FONTANE,  VL. EDIN KAHRIMANOVIĆ, STJEPANA LACKA 32B, 10040 ZAGREB-DUBRAVA, OIB: 95070283178</v>
      </c>
      <c r="H1536" s="4"/>
      <c r="I1536" s="1" t="s">
        <v>498</v>
      </c>
      <c r="J1536" s="1" t="s">
        <v>492</v>
      </c>
      <c r="K1536" s="6" t="str">
        <f>"16.760,00"</f>
        <v>16.760,00</v>
      </c>
      <c r="L1536" s="6" t="str">
        <f>"4.190,00"</f>
        <v>4.190,00</v>
      </c>
      <c r="M1536" s="6" t="str">
        <f>"20.950,00"</f>
        <v>20.950,00</v>
      </c>
      <c r="N1536" s="5">
        <v>43581</v>
      </c>
      <c r="O1536" s="7"/>
      <c r="P1536" s="6" t="str">
        <f>"20.950,00"</f>
        <v>20.950,00</v>
      </c>
      <c r="Q1536" s="7"/>
      <c r="R1536" s="1"/>
      <c r="S1536" s="1" t="str">
        <f>"24-19/NOS-157/17"</f>
        <v>24-19/NOS-157/17</v>
      </c>
      <c r="T1536" s="2" t="s">
        <v>65</v>
      </c>
    </row>
    <row r="1537" spans="1:20" ht="38.25" x14ac:dyDescent="0.25">
      <c r="A1537" s="1">
        <v>1533</v>
      </c>
      <c r="B1537" s="1" t="str">
        <f t="shared" si="147"/>
        <v>2017-2500</v>
      </c>
      <c r="C1537" s="2" t="s">
        <v>961</v>
      </c>
      <c r="D1537" s="1" t="s">
        <v>962</v>
      </c>
      <c r="E1537" s="3" t="str">
        <f>""</f>
        <v/>
      </c>
      <c r="F1537" s="2" t="s">
        <v>27</v>
      </c>
      <c r="G1537" s="2" t="str">
        <f t="shared" si="148"/>
        <v>BAZENI - FONTANE,  VL. EDIN KAHRIMANOVIĆ, STJEPANA LACKA 32B, 10040 ZAGREB-DUBRAVA, OIB: 95070283178</v>
      </c>
      <c r="H1537" s="4"/>
      <c r="I1537" s="1" t="s">
        <v>498</v>
      </c>
      <c r="J1537" s="1" t="s">
        <v>47</v>
      </c>
      <c r="K1537" s="6" t="str">
        <f>"8.550,00"</f>
        <v>8.550,00</v>
      </c>
      <c r="L1537" s="6" t="str">
        <f>"2.137,50"</f>
        <v>2.137,50</v>
      </c>
      <c r="M1537" s="6" t="str">
        <f>"10.687,50"</f>
        <v>10.687,50</v>
      </c>
      <c r="N1537" s="5">
        <v>43581</v>
      </c>
      <c r="O1537" s="7"/>
      <c r="P1537" s="6" t="str">
        <f>"10.687,50"</f>
        <v>10.687,50</v>
      </c>
      <c r="Q1537" s="7"/>
      <c r="R1537" s="1"/>
      <c r="S1537" s="1" t="str">
        <f>"25-19/NOS-157/17"</f>
        <v>25-19/NOS-157/17</v>
      </c>
      <c r="T1537" s="2" t="s">
        <v>65</v>
      </c>
    </row>
    <row r="1538" spans="1:20" ht="38.25" x14ac:dyDescent="0.25">
      <c r="A1538" s="1">
        <v>1534</v>
      </c>
      <c r="B1538" s="1" t="str">
        <f t="shared" si="147"/>
        <v>2017-2500</v>
      </c>
      <c r="C1538" s="2" t="s">
        <v>961</v>
      </c>
      <c r="D1538" s="1" t="s">
        <v>962</v>
      </c>
      <c r="E1538" s="3" t="str">
        <f>""</f>
        <v/>
      </c>
      <c r="F1538" s="2" t="s">
        <v>27</v>
      </c>
      <c r="G1538" s="2" t="str">
        <f t="shared" si="148"/>
        <v>BAZENI - FONTANE,  VL. EDIN KAHRIMANOVIĆ, STJEPANA LACKA 32B, 10040 ZAGREB-DUBRAVA, OIB: 95070283178</v>
      </c>
      <c r="H1538" s="4"/>
      <c r="I1538" s="1" t="s">
        <v>266</v>
      </c>
      <c r="J1538" s="1" t="s">
        <v>47</v>
      </c>
      <c r="K1538" s="6" t="str">
        <f>"1.000,00"</f>
        <v>1.000,00</v>
      </c>
      <c r="L1538" s="6" t="str">
        <f>"250,00"</f>
        <v>250,00</v>
      </c>
      <c r="M1538" s="6" t="str">
        <f>"1.250,00"</f>
        <v>1.250,00</v>
      </c>
      <c r="N1538" s="5">
        <v>43573</v>
      </c>
      <c r="O1538" s="7"/>
      <c r="P1538" s="6" t="str">
        <f>"1.250,00"</f>
        <v>1.250,00</v>
      </c>
      <c r="Q1538" s="7"/>
      <c r="R1538" s="1"/>
      <c r="S1538" s="1" t="str">
        <f>"26-19/NOS-157/17"</f>
        <v>26-19/NOS-157/17</v>
      </c>
      <c r="T1538" s="2" t="s">
        <v>65</v>
      </c>
    </row>
    <row r="1539" spans="1:20" ht="38.25" x14ac:dyDescent="0.25">
      <c r="A1539" s="1">
        <v>1535</v>
      </c>
      <c r="B1539" s="1" t="str">
        <f t="shared" si="147"/>
        <v>2017-2500</v>
      </c>
      <c r="C1539" s="2" t="s">
        <v>961</v>
      </c>
      <c r="D1539" s="1" t="s">
        <v>962</v>
      </c>
      <c r="E1539" s="3" t="str">
        <f>""</f>
        <v/>
      </c>
      <c r="F1539" s="2" t="s">
        <v>27</v>
      </c>
      <c r="G1539" s="2" t="str">
        <f t="shared" si="148"/>
        <v>BAZENI - FONTANE,  VL. EDIN KAHRIMANOVIĆ, STJEPANA LACKA 32B, 10040 ZAGREB-DUBRAVA, OIB: 95070283178</v>
      </c>
      <c r="H1539" s="4"/>
      <c r="I1539" s="1" t="s">
        <v>266</v>
      </c>
      <c r="J1539" s="1" t="s">
        <v>47</v>
      </c>
      <c r="K1539" s="6" t="str">
        <f>"1.350,00"</f>
        <v>1.350,00</v>
      </c>
      <c r="L1539" s="6" t="str">
        <f>"337,50"</f>
        <v>337,50</v>
      </c>
      <c r="M1539" s="6" t="str">
        <f>"1.687,50"</f>
        <v>1.687,50</v>
      </c>
      <c r="N1539" s="5">
        <v>43573</v>
      </c>
      <c r="O1539" s="7"/>
      <c r="P1539" s="6" t="str">
        <f>"1.687,50"</f>
        <v>1.687,50</v>
      </c>
      <c r="Q1539" s="7"/>
      <c r="R1539" s="1"/>
      <c r="S1539" s="1" t="str">
        <f>"27-19/NOS-157/17"</f>
        <v>27-19/NOS-157/17</v>
      </c>
      <c r="T1539" s="2" t="s">
        <v>65</v>
      </c>
    </row>
    <row r="1540" spans="1:20" ht="38.25" x14ac:dyDescent="0.25">
      <c r="A1540" s="1">
        <v>1536</v>
      </c>
      <c r="B1540" s="1" t="str">
        <f t="shared" si="147"/>
        <v>2017-2500</v>
      </c>
      <c r="C1540" s="2" t="s">
        <v>961</v>
      </c>
      <c r="D1540" s="1" t="s">
        <v>962</v>
      </c>
      <c r="E1540" s="3" t="str">
        <f>""</f>
        <v/>
      </c>
      <c r="F1540" s="2" t="s">
        <v>27</v>
      </c>
      <c r="G1540" s="2" t="str">
        <f t="shared" si="148"/>
        <v>BAZENI - FONTANE,  VL. EDIN KAHRIMANOVIĆ, STJEPANA LACKA 32B, 10040 ZAGREB-DUBRAVA, OIB: 95070283178</v>
      </c>
      <c r="H1540" s="4"/>
      <c r="I1540" s="1" t="s">
        <v>494</v>
      </c>
      <c r="J1540" s="1" t="s">
        <v>251</v>
      </c>
      <c r="K1540" s="6" t="str">
        <f>"19.618,00"</f>
        <v>19.618,00</v>
      </c>
      <c r="L1540" s="6" t="str">
        <f>"4.904,50"</f>
        <v>4.904,50</v>
      </c>
      <c r="M1540" s="6" t="str">
        <f>"24.522,50"</f>
        <v>24.522,50</v>
      </c>
      <c r="N1540" s="5">
        <v>43591</v>
      </c>
      <c r="O1540" s="7"/>
      <c r="P1540" s="6" t="str">
        <f>"24.522,50"</f>
        <v>24.522,50</v>
      </c>
      <c r="Q1540" s="7"/>
      <c r="R1540" s="1"/>
      <c r="S1540" s="1" t="str">
        <f>"28-19/NOS-157/17"</f>
        <v>28-19/NOS-157/17</v>
      </c>
      <c r="T1540" s="2" t="s">
        <v>65</v>
      </c>
    </row>
    <row r="1541" spans="1:20" ht="38.25" x14ac:dyDescent="0.25">
      <c r="A1541" s="1">
        <v>1537</v>
      </c>
      <c r="B1541" s="1" t="str">
        <f t="shared" si="147"/>
        <v>2017-2500</v>
      </c>
      <c r="C1541" s="2" t="s">
        <v>961</v>
      </c>
      <c r="D1541" s="1" t="s">
        <v>962</v>
      </c>
      <c r="E1541" s="3" t="str">
        <f>""</f>
        <v/>
      </c>
      <c r="F1541" s="2" t="s">
        <v>27</v>
      </c>
      <c r="G1541" s="2" t="str">
        <f t="shared" si="148"/>
        <v>BAZENI - FONTANE,  VL. EDIN KAHRIMANOVIĆ, STJEPANA LACKA 32B, 10040 ZAGREB-DUBRAVA, OIB: 95070283178</v>
      </c>
      <c r="H1541" s="4"/>
      <c r="I1541" s="1" t="s">
        <v>494</v>
      </c>
      <c r="J1541" s="1" t="s">
        <v>47</v>
      </c>
      <c r="K1541" s="6" t="str">
        <f>"12.705,00"</f>
        <v>12.705,00</v>
      </c>
      <c r="L1541" s="6" t="str">
        <f>"0,00"</f>
        <v>0,00</v>
      </c>
      <c r="M1541" s="6" t="str">
        <f>"0,00"</f>
        <v>0,00</v>
      </c>
      <c r="N1541" s="1" t="s">
        <v>117</v>
      </c>
      <c r="O1541" s="7"/>
      <c r="P1541" s="6" t="str">
        <f>"0,00"</f>
        <v>0,00</v>
      </c>
      <c r="Q1541" s="7"/>
      <c r="R1541" s="1"/>
      <c r="S1541" s="1" t="str">
        <f>"29-19/NOS-157/17"</f>
        <v>29-19/NOS-157/17</v>
      </c>
      <c r="T1541" s="2" t="s">
        <v>65</v>
      </c>
    </row>
    <row r="1542" spans="1:20" ht="38.25" x14ac:dyDescent="0.25">
      <c r="A1542" s="1">
        <v>1538</v>
      </c>
      <c r="B1542" s="1" t="str">
        <f t="shared" ref="B1542:B1563" si="149">"2017-2500"</f>
        <v>2017-2500</v>
      </c>
      <c r="C1542" s="2" t="s">
        <v>961</v>
      </c>
      <c r="D1542" s="1" t="s">
        <v>962</v>
      </c>
      <c r="E1542" s="3" t="str">
        <f>""</f>
        <v/>
      </c>
      <c r="F1542" s="2" t="s">
        <v>27</v>
      </c>
      <c r="G1542" s="2" t="str">
        <f t="shared" si="148"/>
        <v>BAZENI - FONTANE,  VL. EDIN KAHRIMANOVIĆ, STJEPANA LACKA 32B, 10040 ZAGREB-DUBRAVA, OIB: 95070283178</v>
      </c>
      <c r="H1542" s="4"/>
      <c r="I1542" s="1" t="s">
        <v>311</v>
      </c>
      <c r="J1542" s="1" t="s">
        <v>251</v>
      </c>
      <c r="K1542" s="6" t="str">
        <f>"53.285,00"</f>
        <v>53.285,00</v>
      </c>
      <c r="L1542" s="6" t="str">
        <f>"13.321,25"</f>
        <v>13.321,25</v>
      </c>
      <c r="M1542" s="6" t="str">
        <f>"66.606,25"</f>
        <v>66.606,25</v>
      </c>
      <c r="N1542" s="5">
        <v>43626</v>
      </c>
      <c r="O1542" s="7"/>
      <c r="P1542" s="6" t="str">
        <f>"66.606,25"</f>
        <v>66.606,25</v>
      </c>
      <c r="Q1542" s="7"/>
      <c r="R1542" s="1"/>
      <c r="S1542" s="1" t="str">
        <f>"30-19/NOS-157/17"</f>
        <v>30-19/NOS-157/17</v>
      </c>
      <c r="T1542" s="2" t="s">
        <v>65</v>
      </c>
    </row>
    <row r="1543" spans="1:20" ht="38.25" x14ac:dyDescent="0.25">
      <c r="A1543" s="1">
        <v>1539</v>
      </c>
      <c r="B1543" s="1" t="str">
        <f t="shared" si="149"/>
        <v>2017-2500</v>
      </c>
      <c r="C1543" s="2" t="s">
        <v>961</v>
      </c>
      <c r="D1543" s="1" t="s">
        <v>962</v>
      </c>
      <c r="E1543" s="3" t="str">
        <f>""</f>
        <v/>
      </c>
      <c r="F1543" s="2" t="s">
        <v>27</v>
      </c>
      <c r="G1543" s="2" t="str">
        <f t="shared" ref="G1543:G1563" si="150">CONCATENATE("BAZENI - FONTANE,","  VL. EDIN KAHRIMANOVIĆ,"," STJEPANA LACKA 32B,"," 10040 ZAGREB-DUBRAVA,"," OIB: 95070283178")</f>
        <v>BAZENI - FONTANE,  VL. EDIN KAHRIMANOVIĆ, STJEPANA LACKA 32B, 10040 ZAGREB-DUBRAVA, OIB: 95070283178</v>
      </c>
      <c r="H1543" s="4"/>
      <c r="I1543" s="1" t="s">
        <v>311</v>
      </c>
      <c r="J1543" s="1" t="s">
        <v>251</v>
      </c>
      <c r="K1543" s="6" t="str">
        <f>"212.910,00"</f>
        <v>212.910,00</v>
      </c>
      <c r="L1543" s="6" t="str">
        <f>"0,00"</f>
        <v>0,00</v>
      </c>
      <c r="M1543" s="6" t="str">
        <f>"0,00"</f>
        <v>0,00</v>
      </c>
      <c r="N1543" s="1" t="s">
        <v>117</v>
      </c>
      <c r="O1543" s="7"/>
      <c r="P1543" s="6" t="str">
        <f>"0,00"</f>
        <v>0,00</v>
      </c>
      <c r="Q1543" s="7"/>
      <c r="R1543" s="1"/>
      <c r="S1543" s="1" t="str">
        <f>"31-19/NOS-157/17"</f>
        <v>31-19/NOS-157/17</v>
      </c>
      <c r="T1543" s="2" t="s">
        <v>65</v>
      </c>
    </row>
    <row r="1544" spans="1:20" ht="38.25" x14ac:dyDescent="0.25">
      <c r="A1544" s="1">
        <v>1540</v>
      </c>
      <c r="B1544" s="1" t="str">
        <f t="shared" si="149"/>
        <v>2017-2500</v>
      </c>
      <c r="C1544" s="2" t="s">
        <v>961</v>
      </c>
      <c r="D1544" s="1" t="s">
        <v>962</v>
      </c>
      <c r="E1544" s="3" t="str">
        <f>""</f>
        <v/>
      </c>
      <c r="F1544" s="2" t="s">
        <v>27</v>
      </c>
      <c r="G1544" s="2" t="str">
        <f t="shared" si="150"/>
        <v>BAZENI - FONTANE,  VL. EDIN KAHRIMANOVIĆ, STJEPANA LACKA 32B, 10040 ZAGREB-DUBRAVA, OIB: 95070283178</v>
      </c>
      <c r="H1544" s="4"/>
      <c r="I1544" s="1" t="s">
        <v>455</v>
      </c>
      <c r="J1544" s="1" t="s">
        <v>251</v>
      </c>
      <c r="K1544" s="6" t="str">
        <f>"10.750,00"</f>
        <v>10.750,00</v>
      </c>
      <c r="L1544" s="6" t="str">
        <f>"2.687,50"</f>
        <v>2.687,50</v>
      </c>
      <c r="M1544" s="6" t="str">
        <f>"13.437,50"</f>
        <v>13.437,50</v>
      </c>
      <c r="N1544" s="5">
        <v>43627</v>
      </c>
      <c r="O1544" s="7"/>
      <c r="P1544" s="6" t="str">
        <f>"13.437,50"</f>
        <v>13.437,50</v>
      </c>
      <c r="Q1544" s="7"/>
      <c r="R1544" s="1"/>
      <c r="S1544" s="1" t="str">
        <f>"32-19/NOS-157/17"</f>
        <v>32-19/NOS-157/17</v>
      </c>
      <c r="T1544" s="2" t="s">
        <v>65</v>
      </c>
    </row>
    <row r="1545" spans="1:20" ht="38.25" x14ac:dyDescent="0.25">
      <c r="A1545" s="1">
        <v>1541</v>
      </c>
      <c r="B1545" s="1" t="str">
        <f t="shared" si="149"/>
        <v>2017-2500</v>
      </c>
      <c r="C1545" s="2" t="s">
        <v>961</v>
      </c>
      <c r="D1545" s="1" t="s">
        <v>962</v>
      </c>
      <c r="E1545" s="3" t="str">
        <f>""</f>
        <v/>
      </c>
      <c r="F1545" s="2" t="s">
        <v>27</v>
      </c>
      <c r="G1545" s="2" t="str">
        <f t="shared" si="150"/>
        <v>BAZENI - FONTANE,  VL. EDIN KAHRIMANOVIĆ, STJEPANA LACKA 32B, 10040 ZAGREB-DUBRAVA, OIB: 95070283178</v>
      </c>
      <c r="H1545" s="4"/>
      <c r="I1545" s="1" t="s">
        <v>590</v>
      </c>
      <c r="J1545" s="1" t="s">
        <v>251</v>
      </c>
      <c r="K1545" s="6" t="str">
        <f>"4.000,00"</f>
        <v>4.000,00</v>
      </c>
      <c r="L1545" s="6" t="str">
        <f>"1.000,00"</f>
        <v>1.000,00</v>
      </c>
      <c r="M1545" s="6" t="str">
        <f>"5.000,00"</f>
        <v>5.000,00</v>
      </c>
      <c r="N1545" s="5">
        <v>43606</v>
      </c>
      <c r="O1545" s="7"/>
      <c r="P1545" s="6" t="str">
        <f>"5.000,00"</f>
        <v>5.000,00</v>
      </c>
      <c r="Q1545" s="7"/>
      <c r="R1545" s="1"/>
      <c r="S1545" s="1" t="str">
        <f>"33-19/NOS-157/17"</f>
        <v>33-19/NOS-157/17</v>
      </c>
      <c r="T1545" s="2" t="s">
        <v>65</v>
      </c>
    </row>
    <row r="1546" spans="1:20" ht="38.25" x14ac:dyDescent="0.25">
      <c r="A1546" s="1">
        <v>1542</v>
      </c>
      <c r="B1546" s="1" t="str">
        <f t="shared" si="149"/>
        <v>2017-2500</v>
      </c>
      <c r="C1546" s="2" t="s">
        <v>961</v>
      </c>
      <c r="D1546" s="1" t="s">
        <v>962</v>
      </c>
      <c r="E1546" s="3" t="str">
        <f>""</f>
        <v/>
      </c>
      <c r="F1546" s="2" t="s">
        <v>27</v>
      </c>
      <c r="G1546" s="2" t="str">
        <f t="shared" si="150"/>
        <v>BAZENI - FONTANE,  VL. EDIN KAHRIMANOVIĆ, STJEPANA LACKA 32B, 10040 ZAGREB-DUBRAVA, OIB: 95070283178</v>
      </c>
      <c r="H1546" s="4"/>
      <c r="I1546" s="1" t="s">
        <v>32</v>
      </c>
      <c r="J1546" s="1" t="s">
        <v>251</v>
      </c>
      <c r="K1546" s="6" t="str">
        <f>"16.260,00"</f>
        <v>16.260,00</v>
      </c>
      <c r="L1546" s="6" t="str">
        <f>"4.065,00"</f>
        <v>4.065,00</v>
      </c>
      <c r="M1546" s="6" t="str">
        <f>"20.325,00"</f>
        <v>20.325,00</v>
      </c>
      <c r="N1546" s="5">
        <v>43613</v>
      </c>
      <c r="O1546" s="7"/>
      <c r="P1546" s="6" t="str">
        <f>"20.325,00"</f>
        <v>20.325,00</v>
      </c>
      <c r="Q1546" s="7"/>
      <c r="R1546" s="1"/>
      <c r="S1546" s="1" t="str">
        <f>"34-19/NOS-157/17"</f>
        <v>34-19/NOS-157/17</v>
      </c>
      <c r="T1546" s="2" t="s">
        <v>65</v>
      </c>
    </row>
    <row r="1547" spans="1:20" ht="38.25" x14ac:dyDescent="0.25">
      <c r="A1547" s="1">
        <v>1543</v>
      </c>
      <c r="B1547" s="1" t="str">
        <f t="shared" si="149"/>
        <v>2017-2500</v>
      </c>
      <c r="C1547" s="2" t="s">
        <v>961</v>
      </c>
      <c r="D1547" s="1" t="s">
        <v>962</v>
      </c>
      <c r="E1547" s="3" t="str">
        <f>""</f>
        <v/>
      </c>
      <c r="F1547" s="2" t="s">
        <v>27</v>
      </c>
      <c r="G1547" s="2" t="str">
        <f t="shared" si="150"/>
        <v>BAZENI - FONTANE,  VL. EDIN KAHRIMANOVIĆ, STJEPANA LACKA 32B, 10040 ZAGREB-DUBRAVA, OIB: 95070283178</v>
      </c>
      <c r="H1547" s="4"/>
      <c r="I1547" s="1" t="s">
        <v>435</v>
      </c>
      <c r="J1547" s="1" t="s">
        <v>251</v>
      </c>
      <c r="K1547" s="6" t="str">
        <f>"10.400,00"</f>
        <v>10.400,00</v>
      </c>
      <c r="L1547" s="6" t="str">
        <f>"2.600,00"</f>
        <v>2.600,00</v>
      </c>
      <c r="M1547" s="6" t="str">
        <f>"13.000,00"</f>
        <v>13.000,00</v>
      </c>
      <c r="N1547" s="5">
        <v>43627</v>
      </c>
      <c r="O1547" s="7"/>
      <c r="P1547" s="6" t="str">
        <f>"13.000,00"</f>
        <v>13.000,00</v>
      </c>
      <c r="Q1547" s="7"/>
      <c r="R1547" s="1"/>
      <c r="S1547" s="1" t="str">
        <f>"35-19/NOS-157/17"</f>
        <v>35-19/NOS-157/17</v>
      </c>
      <c r="T1547" s="2" t="s">
        <v>65</v>
      </c>
    </row>
    <row r="1548" spans="1:20" ht="38.25" x14ac:dyDescent="0.25">
      <c r="A1548" s="1">
        <v>1544</v>
      </c>
      <c r="B1548" s="1" t="str">
        <f t="shared" si="149"/>
        <v>2017-2500</v>
      </c>
      <c r="C1548" s="2" t="s">
        <v>961</v>
      </c>
      <c r="D1548" s="1" t="s">
        <v>962</v>
      </c>
      <c r="E1548" s="3" t="str">
        <f>""</f>
        <v/>
      </c>
      <c r="F1548" s="2" t="s">
        <v>27</v>
      </c>
      <c r="G1548" s="2" t="str">
        <f t="shared" si="150"/>
        <v>BAZENI - FONTANE,  VL. EDIN KAHRIMANOVIĆ, STJEPANA LACKA 32B, 10040 ZAGREB-DUBRAVA, OIB: 95070283178</v>
      </c>
      <c r="H1548" s="4"/>
      <c r="I1548" s="1" t="s">
        <v>320</v>
      </c>
      <c r="J1548" s="1" t="s">
        <v>251</v>
      </c>
      <c r="K1548" s="6" t="str">
        <f>"9.800,00"</f>
        <v>9.800,00</v>
      </c>
      <c r="L1548" s="6" t="str">
        <f>"2.450,00"</f>
        <v>2.450,00</v>
      </c>
      <c r="M1548" s="6" t="str">
        <f>"12.250,00"</f>
        <v>12.250,00</v>
      </c>
      <c r="N1548" s="5">
        <v>43627</v>
      </c>
      <c r="O1548" s="7"/>
      <c r="P1548" s="6" t="str">
        <f>"12.250,00"</f>
        <v>12.250,00</v>
      </c>
      <c r="Q1548" s="7"/>
      <c r="R1548" s="1"/>
      <c r="S1548" s="1" t="str">
        <f>"36-19/NOS-157/17"</f>
        <v>36-19/NOS-157/17</v>
      </c>
      <c r="T1548" s="2" t="s">
        <v>65</v>
      </c>
    </row>
    <row r="1549" spans="1:20" ht="38.25" x14ac:dyDescent="0.25">
      <c r="A1549" s="1">
        <v>1545</v>
      </c>
      <c r="B1549" s="1" t="str">
        <f t="shared" si="149"/>
        <v>2017-2500</v>
      </c>
      <c r="C1549" s="2" t="s">
        <v>961</v>
      </c>
      <c r="D1549" s="1" t="s">
        <v>962</v>
      </c>
      <c r="E1549" s="3" t="str">
        <f>""</f>
        <v/>
      </c>
      <c r="F1549" s="2" t="s">
        <v>27</v>
      </c>
      <c r="G1549" s="2" t="str">
        <f t="shared" si="150"/>
        <v>BAZENI - FONTANE,  VL. EDIN KAHRIMANOVIĆ, STJEPANA LACKA 32B, 10040 ZAGREB-DUBRAVA, OIB: 95070283178</v>
      </c>
      <c r="H1549" s="4"/>
      <c r="I1549" s="1" t="s">
        <v>320</v>
      </c>
      <c r="J1549" s="1" t="s">
        <v>251</v>
      </c>
      <c r="K1549" s="6" t="str">
        <f>"3.800,00"</f>
        <v>3.800,00</v>
      </c>
      <c r="L1549" s="6" t="str">
        <f>"950,00"</f>
        <v>950,00</v>
      </c>
      <c r="M1549" s="6" t="str">
        <f>"4.750,00"</f>
        <v>4.750,00</v>
      </c>
      <c r="N1549" s="5">
        <v>43621</v>
      </c>
      <c r="O1549" s="7"/>
      <c r="P1549" s="6" t="str">
        <f>"4.750,00"</f>
        <v>4.750,00</v>
      </c>
      <c r="Q1549" s="7"/>
      <c r="R1549" s="1"/>
      <c r="S1549" s="1" t="str">
        <f>"37-19/NOS-157/17"</f>
        <v>37-19/NOS-157/17</v>
      </c>
      <c r="T1549" s="2" t="s">
        <v>65</v>
      </c>
    </row>
    <row r="1550" spans="1:20" ht="38.25" x14ac:dyDescent="0.25">
      <c r="A1550" s="1">
        <v>1546</v>
      </c>
      <c r="B1550" s="1" t="str">
        <f t="shared" si="149"/>
        <v>2017-2500</v>
      </c>
      <c r="C1550" s="2" t="s">
        <v>961</v>
      </c>
      <c r="D1550" s="1" t="s">
        <v>962</v>
      </c>
      <c r="E1550" s="3" t="str">
        <f>""</f>
        <v/>
      </c>
      <c r="F1550" s="2" t="s">
        <v>27</v>
      </c>
      <c r="G1550" s="2" t="str">
        <f t="shared" si="150"/>
        <v>BAZENI - FONTANE,  VL. EDIN KAHRIMANOVIĆ, STJEPANA LACKA 32B, 10040 ZAGREB-DUBRAVA, OIB: 95070283178</v>
      </c>
      <c r="H1550" s="4"/>
      <c r="I1550" s="1" t="s">
        <v>320</v>
      </c>
      <c r="J1550" s="1" t="s">
        <v>251</v>
      </c>
      <c r="K1550" s="6" t="str">
        <f>"3.600,00"</f>
        <v>3.600,00</v>
      </c>
      <c r="L1550" s="6" t="str">
        <f>"900,00"</f>
        <v>900,00</v>
      </c>
      <c r="M1550" s="6" t="str">
        <f>"4.500,00"</f>
        <v>4.500,00</v>
      </c>
      <c r="N1550" s="5">
        <v>43627</v>
      </c>
      <c r="O1550" s="7"/>
      <c r="P1550" s="6" t="str">
        <f>"4.500,00"</f>
        <v>4.500,00</v>
      </c>
      <c r="Q1550" s="7"/>
      <c r="R1550" s="1"/>
      <c r="S1550" s="1" t="str">
        <f>"38-19/NOS-157/17"</f>
        <v>38-19/NOS-157/17</v>
      </c>
      <c r="T1550" s="2" t="s">
        <v>65</v>
      </c>
    </row>
    <row r="1551" spans="1:20" ht="38.25" x14ac:dyDescent="0.25">
      <c r="A1551" s="1">
        <v>1547</v>
      </c>
      <c r="B1551" s="1" t="str">
        <f t="shared" si="149"/>
        <v>2017-2500</v>
      </c>
      <c r="C1551" s="2" t="s">
        <v>961</v>
      </c>
      <c r="D1551" s="1" t="s">
        <v>962</v>
      </c>
      <c r="E1551" s="3" t="str">
        <f>""</f>
        <v/>
      </c>
      <c r="F1551" s="2" t="s">
        <v>27</v>
      </c>
      <c r="G1551" s="2" t="str">
        <f t="shared" si="150"/>
        <v>BAZENI - FONTANE,  VL. EDIN KAHRIMANOVIĆ, STJEPANA LACKA 32B, 10040 ZAGREB-DUBRAVA, OIB: 95070283178</v>
      </c>
      <c r="H1551" s="4"/>
      <c r="I1551" s="1" t="s">
        <v>320</v>
      </c>
      <c r="J1551" s="1" t="s">
        <v>251</v>
      </c>
      <c r="K1551" s="6" t="str">
        <f>"1.940,00"</f>
        <v>1.940,00</v>
      </c>
      <c r="L1551" s="6" t="str">
        <f>"485,00"</f>
        <v>485,00</v>
      </c>
      <c r="M1551" s="6" t="str">
        <f>"2.425,00"</f>
        <v>2.425,00</v>
      </c>
      <c r="N1551" s="5">
        <v>43621</v>
      </c>
      <c r="O1551" s="7"/>
      <c r="P1551" s="6" t="str">
        <f>"2.425,00"</f>
        <v>2.425,00</v>
      </c>
      <c r="Q1551" s="7"/>
      <c r="R1551" s="1"/>
      <c r="S1551" s="1" t="str">
        <f>"39-19/NOS-157/17"</f>
        <v>39-19/NOS-157/17</v>
      </c>
      <c r="T1551" s="2" t="s">
        <v>65</v>
      </c>
    </row>
    <row r="1552" spans="1:20" ht="38.25" x14ac:dyDescent="0.25">
      <c r="A1552" s="1">
        <v>1548</v>
      </c>
      <c r="B1552" s="1" t="str">
        <f t="shared" si="149"/>
        <v>2017-2500</v>
      </c>
      <c r="C1552" s="2" t="s">
        <v>961</v>
      </c>
      <c r="D1552" s="1" t="s">
        <v>962</v>
      </c>
      <c r="E1552" s="3" t="str">
        <f>""</f>
        <v/>
      </c>
      <c r="F1552" s="2" t="s">
        <v>27</v>
      </c>
      <c r="G1552" s="2" t="str">
        <f t="shared" si="150"/>
        <v>BAZENI - FONTANE,  VL. EDIN KAHRIMANOVIĆ, STJEPANA LACKA 32B, 10040 ZAGREB-DUBRAVA, OIB: 95070283178</v>
      </c>
      <c r="H1552" s="4"/>
      <c r="I1552" s="1" t="s">
        <v>320</v>
      </c>
      <c r="J1552" s="1" t="s">
        <v>251</v>
      </c>
      <c r="K1552" s="6" t="str">
        <f>"2.000,00"</f>
        <v>2.000,00</v>
      </c>
      <c r="L1552" s="6" t="str">
        <f>"500,00"</f>
        <v>500,00</v>
      </c>
      <c r="M1552" s="6" t="str">
        <f>"2.500,00"</f>
        <v>2.500,00</v>
      </c>
      <c r="N1552" s="5">
        <v>43621</v>
      </c>
      <c r="O1552" s="7"/>
      <c r="P1552" s="6" t="str">
        <f>"2.500,00"</f>
        <v>2.500,00</v>
      </c>
      <c r="Q1552" s="7"/>
      <c r="R1552" s="1"/>
      <c r="S1552" s="1" t="str">
        <f>"40-19/NOS-157/17"</f>
        <v>40-19/NOS-157/17</v>
      </c>
      <c r="T1552" s="2" t="s">
        <v>65</v>
      </c>
    </row>
    <row r="1553" spans="1:20" ht="38.25" x14ac:dyDescent="0.25">
      <c r="A1553" s="1">
        <v>1549</v>
      </c>
      <c r="B1553" s="1" t="str">
        <f t="shared" si="149"/>
        <v>2017-2500</v>
      </c>
      <c r="C1553" s="2" t="s">
        <v>961</v>
      </c>
      <c r="D1553" s="1" t="s">
        <v>962</v>
      </c>
      <c r="E1553" s="3" t="str">
        <f>""</f>
        <v/>
      </c>
      <c r="F1553" s="2" t="s">
        <v>27</v>
      </c>
      <c r="G1553" s="2" t="str">
        <f t="shared" si="150"/>
        <v>BAZENI - FONTANE,  VL. EDIN KAHRIMANOVIĆ, STJEPANA LACKA 32B, 10040 ZAGREB-DUBRAVA, OIB: 95070283178</v>
      </c>
      <c r="H1553" s="4"/>
      <c r="I1553" s="1" t="s">
        <v>320</v>
      </c>
      <c r="J1553" s="1" t="s">
        <v>380</v>
      </c>
      <c r="K1553" s="6" t="str">
        <f>"26.144,00"</f>
        <v>26.144,00</v>
      </c>
      <c r="L1553" s="6" t="str">
        <f>"6.536,00"</f>
        <v>6.536,00</v>
      </c>
      <c r="M1553" s="6" t="str">
        <f>"32.680,00"</f>
        <v>32.680,00</v>
      </c>
      <c r="N1553" s="5">
        <v>43634</v>
      </c>
      <c r="O1553" s="7"/>
      <c r="P1553" s="6" t="str">
        <f>"32.680,00"</f>
        <v>32.680,00</v>
      </c>
      <c r="Q1553" s="7"/>
      <c r="R1553" s="1"/>
      <c r="S1553" s="1" t="str">
        <f>"41-19/NOS-157/17"</f>
        <v>41-19/NOS-157/17</v>
      </c>
      <c r="T1553" s="2" t="s">
        <v>65</v>
      </c>
    </row>
    <row r="1554" spans="1:20" ht="38.25" x14ac:dyDescent="0.25">
      <c r="A1554" s="1">
        <v>1550</v>
      </c>
      <c r="B1554" s="1" t="str">
        <f t="shared" si="149"/>
        <v>2017-2500</v>
      </c>
      <c r="C1554" s="2" t="s">
        <v>961</v>
      </c>
      <c r="D1554" s="1" t="s">
        <v>962</v>
      </c>
      <c r="E1554" s="3" t="str">
        <f>""</f>
        <v/>
      </c>
      <c r="F1554" s="2" t="s">
        <v>27</v>
      </c>
      <c r="G1554" s="2" t="str">
        <f t="shared" si="150"/>
        <v>BAZENI - FONTANE,  VL. EDIN KAHRIMANOVIĆ, STJEPANA LACKA 32B, 10040 ZAGREB-DUBRAVA, OIB: 95070283178</v>
      </c>
      <c r="H1554" s="4"/>
      <c r="I1554" s="1" t="s">
        <v>320</v>
      </c>
      <c r="J1554" s="1" t="s">
        <v>251</v>
      </c>
      <c r="K1554" s="6" t="str">
        <f>"1.750,00"</f>
        <v>1.750,00</v>
      </c>
      <c r="L1554" s="6" t="str">
        <f>"437,50"</f>
        <v>437,50</v>
      </c>
      <c r="M1554" s="6" t="str">
        <f>"2.187,50"</f>
        <v>2.187,50</v>
      </c>
      <c r="N1554" s="5">
        <v>43626</v>
      </c>
      <c r="O1554" s="7"/>
      <c r="P1554" s="6" t="str">
        <f>"2.187,50"</f>
        <v>2.187,50</v>
      </c>
      <c r="Q1554" s="7"/>
      <c r="R1554" s="1"/>
      <c r="S1554" s="1" t="str">
        <f>"42-19/NOS-157/17"</f>
        <v>42-19/NOS-157/17</v>
      </c>
      <c r="T1554" s="2" t="s">
        <v>65</v>
      </c>
    </row>
    <row r="1555" spans="1:20" ht="38.25" x14ac:dyDescent="0.25">
      <c r="A1555" s="1">
        <v>1551</v>
      </c>
      <c r="B1555" s="1" t="str">
        <f t="shared" si="149"/>
        <v>2017-2500</v>
      </c>
      <c r="C1555" s="2" t="s">
        <v>961</v>
      </c>
      <c r="D1555" s="1" t="s">
        <v>962</v>
      </c>
      <c r="E1555" s="3" t="str">
        <f>""</f>
        <v/>
      </c>
      <c r="F1555" s="2" t="s">
        <v>27</v>
      </c>
      <c r="G1555" s="2" t="str">
        <f t="shared" si="150"/>
        <v>BAZENI - FONTANE,  VL. EDIN KAHRIMANOVIĆ, STJEPANA LACKA 32B, 10040 ZAGREB-DUBRAVA, OIB: 95070283178</v>
      </c>
      <c r="H1555" s="4"/>
      <c r="I1555" s="1" t="s">
        <v>320</v>
      </c>
      <c r="J1555" s="1" t="s">
        <v>251</v>
      </c>
      <c r="K1555" s="6" t="str">
        <f>"10.640,00"</f>
        <v>10.640,00</v>
      </c>
      <c r="L1555" s="6" t="str">
        <f>"2.660,00"</f>
        <v>2.660,00</v>
      </c>
      <c r="M1555" s="6" t="str">
        <f>"13.300,00"</f>
        <v>13.300,00</v>
      </c>
      <c r="N1555" s="5">
        <v>43630</v>
      </c>
      <c r="O1555" s="7"/>
      <c r="P1555" s="6" t="str">
        <f>"13.300,00"</f>
        <v>13.300,00</v>
      </c>
      <c r="Q1555" s="7"/>
      <c r="R1555" s="1"/>
      <c r="S1555" s="1" t="str">
        <f>"43-19/NOS-157/17"</f>
        <v>43-19/NOS-157/17</v>
      </c>
      <c r="T1555" s="2" t="s">
        <v>65</v>
      </c>
    </row>
    <row r="1556" spans="1:20" ht="38.25" x14ac:dyDescent="0.25">
      <c r="A1556" s="1">
        <v>1552</v>
      </c>
      <c r="B1556" s="1" t="str">
        <f t="shared" si="149"/>
        <v>2017-2500</v>
      </c>
      <c r="C1556" s="2" t="s">
        <v>961</v>
      </c>
      <c r="D1556" s="1" t="s">
        <v>962</v>
      </c>
      <c r="E1556" s="3" t="str">
        <f>""</f>
        <v/>
      </c>
      <c r="F1556" s="2" t="s">
        <v>27</v>
      </c>
      <c r="G1556" s="2" t="str">
        <f t="shared" si="150"/>
        <v>BAZENI - FONTANE,  VL. EDIN KAHRIMANOVIĆ, STJEPANA LACKA 32B, 10040 ZAGREB-DUBRAVA, OIB: 95070283178</v>
      </c>
      <c r="H1556" s="4"/>
      <c r="I1556" s="1" t="s">
        <v>320</v>
      </c>
      <c r="J1556" s="1" t="s">
        <v>436</v>
      </c>
      <c r="K1556" s="6" t="str">
        <f>"11.067,00"</f>
        <v>11.067,00</v>
      </c>
      <c r="L1556" s="6" t="str">
        <f>"2.766,75"</f>
        <v>2.766,75</v>
      </c>
      <c r="M1556" s="6" t="str">
        <f>"13.833,75"</f>
        <v>13.833,75</v>
      </c>
      <c r="N1556" s="5">
        <v>43634</v>
      </c>
      <c r="O1556" s="7"/>
      <c r="P1556" s="6" t="str">
        <f>"13.833,75"</f>
        <v>13.833,75</v>
      </c>
      <c r="Q1556" s="7"/>
      <c r="R1556" s="1"/>
      <c r="S1556" s="1" t="str">
        <f>"44-19/NOS-157/17"</f>
        <v>44-19/NOS-157/17</v>
      </c>
      <c r="T1556" s="2" t="s">
        <v>65</v>
      </c>
    </row>
    <row r="1557" spans="1:20" ht="38.25" x14ac:dyDescent="0.25">
      <c r="A1557" s="1">
        <v>1553</v>
      </c>
      <c r="B1557" s="1" t="str">
        <f t="shared" si="149"/>
        <v>2017-2500</v>
      </c>
      <c r="C1557" s="2" t="s">
        <v>961</v>
      </c>
      <c r="D1557" s="1" t="s">
        <v>962</v>
      </c>
      <c r="E1557" s="3" t="str">
        <f>""</f>
        <v/>
      </c>
      <c r="F1557" s="2" t="s">
        <v>27</v>
      </c>
      <c r="G1557" s="2" t="str">
        <f t="shared" si="150"/>
        <v>BAZENI - FONTANE,  VL. EDIN KAHRIMANOVIĆ, STJEPANA LACKA 32B, 10040 ZAGREB-DUBRAVA, OIB: 95070283178</v>
      </c>
      <c r="H1557" s="4"/>
      <c r="I1557" s="1" t="s">
        <v>579</v>
      </c>
      <c r="J1557" s="1" t="s">
        <v>251</v>
      </c>
      <c r="K1557" s="6" t="str">
        <f>"15.680,00"</f>
        <v>15.680,00</v>
      </c>
      <c r="L1557" s="6" t="str">
        <f>"3.920,00"</f>
        <v>3.920,00</v>
      </c>
      <c r="M1557" s="6" t="str">
        <f>"19.600,00"</f>
        <v>19.600,00</v>
      </c>
      <c r="N1557" s="5">
        <v>43634</v>
      </c>
      <c r="O1557" s="7"/>
      <c r="P1557" s="6" t="str">
        <f>"19.600,00"</f>
        <v>19.600,00</v>
      </c>
      <c r="Q1557" s="7"/>
      <c r="R1557" s="1"/>
      <c r="S1557" s="1" t="str">
        <f>"46-19/NOS-157/17"</f>
        <v>46-19/NOS-157/17</v>
      </c>
      <c r="T1557" s="2" t="s">
        <v>65</v>
      </c>
    </row>
    <row r="1558" spans="1:20" ht="38.25" x14ac:dyDescent="0.25">
      <c r="A1558" s="1">
        <v>1554</v>
      </c>
      <c r="B1558" s="1" t="str">
        <f t="shared" si="149"/>
        <v>2017-2500</v>
      </c>
      <c r="C1558" s="2" t="s">
        <v>961</v>
      </c>
      <c r="D1558" s="1" t="s">
        <v>962</v>
      </c>
      <c r="E1558" s="3" t="str">
        <f>""</f>
        <v/>
      </c>
      <c r="F1558" s="2" t="s">
        <v>27</v>
      </c>
      <c r="G1558" s="2" t="str">
        <f t="shared" si="150"/>
        <v>BAZENI - FONTANE,  VL. EDIN KAHRIMANOVIĆ, STJEPANA LACKA 32B, 10040 ZAGREB-DUBRAVA, OIB: 95070283178</v>
      </c>
      <c r="H1558" s="4"/>
      <c r="I1558" s="1" t="s">
        <v>579</v>
      </c>
      <c r="J1558" s="1" t="s">
        <v>251</v>
      </c>
      <c r="K1558" s="6" t="str">
        <f>"3.579,00"</f>
        <v>3.579,00</v>
      </c>
      <c r="L1558" s="6" t="str">
        <f>"894,75"</f>
        <v>894,75</v>
      </c>
      <c r="M1558" s="6" t="str">
        <f>"4.473,75"</f>
        <v>4.473,75</v>
      </c>
      <c r="N1558" s="5">
        <v>43630</v>
      </c>
      <c r="O1558" s="7"/>
      <c r="P1558" s="6" t="str">
        <f>"4.473,75"</f>
        <v>4.473,75</v>
      </c>
      <c r="Q1558" s="7"/>
      <c r="R1558" s="1"/>
      <c r="S1558" s="1" t="str">
        <f>"47-19/NOS-157/17"</f>
        <v>47-19/NOS-157/17</v>
      </c>
      <c r="T1558" s="2" t="s">
        <v>65</v>
      </c>
    </row>
    <row r="1559" spans="1:20" ht="38.25" x14ac:dyDescent="0.25">
      <c r="A1559" s="1">
        <v>1555</v>
      </c>
      <c r="B1559" s="1" t="str">
        <f t="shared" si="149"/>
        <v>2017-2500</v>
      </c>
      <c r="C1559" s="2" t="s">
        <v>961</v>
      </c>
      <c r="D1559" s="1" t="s">
        <v>962</v>
      </c>
      <c r="E1559" s="3" t="str">
        <f>""</f>
        <v/>
      </c>
      <c r="F1559" s="2" t="s">
        <v>27</v>
      </c>
      <c r="G1559" s="2" t="str">
        <f t="shared" si="150"/>
        <v>BAZENI - FONTANE,  VL. EDIN KAHRIMANOVIĆ, STJEPANA LACKA 32B, 10040 ZAGREB-DUBRAVA, OIB: 95070283178</v>
      </c>
      <c r="H1559" s="4"/>
      <c r="I1559" s="1" t="s">
        <v>579</v>
      </c>
      <c r="J1559" s="1" t="s">
        <v>251</v>
      </c>
      <c r="K1559" s="6" t="str">
        <f>"4.920,00"</f>
        <v>4.920,00</v>
      </c>
      <c r="L1559" s="6" t="str">
        <f>"1.230,00"</f>
        <v>1.230,00</v>
      </c>
      <c r="M1559" s="6" t="str">
        <f>"6.150,00"</f>
        <v>6.150,00</v>
      </c>
      <c r="N1559" s="5">
        <v>43630</v>
      </c>
      <c r="O1559" s="7"/>
      <c r="P1559" s="6" t="str">
        <f>"6.150,00"</f>
        <v>6.150,00</v>
      </c>
      <c r="Q1559" s="7"/>
      <c r="R1559" s="1"/>
      <c r="S1559" s="1" t="str">
        <f>"48-19/NOS-157/17"</f>
        <v>48-19/NOS-157/17</v>
      </c>
      <c r="T1559" s="2" t="s">
        <v>65</v>
      </c>
    </row>
    <row r="1560" spans="1:20" ht="38.25" x14ac:dyDescent="0.25">
      <c r="A1560" s="1">
        <v>1556</v>
      </c>
      <c r="B1560" s="1" t="str">
        <f t="shared" si="149"/>
        <v>2017-2500</v>
      </c>
      <c r="C1560" s="2" t="s">
        <v>961</v>
      </c>
      <c r="D1560" s="1" t="s">
        <v>962</v>
      </c>
      <c r="E1560" s="3" t="str">
        <f>""</f>
        <v/>
      </c>
      <c r="F1560" s="2" t="s">
        <v>27</v>
      </c>
      <c r="G1560" s="2" t="str">
        <f t="shared" si="150"/>
        <v>BAZENI - FONTANE,  VL. EDIN KAHRIMANOVIĆ, STJEPANA LACKA 32B, 10040 ZAGREB-DUBRAVA, OIB: 95070283178</v>
      </c>
      <c r="H1560" s="4"/>
      <c r="I1560" s="1" t="s">
        <v>579</v>
      </c>
      <c r="J1560" s="1" t="s">
        <v>436</v>
      </c>
      <c r="K1560" s="6" t="str">
        <f>"5.800,00"</f>
        <v>5.800,00</v>
      </c>
      <c r="L1560" s="6" t="str">
        <f>"1.450,00"</f>
        <v>1.450,00</v>
      </c>
      <c r="M1560" s="6" t="str">
        <f>"7.250,00"</f>
        <v>7.250,00</v>
      </c>
      <c r="N1560" s="5">
        <v>43642</v>
      </c>
      <c r="O1560" s="7"/>
      <c r="P1560" s="6" t="str">
        <f>"7.250,00"</f>
        <v>7.250,00</v>
      </c>
      <c r="Q1560" s="7"/>
      <c r="R1560" s="1"/>
      <c r="S1560" s="1" t="str">
        <f>"49-19/NOS-157/17"</f>
        <v>49-19/NOS-157/17</v>
      </c>
      <c r="T1560" s="2" t="s">
        <v>65</v>
      </c>
    </row>
    <row r="1561" spans="1:20" ht="38.25" x14ac:dyDescent="0.25">
      <c r="A1561" s="1">
        <v>1557</v>
      </c>
      <c r="B1561" s="1" t="str">
        <f t="shared" si="149"/>
        <v>2017-2500</v>
      </c>
      <c r="C1561" s="2" t="s">
        <v>961</v>
      </c>
      <c r="D1561" s="1" t="s">
        <v>962</v>
      </c>
      <c r="E1561" s="3" t="str">
        <f>""</f>
        <v/>
      </c>
      <c r="F1561" s="2" t="s">
        <v>27</v>
      </c>
      <c r="G1561" s="2" t="str">
        <f t="shared" si="150"/>
        <v>BAZENI - FONTANE,  VL. EDIN KAHRIMANOVIĆ, STJEPANA LACKA 32B, 10040 ZAGREB-DUBRAVA, OIB: 95070283178</v>
      </c>
      <c r="H1561" s="4"/>
      <c r="I1561" s="1" t="s">
        <v>579</v>
      </c>
      <c r="J1561" s="1" t="s">
        <v>436</v>
      </c>
      <c r="K1561" s="6" t="str">
        <f>"9.700,00"</f>
        <v>9.700,00</v>
      </c>
      <c r="L1561" s="6" t="str">
        <f>"2.425,00"</f>
        <v>2.425,00</v>
      </c>
      <c r="M1561" s="6" t="str">
        <f>"12.125,00"</f>
        <v>12.125,00</v>
      </c>
      <c r="N1561" s="5">
        <v>43634</v>
      </c>
      <c r="O1561" s="7"/>
      <c r="P1561" s="6" t="str">
        <f>"12.125,00"</f>
        <v>12.125,00</v>
      </c>
      <c r="Q1561" s="7"/>
      <c r="R1561" s="1"/>
      <c r="S1561" s="1" t="str">
        <f>"50-19/NOS-157/17"</f>
        <v>50-19/NOS-157/17</v>
      </c>
      <c r="T1561" s="2" t="s">
        <v>65</v>
      </c>
    </row>
    <row r="1562" spans="1:20" ht="38.25" x14ac:dyDescent="0.25">
      <c r="A1562" s="1">
        <v>1558</v>
      </c>
      <c r="B1562" s="1" t="str">
        <f t="shared" si="149"/>
        <v>2017-2500</v>
      </c>
      <c r="C1562" s="2" t="s">
        <v>961</v>
      </c>
      <c r="D1562" s="1" t="s">
        <v>962</v>
      </c>
      <c r="E1562" s="3" t="str">
        <f>""</f>
        <v/>
      </c>
      <c r="F1562" s="2" t="s">
        <v>27</v>
      </c>
      <c r="G1562" s="2" t="str">
        <f t="shared" si="150"/>
        <v>BAZENI - FONTANE,  VL. EDIN KAHRIMANOVIĆ, STJEPANA LACKA 32B, 10040 ZAGREB-DUBRAVA, OIB: 95070283178</v>
      </c>
      <c r="H1562" s="4"/>
      <c r="I1562" s="1" t="s">
        <v>403</v>
      </c>
      <c r="J1562" s="1" t="s">
        <v>251</v>
      </c>
      <c r="K1562" s="6" t="str">
        <f>"9.700,00"</f>
        <v>9.700,00</v>
      </c>
      <c r="L1562" s="6" t="str">
        <f>"2.425,00"</f>
        <v>2.425,00</v>
      </c>
      <c r="M1562" s="6" t="str">
        <f>"12.125,00"</f>
        <v>12.125,00</v>
      </c>
      <c r="N1562" s="5">
        <v>43656</v>
      </c>
      <c r="O1562" s="7"/>
      <c r="P1562" s="6" t="str">
        <f>"12.125,00"</f>
        <v>12.125,00</v>
      </c>
      <c r="Q1562" s="7"/>
      <c r="R1562" s="1"/>
      <c r="S1562" s="1" t="str">
        <f>"51-19/NOS-157/17"</f>
        <v>51-19/NOS-157/17</v>
      </c>
      <c r="T1562" s="2" t="s">
        <v>65</v>
      </c>
    </row>
    <row r="1563" spans="1:20" ht="38.25" x14ac:dyDescent="0.25">
      <c r="A1563" s="1">
        <v>1559</v>
      </c>
      <c r="B1563" s="1" t="str">
        <f t="shared" si="149"/>
        <v>2017-2500</v>
      </c>
      <c r="C1563" s="2" t="s">
        <v>961</v>
      </c>
      <c r="D1563" s="1" t="s">
        <v>962</v>
      </c>
      <c r="E1563" s="3" t="str">
        <f>""</f>
        <v/>
      </c>
      <c r="F1563" s="2" t="s">
        <v>27</v>
      </c>
      <c r="G1563" s="2" t="str">
        <f t="shared" si="150"/>
        <v>BAZENI - FONTANE,  VL. EDIN KAHRIMANOVIĆ, STJEPANA LACKA 32B, 10040 ZAGREB-DUBRAVA, OIB: 95070283178</v>
      </c>
      <c r="H1563" s="4"/>
      <c r="I1563" s="1" t="s">
        <v>403</v>
      </c>
      <c r="J1563" s="1" t="s">
        <v>251</v>
      </c>
      <c r="K1563" s="6" t="str">
        <f>"6.700,00"</f>
        <v>6.700,00</v>
      </c>
      <c r="L1563" s="6" t="str">
        <f>"1.675,00"</f>
        <v>1.675,00</v>
      </c>
      <c r="M1563" s="6" t="str">
        <f>"8.375,00"</f>
        <v>8.375,00</v>
      </c>
      <c r="N1563" s="5">
        <v>43656</v>
      </c>
      <c r="O1563" s="7"/>
      <c r="P1563" s="6" t="str">
        <f>"8.375,00"</f>
        <v>8.375,00</v>
      </c>
      <c r="Q1563" s="7"/>
      <c r="R1563" s="1"/>
      <c r="S1563" s="1" t="str">
        <f>"52-19/NOS-157/17"</f>
        <v>52-19/NOS-157/17</v>
      </c>
      <c r="T1563" s="2" t="s">
        <v>65</v>
      </c>
    </row>
    <row r="1564" spans="1:20" ht="38.25" x14ac:dyDescent="0.25">
      <c r="A1564" s="1">
        <v>1560</v>
      </c>
      <c r="B1564" s="1" t="str">
        <f>"2017-829"</f>
        <v>2017-829</v>
      </c>
      <c r="C1564" s="2" t="s">
        <v>965</v>
      </c>
      <c r="D1564" s="1" t="s">
        <v>786</v>
      </c>
      <c r="E1564" s="3" t="str">
        <f>"2017/S F14-0022637"</f>
        <v>2017/S F14-0022637</v>
      </c>
      <c r="F1564" s="2" t="s">
        <v>23</v>
      </c>
      <c r="G1564" s="2" t="str">
        <f>CONCATENATE("PISMORAD D.D.,"," III MALEŠNICA 12,"," 10000 ZAGREB,"," OIB: 33260306505")</f>
        <v>PISMORAD D.D., III MALEŠNICA 12, 10000 ZAGREB, OIB: 33260306505</v>
      </c>
      <c r="H1564" s="4"/>
      <c r="I1564" s="1" t="s">
        <v>966</v>
      </c>
      <c r="J1564" s="1" t="s">
        <v>967</v>
      </c>
      <c r="K1564" s="6" t="str">
        <f>"300.000,00"</f>
        <v>300.000,00</v>
      </c>
      <c r="L1564" s="6" t="str">
        <f>"75.000,00"</f>
        <v>75.000,00</v>
      </c>
      <c r="M1564" s="6" t="str">
        <f>"375.000,00"</f>
        <v>375.000,00</v>
      </c>
      <c r="N1564" s="7"/>
      <c r="O1564" s="7"/>
      <c r="P1564" s="6" t="str">
        <f>""</f>
        <v/>
      </c>
      <c r="Q1564" s="7"/>
      <c r="R1564" s="1"/>
      <c r="S1564" s="1" t="str">
        <f>"NOS-158-A/17"</f>
        <v>NOS-158-A/17</v>
      </c>
      <c r="T1564" s="2" t="s">
        <v>33</v>
      </c>
    </row>
    <row r="1565" spans="1:20" ht="38.25" x14ac:dyDescent="0.25">
      <c r="A1565" s="1">
        <v>1561</v>
      </c>
      <c r="B1565" s="1" t="str">
        <f>"2017-829"</f>
        <v>2017-829</v>
      </c>
      <c r="C1565" s="2" t="s">
        <v>965</v>
      </c>
      <c r="D1565" s="1" t="s">
        <v>786</v>
      </c>
      <c r="E1565" s="3" t="str">
        <f>"2017/S F14-0022637"</f>
        <v>2017/S F14-0022637</v>
      </c>
      <c r="F1565" s="2" t="s">
        <v>23</v>
      </c>
      <c r="G1565" s="2" t="str">
        <f>CONCATENATE("PISMORAD D.D.,"," III MALEŠNICA 12,"," 10000 ZAGREB,"," OIB: 33260306505")</f>
        <v>PISMORAD D.D., III MALEŠNICA 12, 10000 ZAGREB, OIB: 33260306505</v>
      </c>
      <c r="H1565" s="4"/>
      <c r="I1565" s="1" t="s">
        <v>966</v>
      </c>
      <c r="J1565" s="1" t="s">
        <v>967</v>
      </c>
      <c r="K1565" s="6" t="str">
        <f>"3.200.000,00"</f>
        <v>3.200.000,00</v>
      </c>
      <c r="L1565" s="6" t="str">
        <f>"800.000,00"</f>
        <v>800.000,00</v>
      </c>
      <c r="M1565" s="6" t="str">
        <f>"4.000.000,00"</f>
        <v>4.000.000,00</v>
      </c>
      <c r="N1565" s="7"/>
      <c r="O1565" s="7"/>
      <c r="P1565" s="6" t="str">
        <f>""</f>
        <v/>
      </c>
      <c r="Q1565" s="7"/>
      <c r="R1565" s="1"/>
      <c r="S1565" s="1" t="str">
        <f>"NOS-158-B/17"</f>
        <v>NOS-158-B/17</v>
      </c>
      <c r="T1565" s="2" t="s">
        <v>33</v>
      </c>
    </row>
    <row r="1566" spans="1:20" ht="127.5" x14ac:dyDescent="0.25">
      <c r="A1566" s="1">
        <v>1562</v>
      </c>
      <c r="B1566" s="1" t="str">
        <f>"2017-413"</f>
        <v>2017-413</v>
      </c>
      <c r="C1566" s="2" t="s">
        <v>968</v>
      </c>
      <c r="D1566" s="1" t="s">
        <v>101</v>
      </c>
      <c r="E1566" s="3" t="str">
        <f>"2017/S 0F2-0023592"</f>
        <v>2017/S 0F2-0023592</v>
      </c>
      <c r="F1566" s="2" t="s">
        <v>23</v>
      </c>
      <c r="G1566" s="2" t="str">
        <f>CONCATENATE("SOLANA PAG D.D.,"," SVILNO bb,"," 23250 PAG,"," OIB: 34949147151",CHAR(10),"PAG 91 D.O.O.,"," VELA ULICA 14,"," 23250 PAG,"," OIB: 74155629820",CHAR(10),"MA.CO.T. D.O.O.,"," INDUSTRIJSKA ZONA R-29,"," KUKULJANOVO bb,"," 51227 KUKULJANOVO,"," OIB: 88870948836",CHAR(10),"PELOT GLOBE D.O.O.,"," KESTERČANEKOVA 2A,"," 10000 ZAGREB,"," OIB: 03173356581",CHAR(10),"SOLANA NIN D.O.O.,"," OIB: 24555467866")</f>
        <v>SOLANA PAG D.D., SVILNO bb, 23250 PAG, OIB: 34949147151
PAG 91 D.O.O., VELA ULICA 14, 23250 PAG, OIB: 74155629820
MA.CO.T. D.O.O., INDUSTRIJSKA ZONA R-29, KUKULJANOVO bb, 51227 KUKULJANOVO, OIB: 88870948836
PELOT GLOBE D.O.O., KESTERČANEKOVA 2A, 10000 ZAGREB, OIB: 03173356581
SOLANA NIN D.O.O., OIB: 24555467866</v>
      </c>
      <c r="H1566" s="4"/>
      <c r="I1566" s="1" t="s">
        <v>840</v>
      </c>
      <c r="J1566" s="1" t="s">
        <v>969</v>
      </c>
      <c r="K1566" s="6" t="str">
        <f>"25.000.000,00"</f>
        <v>25.000.000,00</v>
      </c>
      <c r="L1566" s="6" t="str">
        <f>"6.250.000,00"</f>
        <v>6.250.000,00</v>
      </c>
      <c r="M1566" s="6" t="str">
        <f>"31.250.000,00"</f>
        <v>31.250.000,00</v>
      </c>
      <c r="N1566" s="7"/>
      <c r="O1566" s="7"/>
      <c r="P1566" s="6" t="str">
        <f>""</f>
        <v/>
      </c>
      <c r="Q1566" s="7"/>
      <c r="R1566" s="1"/>
      <c r="S1566" s="1" t="str">
        <f>"NOS-159/17"</f>
        <v>NOS-159/17</v>
      </c>
      <c r="T1566" s="2" t="s">
        <v>26</v>
      </c>
    </row>
    <row r="1567" spans="1:20" ht="25.5" x14ac:dyDescent="0.25">
      <c r="A1567" s="1">
        <v>1563</v>
      </c>
      <c r="B1567" s="1" t="str">
        <f>"2017-413"</f>
        <v>2017-413</v>
      </c>
      <c r="C1567" s="2" t="s">
        <v>968</v>
      </c>
      <c r="D1567" s="4"/>
      <c r="E1567" s="3" t="str">
        <f>""</f>
        <v/>
      </c>
      <c r="F1567" s="2" t="s">
        <v>27</v>
      </c>
      <c r="G1567" s="2" t="str">
        <f>CONCATENATE("PELOT GLOBE D.O.O.,"," KESTERČANEKOVA 2A,"," 10000 ZAGREB,"," OIB: 0317335658")</f>
        <v>PELOT GLOBE D.O.O., KESTERČANEKOVA 2A, 10000 ZAGREB, OIB: 0317335658</v>
      </c>
      <c r="H1567" s="4"/>
      <c r="I1567" s="1" t="s">
        <v>631</v>
      </c>
      <c r="J1567" s="1" t="s">
        <v>71</v>
      </c>
      <c r="K1567" s="6" t="str">
        <f>"6.428.800,00"</f>
        <v>6.428.800,00</v>
      </c>
      <c r="L1567" s="6" t="str">
        <f>"1.607.200,00"</f>
        <v>1.607.200,00</v>
      </c>
      <c r="M1567" s="6" t="str">
        <f>"8.036.000,00"</f>
        <v>8.036.000,00</v>
      </c>
      <c r="N1567" s="5">
        <v>43516</v>
      </c>
      <c r="O1567" s="7"/>
      <c r="P1567" s="6" t="str">
        <f>"8.023.198,40"</f>
        <v>8.023.198,40</v>
      </c>
      <c r="Q1567" s="7"/>
      <c r="R1567" s="1"/>
      <c r="S1567" s="1" t="str">
        <f>"1-18/NOS-159/17"</f>
        <v>1-18/NOS-159/17</v>
      </c>
      <c r="T1567" s="2" t="s">
        <v>33</v>
      </c>
    </row>
    <row r="1568" spans="1:20" ht="25.5" x14ac:dyDescent="0.25">
      <c r="A1568" s="1">
        <v>1564</v>
      </c>
      <c r="B1568" s="1" t="str">
        <f>"2017-413"</f>
        <v>2017-413</v>
      </c>
      <c r="C1568" s="2" t="s">
        <v>968</v>
      </c>
      <c r="D1568" s="1" t="s">
        <v>101</v>
      </c>
      <c r="E1568" s="3" t="str">
        <f>""</f>
        <v/>
      </c>
      <c r="F1568" s="2" t="s">
        <v>27</v>
      </c>
      <c r="G1568" s="2" t="str">
        <f>CONCATENATE("PAG 91 D.O.O.,"," VELA ULICA 14,"," 23250 PAG,"," OIB: 7415562982")</f>
        <v>PAG 91 D.O.O., VELA ULICA 14, 23250 PAG, OIB: 7415562982</v>
      </c>
      <c r="H1568" s="4"/>
      <c r="I1568" s="1" t="s">
        <v>92</v>
      </c>
      <c r="J1568" s="1" t="s">
        <v>71</v>
      </c>
      <c r="K1568" s="6" t="str">
        <f>"770.084,00"</f>
        <v>770.084,00</v>
      </c>
      <c r="L1568" s="6" t="str">
        <f>"192.521,00"</f>
        <v>192.521,00</v>
      </c>
      <c r="M1568" s="6" t="str">
        <f>"962.605,00"</f>
        <v>962.605,00</v>
      </c>
      <c r="N1568" s="5">
        <v>43449</v>
      </c>
      <c r="O1568" s="7"/>
      <c r="P1568" s="6" t="str">
        <f>"643.088,50"</f>
        <v>643.088,50</v>
      </c>
      <c r="Q1568" s="7"/>
      <c r="R1568" s="1"/>
      <c r="S1568" s="1" t="str">
        <f>"3-18/NOS-159/17"</f>
        <v>3-18/NOS-159/17</v>
      </c>
      <c r="T1568" s="2" t="s">
        <v>33</v>
      </c>
    </row>
    <row r="1569" spans="1:20" ht="51" x14ac:dyDescent="0.25">
      <c r="A1569" s="1">
        <v>1565</v>
      </c>
      <c r="B1569" s="1" t="str">
        <f>"2017-413"</f>
        <v>2017-413</v>
      </c>
      <c r="C1569" s="2" t="s">
        <v>970</v>
      </c>
      <c r="D1569" s="4"/>
      <c r="E1569" s="3" t="str">
        <f>""</f>
        <v/>
      </c>
      <c r="F1569" s="2" t="s">
        <v>52</v>
      </c>
      <c r="G1569" s="2" t="str">
        <f>CONCATENATE("PELOT GLOBE D.O.O.,"," KESTERČANEKOVA 2A,"," 10000 ZAGREB,"," OIB: 0317335658")</f>
        <v>PELOT GLOBE D.O.O., KESTERČANEKOVA 2A, 10000 ZAGREB, OIB: 0317335658</v>
      </c>
      <c r="H1569" s="4"/>
      <c r="I1569" s="1" t="s">
        <v>257</v>
      </c>
      <c r="J1569" s="1" t="s">
        <v>71</v>
      </c>
      <c r="K1569" s="6" t="str">
        <f>"627.200,00"</f>
        <v>627.200,00</v>
      </c>
      <c r="L1569" s="6" t="str">
        <f>"156.800,00"</f>
        <v>156.800,00</v>
      </c>
      <c r="M1569" s="6" t="str">
        <f>"784.000,00"</f>
        <v>784.000,00</v>
      </c>
      <c r="N1569" s="5">
        <v>43578</v>
      </c>
      <c r="O1569" s="7"/>
      <c r="P1569" s="6" t="str">
        <f>"779.004,80"</f>
        <v>779.004,80</v>
      </c>
      <c r="Q1569" s="7"/>
      <c r="R1569" s="1"/>
      <c r="S1569" s="1" t="str">
        <f>"1-18/NOS-159/17#1"</f>
        <v>1-18/NOS-159/17#1</v>
      </c>
      <c r="T1569" s="2" t="s">
        <v>33</v>
      </c>
    </row>
    <row r="1570" spans="1:20" ht="38.25" x14ac:dyDescent="0.25">
      <c r="A1570" s="1">
        <v>1566</v>
      </c>
      <c r="B1570" s="1" t="str">
        <f>"2017-2805"</f>
        <v>2017-2805</v>
      </c>
      <c r="C1570" s="2" t="s">
        <v>971</v>
      </c>
      <c r="D1570" s="1" t="s">
        <v>972</v>
      </c>
      <c r="E1570" s="3" t="str">
        <f>"2017/S 0F2-0027305"</f>
        <v>2017/S 0F2-0027305</v>
      </c>
      <c r="F1570" s="2" t="s">
        <v>23</v>
      </c>
      <c r="G1570" s="2" t="str">
        <f>CONCATENATE("T.D.I. 90 D.O.O.,"," PETROVA 2/B,"," 10000 ZAGREB,"," OIB: 26978223128")</f>
        <v>T.D.I. 90 D.O.O., PETROVA 2/B, 10000 ZAGREB, OIB: 26978223128</v>
      </c>
      <c r="H1570" s="4"/>
      <c r="I1570" s="1" t="s">
        <v>973</v>
      </c>
      <c r="J1570" s="1" t="s">
        <v>974</v>
      </c>
      <c r="K1570" s="6" t="str">
        <f>"800.000,00"</f>
        <v>800.000,00</v>
      </c>
      <c r="L1570" s="6" t="str">
        <f>"200.000,00"</f>
        <v>200.000,00</v>
      </c>
      <c r="M1570" s="6" t="str">
        <f>"1.000.000,00"</f>
        <v>1.000.000,00</v>
      </c>
      <c r="N1570" s="7"/>
      <c r="O1570" s="7"/>
      <c r="P1570" s="6" t="str">
        <f>""</f>
        <v/>
      </c>
      <c r="Q1570" s="7"/>
      <c r="R1570" s="1"/>
      <c r="S1570" s="1" t="str">
        <f>"NOS-160/17"</f>
        <v>NOS-160/17</v>
      </c>
      <c r="T1570" s="2" t="s">
        <v>29</v>
      </c>
    </row>
    <row r="1571" spans="1:20" ht="25.5" x14ac:dyDescent="0.25">
      <c r="A1571" s="1">
        <v>1567</v>
      </c>
      <c r="B1571" s="1" t="str">
        <f>"2017-2805"</f>
        <v>2017-2805</v>
      </c>
      <c r="C1571" s="2" t="s">
        <v>971</v>
      </c>
      <c r="D1571" s="1" t="s">
        <v>972</v>
      </c>
      <c r="E1571" s="3" t="str">
        <f>""</f>
        <v/>
      </c>
      <c r="F1571" s="2" t="s">
        <v>27</v>
      </c>
      <c r="G1571" s="2" t="str">
        <f>CONCATENATE("T.D.I. 90 D.O.O.,"," PETROVA 2/B,"," 10000 ZAGREB,"," OIB: 26978223128")</f>
        <v>T.D.I. 90 D.O.O., PETROVA 2/B, 10000 ZAGREB, OIB: 26978223128</v>
      </c>
      <c r="H1571" s="4"/>
      <c r="I1571" s="1" t="s">
        <v>355</v>
      </c>
      <c r="J1571" s="1" t="s">
        <v>975</v>
      </c>
      <c r="K1571" s="6" t="str">
        <f>"199.106,00"</f>
        <v>199.106,00</v>
      </c>
      <c r="L1571" s="6" t="str">
        <f>"0,00"</f>
        <v>0,00</v>
      </c>
      <c r="M1571" s="6" t="str">
        <f>"0,00"</f>
        <v>0,00</v>
      </c>
      <c r="N1571" s="1" t="s">
        <v>117</v>
      </c>
      <c r="O1571" s="7"/>
      <c r="P1571" s="6" t="str">
        <f>"0,00"</f>
        <v>0,00</v>
      </c>
      <c r="Q1571" s="7"/>
      <c r="R1571" s="1"/>
      <c r="S1571" s="1" t="str">
        <f>"1-19/NOS-160/17"</f>
        <v>1-19/NOS-160/17</v>
      </c>
      <c r="T1571" s="2" t="s">
        <v>29</v>
      </c>
    </row>
    <row r="1572" spans="1:20" ht="89.25" x14ac:dyDescent="0.25">
      <c r="A1572" s="1">
        <v>1568</v>
      </c>
      <c r="B1572" s="1" t="str">
        <f t="shared" ref="B1572:B1577" si="151">"2017-2877"</f>
        <v>2017-2877</v>
      </c>
      <c r="C1572" s="2" t="s">
        <v>976</v>
      </c>
      <c r="D1572" s="1" t="s">
        <v>977</v>
      </c>
      <c r="E1572" s="3" t="str">
        <f>"2017/S 0F2-0024532"</f>
        <v>2017/S 0F2-0024532</v>
      </c>
      <c r="F1572" s="2" t="s">
        <v>23</v>
      </c>
      <c r="G1572" s="2" t="str">
        <f t="shared" ref="G1572:G1577" si="152">CONCATENATE("AUTOTEHNIKA D.O.O.,"," BRUNE BUŠIĆA 23,"," 10020 ZAGREB,"," OIB: 99404302342")</f>
        <v>AUTOTEHNIKA D.O.O., BRUNE BUŠIĆA 23, 10020 ZAGREB, OIB: 99404302342</v>
      </c>
      <c r="H1572" s="4"/>
      <c r="I1572" s="1" t="s">
        <v>978</v>
      </c>
      <c r="J1572" s="1" t="s">
        <v>979</v>
      </c>
      <c r="K1572" s="6" t="str">
        <f>"1.367.000,00"</f>
        <v>1.367.000,00</v>
      </c>
      <c r="L1572" s="6" t="str">
        <f>"341.750,00"</f>
        <v>341.750,00</v>
      </c>
      <c r="M1572" s="6" t="str">
        <f>"1.708.750,00"</f>
        <v>1.708.750,00</v>
      </c>
      <c r="N1572" s="7"/>
      <c r="O1572" s="7"/>
      <c r="P1572" s="6" t="str">
        <f>""</f>
        <v/>
      </c>
      <c r="Q1572" s="7"/>
      <c r="R1572" s="1"/>
      <c r="S1572" s="1" t="str">
        <f>"NOS-161/17"</f>
        <v>NOS-161/17</v>
      </c>
      <c r="T1572" s="2" t="s">
        <v>399</v>
      </c>
    </row>
    <row r="1573" spans="1:20" ht="38.25" x14ac:dyDescent="0.25">
      <c r="A1573" s="1">
        <v>1569</v>
      </c>
      <c r="B1573" s="1" t="str">
        <f t="shared" si="151"/>
        <v>2017-2877</v>
      </c>
      <c r="C1573" s="2" t="s">
        <v>976</v>
      </c>
      <c r="D1573" s="1" t="s">
        <v>977</v>
      </c>
      <c r="E1573" s="3" t="str">
        <f>""</f>
        <v/>
      </c>
      <c r="F1573" s="2" t="s">
        <v>27</v>
      </c>
      <c r="G1573" s="2" t="str">
        <f t="shared" si="152"/>
        <v>AUTOTEHNIKA D.O.O., BRUNE BUŠIĆA 23, 10020 ZAGREB, OIB: 99404302342</v>
      </c>
      <c r="H1573" s="4"/>
      <c r="I1573" s="1" t="s">
        <v>398</v>
      </c>
      <c r="J1573" s="1" t="s">
        <v>140</v>
      </c>
      <c r="K1573" s="6" t="str">
        <f>"17.130,59"</f>
        <v>17.130,59</v>
      </c>
      <c r="L1573" s="6" t="str">
        <f>"4.282,65"</f>
        <v>4.282,65</v>
      </c>
      <c r="M1573" s="6" t="str">
        <f>"21.413,24"</f>
        <v>21.413,24</v>
      </c>
      <c r="N1573" s="5">
        <v>43518</v>
      </c>
      <c r="O1573" s="7"/>
      <c r="P1573" s="6" t="str">
        <f>"20.486,45"</f>
        <v>20.486,45</v>
      </c>
      <c r="Q1573" s="7"/>
      <c r="R1573" s="1"/>
      <c r="S1573" s="1" t="str">
        <f>"13-18/NOS-161/17"</f>
        <v>13-18/NOS-161/17</v>
      </c>
      <c r="T1573" s="2" t="s">
        <v>26</v>
      </c>
    </row>
    <row r="1574" spans="1:20" ht="25.5" x14ac:dyDescent="0.25">
      <c r="A1574" s="1">
        <v>1570</v>
      </c>
      <c r="B1574" s="1" t="str">
        <f t="shared" si="151"/>
        <v>2017-2877</v>
      </c>
      <c r="C1574" s="2" t="s">
        <v>976</v>
      </c>
      <c r="D1574" s="1" t="s">
        <v>977</v>
      </c>
      <c r="E1574" s="3" t="str">
        <f>""</f>
        <v/>
      </c>
      <c r="F1574" s="2" t="s">
        <v>27</v>
      </c>
      <c r="G1574" s="2" t="str">
        <f t="shared" si="152"/>
        <v>AUTOTEHNIKA D.O.O., BRUNE BUŠIĆA 23, 10020 ZAGREB, OIB: 99404302342</v>
      </c>
      <c r="H1574" s="4"/>
      <c r="I1574" s="1" t="s">
        <v>670</v>
      </c>
      <c r="J1574" s="1" t="s">
        <v>64</v>
      </c>
      <c r="K1574" s="6" t="str">
        <f>"9.191,18"</f>
        <v>9.191,18</v>
      </c>
      <c r="L1574" s="6" t="str">
        <f>"2.297,80"</f>
        <v>2.297,80</v>
      </c>
      <c r="M1574" s="6" t="str">
        <f>"11.488,98"</f>
        <v>11.488,98</v>
      </c>
      <c r="N1574" s="5">
        <v>43570</v>
      </c>
      <c r="O1574" s="7"/>
      <c r="P1574" s="6" t="str">
        <f>"11.488,98"</f>
        <v>11.488,98</v>
      </c>
      <c r="Q1574" s="7"/>
      <c r="R1574" s="1"/>
      <c r="S1574" s="1" t="str">
        <f>"1-19/NOS-161/17"</f>
        <v>1-19/NOS-161/17</v>
      </c>
      <c r="T1574" s="2" t="s">
        <v>33</v>
      </c>
    </row>
    <row r="1575" spans="1:20" ht="38.25" x14ac:dyDescent="0.25">
      <c r="A1575" s="1">
        <v>1571</v>
      </c>
      <c r="B1575" s="1" t="str">
        <f t="shared" si="151"/>
        <v>2017-2877</v>
      </c>
      <c r="C1575" s="2" t="s">
        <v>976</v>
      </c>
      <c r="D1575" s="1" t="s">
        <v>977</v>
      </c>
      <c r="E1575" s="3" t="str">
        <f>""</f>
        <v/>
      </c>
      <c r="F1575" s="2" t="s">
        <v>27</v>
      </c>
      <c r="G1575" s="2" t="str">
        <f t="shared" si="152"/>
        <v>AUTOTEHNIKA D.O.O., BRUNE BUŠIĆA 23, 10020 ZAGREB, OIB: 99404302342</v>
      </c>
      <c r="H1575" s="4"/>
      <c r="I1575" s="1" t="s">
        <v>322</v>
      </c>
      <c r="J1575" s="1" t="s">
        <v>355</v>
      </c>
      <c r="K1575" s="6" t="str">
        <f>"31.240,01"</f>
        <v>31.240,01</v>
      </c>
      <c r="L1575" s="6" t="str">
        <f>"7.810,00"</f>
        <v>7.810,00</v>
      </c>
      <c r="M1575" s="6" t="str">
        <f>"39.050,01"</f>
        <v>39.050,01</v>
      </c>
      <c r="N1575" s="5">
        <v>43606</v>
      </c>
      <c r="O1575" s="7"/>
      <c r="P1575" s="6" t="str">
        <f>"39.050,01"</f>
        <v>39.050,01</v>
      </c>
      <c r="Q1575" s="7"/>
      <c r="R1575" s="1"/>
      <c r="S1575" s="1" t="str">
        <f>"2-19/NOS-161/17"</f>
        <v>2-19/NOS-161/17</v>
      </c>
      <c r="T1575" s="2" t="s">
        <v>26</v>
      </c>
    </row>
    <row r="1576" spans="1:20" ht="38.25" x14ac:dyDescent="0.25">
      <c r="A1576" s="1">
        <v>1572</v>
      </c>
      <c r="B1576" s="1" t="str">
        <f t="shared" si="151"/>
        <v>2017-2877</v>
      </c>
      <c r="C1576" s="2" t="s">
        <v>976</v>
      </c>
      <c r="D1576" s="1" t="s">
        <v>977</v>
      </c>
      <c r="E1576" s="3" t="str">
        <f>""</f>
        <v/>
      </c>
      <c r="F1576" s="2" t="s">
        <v>27</v>
      </c>
      <c r="G1576" s="2" t="str">
        <f t="shared" si="152"/>
        <v>AUTOTEHNIKA D.O.O., BRUNE BUŠIĆA 23, 10020 ZAGREB, OIB: 99404302342</v>
      </c>
      <c r="H1576" s="4"/>
      <c r="I1576" s="1" t="s">
        <v>46</v>
      </c>
      <c r="J1576" s="1" t="s">
        <v>980</v>
      </c>
      <c r="K1576" s="6" t="str">
        <f>"33.850,32"</f>
        <v>33.850,32</v>
      </c>
      <c r="L1576" s="6" t="str">
        <f>"8.462,58"</f>
        <v>8.462,58</v>
      </c>
      <c r="M1576" s="6" t="str">
        <f>"42.312,90"</f>
        <v>42.312,90</v>
      </c>
      <c r="N1576" s="5">
        <v>43658</v>
      </c>
      <c r="O1576" s="7"/>
      <c r="P1576" s="6" t="str">
        <f>"42.312,90"</f>
        <v>42.312,90</v>
      </c>
      <c r="Q1576" s="7"/>
      <c r="R1576" s="1"/>
      <c r="S1576" s="1" t="str">
        <f>"3-19/NOS-161/17"</f>
        <v>3-19/NOS-161/17</v>
      </c>
      <c r="T1576" s="2" t="s">
        <v>26</v>
      </c>
    </row>
    <row r="1577" spans="1:20" ht="38.25" x14ac:dyDescent="0.25">
      <c r="A1577" s="1">
        <v>1573</v>
      </c>
      <c r="B1577" s="1" t="str">
        <f t="shared" si="151"/>
        <v>2017-2877</v>
      </c>
      <c r="C1577" s="2" t="s">
        <v>976</v>
      </c>
      <c r="D1577" s="1" t="s">
        <v>977</v>
      </c>
      <c r="E1577" s="3" t="str">
        <f>""</f>
        <v/>
      </c>
      <c r="F1577" s="2" t="s">
        <v>27</v>
      </c>
      <c r="G1577" s="2" t="str">
        <f t="shared" si="152"/>
        <v>AUTOTEHNIKA D.O.O., BRUNE BUŠIĆA 23, 10020 ZAGREB, OIB: 99404302342</v>
      </c>
      <c r="H1577" s="4"/>
      <c r="I1577" s="1" t="s">
        <v>374</v>
      </c>
      <c r="J1577" s="1" t="s">
        <v>404</v>
      </c>
      <c r="K1577" s="6" t="str">
        <f>"22.447,98"</f>
        <v>22.447,98</v>
      </c>
      <c r="L1577" s="6" t="str">
        <f>"5.612,00"</f>
        <v>5.612,00</v>
      </c>
      <c r="M1577" s="6" t="str">
        <f>"28.059,98"</f>
        <v>28.059,98</v>
      </c>
      <c r="N1577" s="5">
        <v>43683</v>
      </c>
      <c r="O1577" s="7"/>
      <c r="P1577" s="6" t="str">
        <f>"5.587,35"</f>
        <v>5.587,35</v>
      </c>
      <c r="Q1577" s="7"/>
      <c r="R1577" s="1"/>
      <c r="S1577" s="1" t="str">
        <f>"4-19/NOS-161/17"</f>
        <v>4-19/NOS-161/17</v>
      </c>
      <c r="T1577" s="2" t="s">
        <v>26</v>
      </c>
    </row>
    <row r="1578" spans="1:20" ht="38.25" x14ac:dyDescent="0.25">
      <c r="A1578" s="1">
        <v>1574</v>
      </c>
      <c r="B1578" s="1" t="str">
        <f>"2017-2912"</f>
        <v>2017-2912</v>
      </c>
      <c r="C1578" s="2" t="s">
        <v>981</v>
      </c>
      <c r="D1578" s="1" t="s">
        <v>483</v>
      </c>
      <c r="E1578" s="3" t="str">
        <f>"2017/S 0F2-0026465"</f>
        <v>2017/S 0F2-0026465</v>
      </c>
      <c r="F1578" s="2" t="s">
        <v>23</v>
      </c>
      <c r="G1578" s="2" t="str">
        <f>CONCATENATE("KOVA D.O.O.,"," BRAĆE RADIĆA 122B,"," 10410 VELIKA GORICA,"," OIB: 31948370674")</f>
        <v>KOVA D.O.O., BRAĆE RADIĆA 122B, 10410 VELIKA GORICA, OIB: 31948370674</v>
      </c>
      <c r="H1578" s="4"/>
      <c r="I1578" s="1" t="s">
        <v>69</v>
      </c>
      <c r="J1578" s="1" t="s">
        <v>982</v>
      </c>
      <c r="K1578" s="6" t="str">
        <f>"4.800.000,00"</f>
        <v>4.800.000,00</v>
      </c>
      <c r="L1578" s="6" t="str">
        <f>"1.200.000,00"</f>
        <v>1.200.000,00</v>
      </c>
      <c r="M1578" s="6" t="str">
        <f>"6.000.000,00"</f>
        <v>6.000.000,00</v>
      </c>
      <c r="N1578" s="7"/>
      <c r="O1578" s="7"/>
      <c r="P1578" s="6" t="str">
        <f>""</f>
        <v/>
      </c>
      <c r="Q1578" s="7"/>
      <c r="R1578" s="1"/>
      <c r="S1578" s="1" t="str">
        <f>"NOS-162-A/17"</f>
        <v>NOS-162-A/17</v>
      </c>
      <c r="T1578" s="2" t="s">
        <v>33</v>
      </c>
    </row>
    <row r="1579" spans="1:20" ht="38.25" x14ac:dyDescent="0.25">
      <c r="A1579" s="1">
        <v>1575</v>
      </c>
      <c r="B1579" s="1" t="str">
        <f>"2017-2912"</f>
        <v>2017-2912</v>
      </c>
      <c r="C1579" s="2" t="s">
        <v>981</v>
      </c>
      <c r="D1579" s="1" t="s">
        <v>483</v>
      </c>
      <c r="E1579" s="3" t="str">
        <f>"2017/S 0F2-0026465"</f>
        <v>2017/S 0F2-0026465</v>
      </c>
      <c r="F1579" s="2" t="s">
        <v>23</v>
      </c>
      <c r="G1579" s="2" t="str">
        <f>CONCATENATE("BENUSSI D. O. O.,"," FAŽANSKA CESTA 86,"," 52212 FAŽANA,"," OIB: 87971197112")</f>
        <v>BENUSSI D. O. O., FAŽANSKA CESTA 86, 52212 FAŽANA, OIB: 87971197112</v>
      </c>
      <c r="H1579" s="4"/>
      <c r="I1579" s="1" t="s">
        <v>102</v>
      </c>
      <c r="J1579" s="1" t="s">
        <v>983</v>
      </c>
      <c r="K1579" s="6" t="str">
        <f>"600.000,00"</f>
        <v>600.000,00</v>
      </c>
      <c r="L1579" s="6" t="str">
        <f>"150.000,00"</f>
        <v>150.000,00</v>
      </c>
      <c r="M1579" s="6" t="str">
        <f>"750.000,00"</f>
        <v>750.000,00</v>
      </c>
      <c r="N1579" s="7"/>
      <c r="O1579" s="7"/>
      <c r="P1579" s="6" t="str">
        <f>""</f>
        <v/>
      </c>
      <c r="Q1579" s="7"/>
      <c r="R1579" s="1"/>
      <c r="S1579" s="1" t="str">
        <f>"NOS-162-B/17"</f>
        <v>NOS-162-B/17</v>
      </c>
      <c r="T1579" s="2" t="s">
        <v>33</v>
      </c>
    </row>
    <row r="1580" spans="1:20" ht="127.5" x14ac:dyDescent="0.25">
      <c r="A1580" s="1">
        <v>1576</v>
      </c>
      <c r="B1580" s="1" t="str">
        <f t="shared" ref="B1580:B1585" si="153">"2017-2960"</f>
        <v>2017-2960</v>
      </c>
      <c r="C1580" s="2" t="s">
        <v>984</v>
      </c>
      <c r="D1580" s="1" t="s">
        <v>778</v>
      </c>
      <c r="E1580" s="3" t="str">
        <f>"2017/S 0F2-0026829"</f>
        <v>2017/S 0F2-0026829</v>
      </c>
      <c r="F1580" s="2" t="s">
        <v>23</v>
      </c>
      <c r="G1580" s="2" t="str">
        <f>CONCATENATE("C.I.A.K. D.O.O.,"," OIB: 47428597158",CHAR(10),"SMIT-COMMERCE D.O.O.,"," GORNJOSTUPNIČKA 9B,"," 10255 GORNJI STUPNIK,"," OIB: 95243482140",CHAR(10),"SAFIR D.O.O.,"," HORVAĆANSKA 17,"," 10000 ZAGREB,"," OIB: 33548604975",CHAR(10),"C.I.A.K. AUTO D.O.O.,"," GORNJOSTUPNIČKA 96,"," 10255 GORNJI STUPNIK,"," OIB: 62595301902",CHAR(10),"CIAK TRUCK D.O.O.,"," STUPNIČKE ŠIPKOVINE 1,"," 10255 GORNJI STUPNIK,"," OIB: 789690718")</f>
        <v>C.I.A.K. D.O.O., OIB: 47428597158
SMIT-COMMERCE D.O.O., GORNJOSTUPNIČKA 9B, 10255 GORNJI STUPNIK, OIB: 95243482140
SAFIR D.O.O., HORVAĆANSKA 17, 10000 ZAGREB, OIB: 33548604975
C.I.A.K. AUTO D.O.O., GORNJOSTUPNIČKA 96, 10255 GORNJI STUPNIK, OIB: 62595301902
CIAK TRUCK D.O.O., STUPNIČKE ŠIPKOVINE 1, 10255 GORNJI STUPNIK, OIB: 789690718</v>
      </c>
      <c r="H1580" s="4"/>
      <c r="I1580" s="1" t="s">
        <v>985</v>
      </c>
      <c r="J1580" s="1" t="s">
        <v>986</v>
      </c>
      <c r="K1580" s="6" t="str">
        <f>"880.000,00"</f>
        <v>880.000,00</v>
      </c>
      <c r="L1580" s="6" t="str">
        <f>"220.000,00"</f>
        <v>220.000,00</v>
      </c>
      <c r="M1580" s="6" t="str">
        <f>"1.100.000,00"</f>
        <v>1.100.000,00</v>
      </c>
      <c r="N1580" s="7"/>
      <c r="O1580" s="7"/>
      <c r="P1580" s="6" t="str">
        <f>""</f>
        <v/>
      </c>
      <c r="Q1580" s="7"/>
      <c r="R1580" s="1"/>
      <c r="S1580" s="1" t="str">
        <f>"NOS-163/17"</f>
        <v>NOS-163/17</v>
      </c>
      <c r="T1580" s="2" t="s">
        <v>26</v>
      </c>
    </row>
    <row r="1581" spans="1:20" ht="38.25" x14ac:dyDescent="0.25">
      <c r="A1581" s="1">
        <v>1577</v>
      </c>
      <c r="B1581" s="1" t="str">
        <f t="shared" si="153"/>
        <v>2017-2960</v>
      </c>
      <c r="C1581" s="2" t="s">
        <v>984</v>
      </c>
      <c r="D1581" s="1" t="s">
        <v>778</v>
      </c>
      <c r="E1581" s="3" t="str">
        <f>""</f>
        <v/>
      </c>
      <c r="F1581" s="2" t="s">
        <v>27</v>
      </c>
      <c r="G1581" s="2" t="str">
        <f>CONCATENATE("C.I.A.K. D.O.O.,"," OIB: 47428597158")</f>
        <v>C.I.A.K. D.O.O., OIB: 47428597158</v>
      </c>
      <c r="H1581" s="4"/>
      <c r="I1581" s="1" t="s">
        <v>951</v>
      </c>
      <c r="J1581" s="1" t="s">
        <v>64</v>
      </c>
      <c r="K1581" s="6" t="str">
        <f>"47.686,75"</f>
        <v>47.686,75</v>
      </c>
      <c r="L1581" s="6" t="str">
        <f>"11.921,69"</f>
        <v>11.921,69</v>
      </c>
      <c r="M1581" s="6" t="str">
        <f>"59.608,44"</f>
        <v>59.608,44</v>
      </c>
      <c r="N1581" s="5">
        <v>43700</v>
      </c>
      <c r="O1581" s="7"/>
      <c r="P1581" s="6" t="str">
        <f>"57.455,49"</f>
        <v>57.455,49</v>
      </c>
      <c r="Q1581" s="7"/>
      <c r="R1581" s="1"/>
      <c r="S1581" s="1" t="str">
        <f>"7-18/NOS-163/17"</f>
        <v>7-18/NOS-163/17</v>
      </c>
      <c r="T1581" s="2" t="s">
        <v>33</v>
      </c>
    </row>
    <row r="1582" spans="1:20" ht="38.25" x14ac:dyDescent="0.25">
      <c r="A1582" s="1">
        <v>1578</v>
      </c>
      <c r="B1582" s="1" t="str">
        <f t="shared" si="153"/>
        <v>2017-2960</v>
      </c>
      <c r="C1582" s="2" t="s">
        <v>984</v>
      </c>
      <c r="D1582" s="1" t="s">
        <v>778</v>
      </c>
      <c r="E1582" s="3" t="str">
        <f>""</f>
        <v/>
      </c>
      <c r="F1582" s="2" t="s">
        <v>27</v>
      </c>
      <c r="G1582" s="2" t="str">
        <f>CONCATENATE("C.I.A.K. D.O.O.,"," OIB: 47428597158")</f>
        <v>C.I.A.K. D.O.O., OIB: 47428597158</v>
      </c>
      <c r="H1582" s="4"/>
      <c r="I1582" s="1" t="s">
        <v>474</v>
      </c>
      <c r="J1582" s="1" t="s">
        <v>140</v>
      </c>
      <c r="K1582" s="6" t="str">
        <f>"4.290,00"</f>
        <v>4.290,00</v>
      </c>
      <c r="L1582" s="6" t="str">
        <f>"1.072,50"</f>
        <v>1.072,50</v>
      </c>
      <c r="M1582" s="6" t="str">
        <f>"5.362,50"</f>
        <v>5.362,50</v>
      </c>
      <c r="N1582" s="5">
        <v>43468</v>
      </c>
      <c r="O1582" s="7"/>
      <c r="P1582" s="6" t="str">
        <f>"5.358,25"</f>
        <v>5.358,25</v>
      </c>
      <c r="Q1582" s="7"/>
      <c r="R1582" s="1"/>
      <c r="S1582" s="1" t="str">
        <f>"8-18/NOS-163/17"</f>
        <v>8-18/NOS-163/17</v>
      </c>
      <c r="T1582" s="2" t="s">
        <v>33</v>
      </c>
    </row>
    <row r="1583" spans="1:20" ht="38.25" x14ac:dyDescent="0.25">
      <c r="A1583" s="1">
        <v>1579</v>
      </c>
      <c r="B1583" s="1" t="str">
        <f t="shared" si="153"/>
        <v>2017-2960</v>
      </c>
      <c r="C1583" s="2" t="s">
        <v>984</v>
      </c>
      <c r="D1583" s="1" t="s">
        <v>778</v>
      </c>
      <c r="E1583" s="3" t="str">
        <f>""</f>
        <v/>
      </c>
      <c r="F1583" s="2" t="s">
        <v>27</v>
      </c>
      <c r="G1583" s="2" t="str">
        <f>CONCATENATE("SMIT-COMMERCE D.O.O.,"," GORNJOSTUPNIČKA 9B,"," 10255 GORNJI STUPNIK,"," OIB: 9524348214")</f>
        <v>SMIT-COMMERCE D.O.O., GORNJOSTUPNIČKA 9B, 10255 GORNJI STUPNIK, OIB: 9524348214</v>
      </c>
      <c r="H1583" s="4"/>
      <c r="I1583" s="1" t="s">
        <v>293</v>
      </c>
      <c r="J1583" s="1" t="s">
        <v>64</v>
      </c>
      <c r="K1583" s="6" t="str">
        <f>"3.068,82"</f>
        <v>3.068,82</v>
      </c>
      <c r="L1583" s="6" t="str">
        <f>"767,21"</f>
        <v>767,21</v>
      </c>
      <c r="M1583" s="6" t="str">
        <f>"3.836,03"</f>
        <v>3.836,03</v>
      </c>
      <c r="N1583" s="5">
        <v>43553</v>
      </c>
      <c r="O1583" s="7"/>
      <c r="P1583" s="6" t="str">
        <f>"3.836,02"</f>
        <v>3.836,02</v>
      </c>
      <c r="Q1583" s="7"/>
      <c r="R1583" s="1"/>
      <c r="S1583" s="1" t="str">
        <f>"1-19/NOS-163/17"</f>
        <v>1-19/NOS-163/17</v>
      </c>
      <c r="T1583" s="2" t="s">
        <v>33</v>
      </c>
    </row>
    <row r="1584" spans="1:20" ht="38.25" x14ac:dyDescent="0.25">
      <c r="A1584" s="1">
        <v>1580</v>
      </c>
      <c r="B1584" s="1" t="str">
        <f t="shared" si="153"/>
        <v>2017-2960</v>
      </c>
      <c r="C1584" s="2" t="s">
        <v>984</v>
      </c>
      <c r="D1584" s="1" t="s">
        <v>778</v>
      </c>
      <c r="E1584" s="3" t="str">
        <f>""</f>
        <v/>
      </c>
      <c r="F1584" s="2" t="s">
        <v>27</v>
      </c>
      <c r="G1584" s="2" t="str">
        <f>CONCATENATE("SAFIR D.O.O.,"," HORVAĆANSKA 17,"," 10000 ZAGREB,"," OIB: 33548604975")</f>
        <v>SAFIR D.O.O., HORVAĆANSKA 17, 10000 ZAGREB, OIB: 33548604975</v>
      </c>
      <c r="H1584" s="4"/>
      <c r="I1584" s="1" t="s">
        <v>322</v>
      </c>
      <c r="J1584" s="1" t="s">
        <v>355</v>
      </c>
      <c r="K1584" s="6" t="str">
        <f>"14.002,00"</f>
        <v>14.002,00</v>
      </c>
      <c r="L1584" s="6" t="str">
        <f>"3.500,50"</f>
        <v>3.500,50</v>
      </c>
      <c r="M1584" s="6" t="str">
        <f>"17.502,50"</f>
        <v>17.502,50</v>
      </c>
      <c r="N1584" s="5">
        <v>43588</v>
      </c>
      <c r="O1584" s="7"/>
      <c r="P1584" s="6" t="str">
        <f>"17.502,50"</f>
        <v>17.502,50</v>
      </c>
      <c r="Q1584" s="7"/>
      <c r="R1584" s="1"/>
      <c r="S1584" s="1" t="str">
        <f>"2-19/NOS-163/17"</f>
        <v>2-19/NOS-163/17</v>
      </c>
      <c r="T1584" s="2" t="s">
        <v>29</v>
      </c>
    </row>
    <row r="1585" spans="1:20" ht="38.25" x14ac:dyDescent="0.25">
      <c r="A1585" s="1">
        <v>1581</v>
      </c>
      <c r="B1585" s="1" t="str">
        <f t="shared" si="153"/>
        <v>2017-2960</v>
      </c>
      <c r="C1585" s="2" t="s">
        <v>984</v>
      </c>
      <c r="D1585" s="1" t="s">
        <v>778</v>
      </c>
      <c r="E1585" s="3" t="str">
        <f>""</f>
        <v/>
      </c>
      <c r="F1585" s="2" t="s">
        <v>27</v>
      </c>
      <c r="G1585" s="2" t="str">
        <f>CONCATENATE("SAFIR D.O.O.,"," HORVAĆANSKA 17,"," 10000 ZAGREB,"," OIB: 33548604975")</f>
        <v>SAFIR D.O.O., HORVAĆANSKA 17, 10000 ZAGREB, OIB: 33548604975</v>
      </c>
      <c r="H1585" s="4"/>
      <c r="I1585" s="1" t="s">
        <v>579</v>
      </c>
      <c r="J1585" s="1" t="s">
        <v>114</v>
      </c>
      <c r="K1585" s="6" t="str">
        <f>"5.069,20"</f>
        <v>5.069,20</v>
      </c>
      <c r="L1585" s="6" t="str">
        <f>"1.267,30"</f>
        <v>1.267,30</v>
      </c>
      <c r="M1585" s="6" t="str">
        <f>"6.336,50"</f>
        <v>6.336,50</v>
      </c>
      <c r="N1585" s="5">
        <v>43668</v>
      </c>
      <c r="O1585" s="7"/>
      <c r="P1585" s="6" t="str">
        <f>"1.326,50"</f>
        <v>1.326,50</v>
      </c>
      <c r="Q1585" s="7"/>
      <c r="R1585" s="1"/>
      <c r="S1585" s="1" t="str">
        <f>"3-19/NOS-163/17"</f>
        <v>3-19/NOS-163/17</v>
      </c>
      <c r="T1585" s="2" t="s">
        <v>29</v>
      </c>
    </row>
    <row r="1586" spans="1:20" ht="102" x14ac:dyDescent="0.25">
      <c r="A1586" s="1">
        <v>1582</v>
      </c>
      <c r="B1586" s="1" t="str">
        <f t="shared" ref="B1586:B1594" si="154">"2017-2880"</f>
        <v>2017-2880</v>
      </c>
      <c r="C1586" s="2" t="s">
        <v>987</v>
      </c>
      <c r="D1586" s="1" t="s">
        <v>119</v>
      </c>
      <c r="E1586" s="3" t="str">
        <f>"2017/S 0F2-0026624"</f>
        <v>2017/S 0F2-0026624</v>
      </c>
      <c r="F1586" s="2" t="s">
        <v>23</v>
      </c>
      <c r="G1586" s="2" t="str">
        <f>CONCATENATE("KINDER GRADNJA OBRT ZA USLUGE,"," VL. IVICA KINDER,"," SELSKA 57,"," 10360 SESVETE,"," OIB: 94563534427",CHAR(10),"GIP PIONIR D.O.O.,"," ZAGREBAČKA 145B,"," 10000 ZAGREB,"," OIB: 38262788673",CHAR(10),"GRADEX &amp; CO D.O.O.,"," PAVLOVEC ZABOČKI,"," PRILAZ DR. FRANJE TUĐMANA 4,"," 49210 ZABOK,"," OIB: 73369080939")</f>
        <v>KINDER GRADNJA OBRT ZA USLUGE, VL. IVICA KINDER, SELSKA 57, 10360 SESVETE, OIB: 94563534427
GIP PIONIR D.O.O., ZAGREBAČKA 145B, 10000 ZAGREB, OIB: 38262788673
GRADEX &amp; CO D.O.O., PAVLOVEC ZABOČKI, PRILAZ DR. FRANJE TUĐMANA 4, 49210 ZABOK, OIB: 73369080939</v>
      </c>
      <c r="H1586" s="1" t="str">
        <f>CONCATENATE("GRADKO D.O.O.,"," OIB: 35610274315")</f>
        <v>GRADKO D.O.O., OIB: 35610274315</v>
      </c>
      <c r="I1586" s="1" t="s">
        <v>988</v>
      </c>
      <c r="J1586" s="1" t="s">
        <v>333</v>
      </c>
      <c r="K1586" s="6" t="str">
        <f>"9.500.000,00"</f>
        <v>9.500.000,00</v>
      </c>
      <c r="L1586" s="6" t="str">
        <f>"2.375.000,00"</f>
        <v>2.375.000,00</v>
      </c>
      <c r="M1586" s="6" t="str">
        <f>"11.875.000,00"</f>
        <v>11.875.000,00</v>
      </c>
      <c r="N1586" s="7"/>
      <c r="O1586" s="7"/>
      <c r="P1586" s="6" t="str">
        <f>""</f>
        <v/>
      </c>
      <c r="Q1586" s="7"/>
      <c r="R1586" s="1"/>
      <c r="S1586" s="1" t="str">
        <f>"NOS-164/17"</f>
        <v>NOS-164/17</v>
      </c>
      <c r="T1586" s="2" t="s">
        <v>29</v>
      </c>
    </row>
    <row r="1587" spans="1:20" ht="38.25" x14ac:dyDescent="0.25">
      <c r="A1587" s="1">
        <v>1583</v>
      </c>
      <c r="B1587" s="1" t="str">
        <f t="shared" si="154"/>
        <v>2017-2880</v>
      </c>
      <c r="C1587" s="2" t="s">
        <v>987</v>
      </c>
      <c r="D1587" s="4"/>
      <c r="E1587" s="3" t="str">
        <f>""</f>
        <v/>
      </c>
      <c r="F1587" s="2" t="s">
        <v>27</v>
      </c>
      <c r="G1587" s="2" t="str">
        <f>CONCATENATE("KINDER GRADNJA OBRT ZA USLUGE,"," VL. IVICA KINDER,"," SELSKA 57,"," 10360 SESVETE,"," OIB: 94563534427")</f>
        <v>KINDER GRADNJA OBRT ZA USLUGE, VL. IVICA KINDER, SELSKA 57, 10360 SESVETE, OIB: 94563534427</v>
      </c>
      <c r="H1587" s="4"/>
      <c r="I1587" s="1" t="s">
        <v>308</v>
      </c>
      <c r="J1587" s="1" t="s">
        <v>114</v>
      </c>
      <c r="K1587" s="6" t="str">
        <f>"653.289,50"</f>
        <v>653.289,50</v>
      </c>
      <c r="L1587" s="6" t="str">
        <f>"163.322,38"</f>
        <v>163.322,38</v>
      </c>
      <c r="M1587" s="6" t="str">
        <f>"816.611,88"</f>
        <v>816.611,88</v>
      </c>
      <c r="N1587" s="5">
        <v>43585</v>
      </c>
      <c r="O1587" s="7"/>
      <c r="P1587" s="6" t="str">
        <f>"816.611,88"</f>
        <v>816.611,88</v>
      </c>
      <c r="Q1587" s="7"/>
      <c r="R1587" s="1"/>
      <c r="S1587" s="1" t="str">
        <f>"1-19/NOS-164/17"</f>
        <v>1-19/NOS-164/17</v>
      </c>
      <c r="T1587" s="2" t="s">
        <v>29</v>
      </c>
    </row>
    <row r="1588" spans="1:20" ht="38.25" x14ac:dyDescent="0.25">
      <c r="A1588" s="1">
        <v>1584</v>
      </c>
      <c r="B1588" s="1" t="str">
        <f t="shared" si="154"/>
        <v>2017-2880</v>
      </c>
      <c r="C1588" s="2" t="s">
        <v>987</v>
      </c>
      <c r="D1588" s="1" t="s">
        <v>119</v>
      </c>
      <c r="E1588" s="3" t="str">
        <f>""</f>
        <v/>
      </c>
      <c r="F1588" s="2" t="s">
        <v>27</v>
      </c>
      <c r="G1588" s="2" t="str">
        <f>CONCATENATE("KINDER GRADNJA OBRT ZA USLUGE,"," VL. IVICA KINDER,"," SELSKA 57,"," 10360 SESVETE,"," OIB: 94563534427")</f>
        <v>KINDER GRADNJA OBRT ZA USLUGE, VL. IVICA KINDER, SELSKA 57, 10360 SESVETE, OIB: 94563534427</v>
      </c>
      <c r="H1588" s="1" t="str">
        <f t="shared" ref="H1588:H1594" si="155">CONCATENATE("GRADKO D.O.O.,"," OIB: 35610274315")</f>
        <v>GRADKO D.O.O., OIB: 35610274315</v>
      </c>
      <c r="I1588" s="1" t="s">
        <v>379</v>
      </c>
      <c r="J1588" s="1" t="s">
        <v>121</v>
      </c>
      <c r="K1588" s="6" t="str">
        <f>"194.344,50"</f>
        <v>194.344,50</v>
      </c>
      <c r="L1588" s="6" t="str">
        <f>"48.586,13"</f>
        <v>48.586,13</v>
      </c>
      <c r="M1588" s="6" t="str">
        <f>"242.930,63"</f>
        <v>242.930,63</v>
      </c>
      <c r="N1588" s="5">
        <v>43473</v>
      </c>
      <c r="O1588" s="7"/>
      <c r="P1588" s="6" t="str">
        <f>"242.930,62"</f>
        <v>242.930,62</v>
      </c>
      <c r="Q1588" s="7"/>
      <c r="R1588" s="1"/>
      <c r="S1588" s="1" t="str">
        <f>"142-18/NOS-164/17"</f>
        <v>142-18/NOS-164/17</v>
      </c>
      <c r="T1588" s="2" t="s">
        <v>29</v>
      </c>
    </row>
    <row r="1589" spans="1:20" ht="38.25" x14ac:dyDescent="0.25">
      <c r="A1589" s="1">
        <v>1585</v>
      </c>
      <c r="B1589" s="1" t="str">
        <f t="shared" si="154"/>
        <v>2017-2880</v>
      </c>
      <c r="C1589" s="2" t="s">
        <v>987</v>
      </c>
      <c r="D1589" s="1" t="s">
        <v>119</v>
      </c>
      <c r="E1589" s="3" t="str">
        <f>""</f>
        <v/>
      </c>
      <c r="F1589" s="2" t="s">
        <v>27</v>
      </c>
      <c r="G1589" s="2" t="str">
        <f>CONCATENATE("KINDER GRADNJA OBRT ZA USLUGE,"," VL. IVICA KINDER,"," SELSKA 57,"," 10360 SESVETE,"," OIB: 94563534427")</f>
        <v>KINDER GRADNJA OBRT ZA USLUGE, VL. IVICA KINDER, SELSKA 57, 10360 SESVETE, OIB: 94563534427</v>
      </c>
      <c r="H1589" s="1" t="str">
        <f t="shared" si="155"/>
        <v>GRADKO D.O.O., OIB: 35610274315</v>
      </c>
      <c r="I1589" s="1" t="s">
        <v>379</v>
      </c>
      <c r="J1589" s="1" t="s">
        <v>121</v>
      </c>
      <c r="K1589" s="6" t="str">
        <f>"50.377,50"</f>
        <v>50.377,50</v>
      </c>
      <c r="L1589" s="6" t="str">
        <f>"12.594,38"</f>
        <v>12.594,38</v>
      </c>
      <c r="M1589" s="6" t="str">
        <f>"62.971,88"</f>
        <v>62.971,88</v>
      </c>
      <c r="N1589" s="5">
        <v>43473</v>
      </c>
      <c r="O1589" s="7"/>
      <c r="P1589" s="6" t="str">
        <f>"62.971,88"</f>
        <v>62.971,88</v>
      </c>
      <c r="Q1589" s="7"/>
      <c r="R1589" s="1"/>
      <c r="S1589" s="1" t="str">
        <f>"144-18/NOS-164/17"</f>
        <v>144-18/NOS-164/17</v>
      </c>
      <c r="T1589" s="2" t="s">
        <v>29</v>
      </c>
    </row>
    <row r="1590" spans="1:20" ht="38.25" x14ac:dyDescent="0.25">
      <c r="A1590" s="1">
        <v>1586</v>
      </c>
      <c r="B1590" s="1" t="str">
        <f t="shared" si="154"/>
        <v>2017-2880</v>
      </c>
      <c r="C1590" s="2" t="s">
        <v>987</v>
      </c>
      <c r="D1590" s="1" t="s">
        <v>119</v>
      </c>
      <c r="E1590" s="3" t="str">
        <f>""</f>
        <v/>
      </c>
      <c r="F1590" s="2" t="s">
        <v>27</v>
      </c>
      <c r="G1590" s="2" t="str">
        <f>CONCATENATE("KINDER GRADNJA OBRT ZA USLUGE,"," VL. IVICA KINDER,"," SELSKA 57,"," 10360 SESVETE,"," OIB: 94563534427")</f>
        <v>KINDER GRADNJA OBRT ZA USLUGE, VL. IVICA KINDER, SELSKA 57, 10360 SESVETE, OIB: 94563534427</v>
      </c>
      <c r="H1590" s="1" t="str">
        <f t="shared" si="155"/>
        <v>GRADKO D.O.O., OIB: 35610274315</v>
      </c>
      <c r="I1590" s="1" t="s">
        <v>379</v>
      </c>
      <c r="J1590" s="1" t="s">
        <v>121</v>
      </c>
      <c r="K1590" s="6" t="str">
        <f>"96.963,50"</f>
        <v>96.963,50</v>
      </c>
      <c r="L1590" s="6" t="str">
        <f>"24.240,88"</f>
        <v>24.240,88</v>
      </c>
      <c r="M1590" s="6" t="str">
        <f>"121.204,38"</f>
        <v>121.204,38</v>
      </c>
      <c r="N1590" s="5">
        <v>43473</v>
      </c>
      <c r="O1590" s="7"/>
      <c r="P1590" s="6" t="str">
        <f>"121.204,38"</f>
        <v>121.204,38</v>
      </c>
      <c r="Q1590" s="7"/>
      <c r="R1590" s="1"/>
      <c r="S1590" s="1" t="str">
        <f>"149-18/NOS-164/17"</f>
        <v>149-18/NOS-164/17</v>
      </c>
      <c r="T1590" s="2" t="s">
        <v>29</v>
      </c>
    </row>
    <row r="1591" spans="1:20" ht="38.25" x14ac:dyDescent="0.25">
      <c r="A1591" s="1">
        <v>1587</v>
      </c>
      <c r="B1591" s="1" t="str">
        <f t="shared" si="154"/>
        <v>2017-2880</v>
      </c>
      <c r="C1591" s="2" t="s">
        <v>987</v>
      </c>
      <c r="D1591" s="1" t="s">
        <v>119</v>
      </c>
      <c r="E1591" s="3" t="str">
        <f>""</f>
        <v/>
      </c>
      <c r="F1591" s="2" t="s">
        <v>27</v>
      </c>
      <c r="G1591" s="2" t="str">
        <f>CONCATENATE("GIP PIONIR D.O.O.,"," ZAGREBAČKA 145B,"," 10000 ZAGREB,"," OIB: 38262788673")</f>
        <v>GIP PIONIR D.O.O., ZAGREBAČKA 145B, 10000 ZAGREB, OIB: 38262788673</v>
      </c>
      <c r="H1591" s="1" t="str">
        <f t="shared" si="155"/>
        <v>GRADKO D.O.O., OIB: 35610274315</v>
      </c>
      <c r="I1591" s="1" t="s">
        <v>379</v>
      </c>
      <c r="J1591" s="1" t="s">
        <v>121</v>
      </c>
      <c r="K1591" s="6" t="str">
        <f>"150.127,75"</f>
        <v>150.127,75</v>
      </c>
      <c r="L1591" s="6" t="str">
        <f>"0,00"</f>
        <v>0,00</v>
      </c>
      <c r="M1591" s="6" t="str">
        <f>"0,00"</f>
        <v>0,00</v>
      </c>
      <c r="N1591" s="1" t="s">
        <v>117</v>
      </c>
      <c r="O1591" s="7"/>
      <c r="P1591" s="6" t="str">
        <f>"0,00"</f>
        <v>0,00</v>
      </c>
      <c r="Q1591" s="7"/>
      <c r="R1591" s="1"/>
      <c r="S1591" s="1" t="str">
        <f>"150-18/NOS-164/17"</f>
        <v>150-18/NOS-164/17</v>
      </c>
      <c r="T1591" s="2" t="s">
        <v>29</v>
      </c>
    </row>
    <row r="1592" spans="1:20" ht="38.25" x14ac:dyDescent="0.25">
      <c r="A1592" s="1">
        <v>1588</v>
      </c>
      <c r="B1592" s="1" t="str">
        <f t="shared" si="154"/>
        <v>2017-2880</v>
      </c>
      <c r="C1592" s="2" t="s">
        <v>987</v>
      </c>
      <c r="D1592" s="1" t="s">
        <v>119</v>
      </c>
      <c r="E1592" s="3" t="str">
        <f>""</f>
        <v/>
      </c>
      <c r="F1592" s="2" t="s">
        <v>27</v>
      </c>
      <c r="G1592" s="2" t="str">
        <f>CONCATENATE("GIP PIONIR D.O.O.,"," ZAGREBAČKA 145B,"," 10000 ZAGREB,"," OIB: 38262788673")</f>
        <v>GIP PIONIR D.O.O., ZAGREBAČKA 145B, 10000 ZAGREB, OIB: 38262788673</v>
      </c>
      <c r="H1592" s="1" t="str">
        <f t="shared" si="155"/>
        <v>GRADKO D.O.O., OIB: 35610274315</v>
      </c>
      <c r="I1592" s="1" t="s">
        <v>379</v>
      </c>
      <c r="J1592" s="1" t="s">
        <v>121</v>
      </c>
      <c r="K1592" s="6" t="str">
        <f>"182.685,75"</f>
        <v>182.685,75</v>
      </c>
      <c r="L1592" s="6" t="str">
        <f>"0,00"</f>
        <v>0,00</v>
      </c>
      <c r="M1592" s="6" t="str">
        <f>"0,00"</f>
        <v>0,00</v>
      </c>
      <c r="N1592" s="1" t="s">
        <v>117</v>
      </c>
      <c r="O1592" s="7"/>
      <c r="P1592" s="6" t="str">
        <f>"0,00"</f>
        <v>0,00</v>
      </c>
      <c r="Q1592" s="7"/>
      <c r="R1592" s="1"/>
      <c r="S1592" s="1" t="str">
        <f>"151-18/NOS-164/17"</f>
        <v>151-18/NOS-164/17</v>
      </c>
      <c r="T1592" s="2" t="s">
        <v>29</v>
      </c>
    </row>
    <row r="1593" spans="1:20" ht="38.25" x14ac:dyDescent="0.25">
      <c r="A1593" s="1">
        <v>1589</v>
      </c>
      <c r="B1593" s="1" t="str">
        <f t="shared" si="154"/>
        <v>2017-2880</v>
      </c>
      <c r="C1593" s="2" t="s">
        <v>987</v>
      </c>
      <c r="D1593" s="1" t="s">
        <v>119</v>
      </c>
      <c r="E1593" s="3" t="str">
        <f>""</f>
        <v/>
      </c>
      <c r="F1593" s="2" t="s">
        <v>27</v>
      </c>
      <c r="G1593" s="2" t="str">
        <f>CONCATENATE("KINDER GRADNJA OBRT ZA USLUGE,"," VL. IVICA KINDER,"," SELSKA 57,"," 10360 SESVETE,"," OIB: 94563534427")</f>
        <v>KINDER GRADNJA OBRT ZA USLUGE, VL. IVICA KINDER, SELSKA 57, 10360 SESVETE, OIB: 94563534427</v>
      </c>
      <c r="H1593" s="1" t="str">
        <f t="shared" si="155"/>
        <v>GRADKO D.O.O., OIB: 35610274315</v>
      </c>
      <c r="I1593" s="1" t="s">
        <v>175</v>
      </c>
      <c r="J1593" s="1" t="s">
        <v>121</v>
      </c>
      <c r="K1593" s="6" t="str">
        <f>"164.108,00"</f>
        <v>164.108,00</v>
      </c>
      <c r="L1593" s="6" t="str">
        <f>"41.027,00"</f>
        <v>41.027,00</v>
      </c>
      <c r="M1593" s="6" t="str">
        <f>"205.135,00"</f>
        <v>205.135,00</v>
      </c>
      <c r="N1593" s="5">
        <v>43533</v>
      </c>
      <c r="O1593" s="7"/>
      <c r="P1593" s="6" t="str">
        <f>"205.135,00"</f>
        <v>205.135,00</v>
      </c>
      <c r="Q1593" s="7"/>
      <c r="R1593" s="1"/>
      <c r="S1593" s="1" t="str">
        <f>"152-18/NOS-164/17"</f>
        <v>152-18/NOS-164/17</v>
      </c>
      <c r="T1593" s="2" t="s">
        <v>29</v>
      </c>
    </row>
    <row r="1594" spans="1:20" ht="38.25" x14ac:dyDescent="0.25">
      <c r="A1594" s="1">
        <v>1590</v>
      </c>
      <c r="B1594" s="1" t="str">
        <f t="shared" si="154"/>
        <v>2017-2880</v>
      </c>
      <c r="C1594" s="2" t="s">
        <v>987</v>
      </c>
      <c r="D1594" s="1" t="s">
        <v>119</v>
      </c>
      <c r="E1594" s="3" t="str">
        <f>""</f>
        <v/>
      </c>
      <c r="F1594" s="2" t="s">
        <v>27</v>
      </c>
      <c r="G1594" s="2" t="str">
        <f>CONCATENATE("KINDER GRADNJA OBRT ZA USLUGE,"," VL. IVICA KINDER,"," SELSKA 57,"," 10360 SESVETE,"," OIB: 94563534427")</f>
        <v>KINDER GRADNJA OBRT ZA USLUGE, VL. IVICA KINDER, SELSKA 57, 10360 SESVETE, OIB: 94563534427</v>
      </c>
      <c r="H1594" s="1" t="str">
        <f t="shared" si="155"/>
        <v>GRADKO D.O.O., OIB: 35610274315</v>
      </c>
      <c r="I1594" s="1" t="s">
        <v>175</v>
      </c>
      <c r="J1594" s="1" t="s">
        <v>121</v>
      </c>
      <c r="K1594" s="6" t="str">
        <f>"46.803,50"</f>
        <v>46.803,50</v>
      </c>
      <c r="L1594" s="6" t="str">
        <f>"11.700,88"</f>
        <v>11.700,88</v>
      </c>
      <c r="M1594" s="6" t="str">
        <f>"58.504,38"</f>
        <v>58.504,38</v>
      </c>
      <c r="N1594" s="5">
        <v>43474</v>
      </c>
      <c r="O1594" s="7"/>
      <c r="P1594" s="6" t="str">
        <f>"58.504,38"</f>
        <v>58.504,38</v>
      </c>
      <c r="Q1594" s="7"/>
      <c r="R1594" s="1"/>
      <c r="S1594" s="1" t="str">
        <f>"153-18/NOS-164/17"</f>
        <v>153-18/NOS-164/17</v>
      </c>
      <c r="T1594" s="2" t="s">
        <v>29</v>
      </c>
    </row>
    <row r="1595" spans="1:20" ht="114.75" x14ac:dyDescent="0.25">
      <c r="A1595" s="1">
        <v>1591</v>
      </c>
      <c r="B1595" s="1" t="str">
        <f t="shared" ref="B1595:B1615" si="156">"2017-419"</f>
        <v>2017-419</v>
      </c>
      <c r="C1595" s="2" t="s">
        <v>989</v>
      </c>
      <c r="D1595" s="1" t="s">
        <v>990</v>
      </c>
      <c r="E1595" s="3" t="str">
        <f>"2017/S 0F2-0025772"</f>
        <v>2017/S 0F2-0025772</v>
      </c>
      <c r="F1595" s="2" t="s">
        <v>23</v>
      </c>
      <c r="G1595" s="2" t="str">
        <f t="shared" ref="G1595:G1615" si="157">CONCATENATE("ID EKO D.O.O.,"," POREČKA 11,"," 10000 ZAGREB,"," OIB: 72667678548")</f>
        <v>ID EKO D.O.O., POREČKA 11, 10000 ZAGREB, OIB: 72667678548</v>
      </c>
      <c r="H1595" s="4"/>
      <c r="I1595" s="1" t="s">
        <v>991</v>
      </c>
      <c r="J1595" s="1" t="s">
        <v>992</v>
      </c>
      <c r="K1595" s="6" t="str">
        <f>"9.119.190,00"</f>
        <v>9.119.190,00</v>
      </c>
      <c r="L1595" s="6" t="str">
        <f>"2.279.797,50"</f>
        <v>2.279.797,50</v>
      </c>
      <c r="M1595" s="6" t="str">
        <f>"11.398.987,50"</f>
        <v>11.398.987,50</v>
      </c>
      <c r="N1595" s="7"/>
      <c r="O1595" s="7"/>
      <c r="P1595" s="6" t="str">
        <f>""</f>
        <v/>
      </c>
      <c r="Q1595" s="7"/>
      <c r="R1595" s="1"/>
      <c r="S1595" s="1" t="str">
        <f>"NOS-165-A/17"</f>
        <v>NOS-165-A/17</v>
      </c>
      <c r="T1595" s="2" t="s">
        <v>281</v>
      </c>
    </row>
    <row r="1596" spans="1:20" ht="51" x14ac:dyDescent="0.25">
      <c r="A1596" s="1">
        <v>1592</v>
      </c>
      <c r="B1596" s="1" t="str">
        <f t="shared" si="156"/>
        <v>2017-419</v>
      </c>
      <c r="C1596" s="2" t="s">
        <v>989</v>
      </c>
      <c r="D1596" s="1" t="s">
        <v>990</v>
      </c>
      <c r="E1596" s="3" t="str">
        <f>""</f>
        <v/>
      </c>
      <c r="F1596" s="2" t="s">
        <v>27</v>
      </c>
      <c r="G1596" s="2" t="str">
        <f t="shared" si="157"/>
        <v>ID EKO D.O.O., POREČKA 11, 10000 ZAGREB, OIB: 72667678548</v>
      </c>
      <c r="H1596" s="4"/>
      <c r="I1596" s="1" t="s">
        <v>195</v>
      </c>
      <c r="J1596" s="1" t="s">
        <v>242</v>
      </c>
      <c r="K1596" s="6" t="str">
        <f>"7.795,00"</f>
        <v>7.795,00</v>
      </c>
      <c r="L1596" s="6" t="str">
        <f>"1.948,75"</f>
        <v>1.948,75</v>
      </c>
      <c r="M1596" s="6" t="str">
        <f>"9.743,75"</f>
        <v>9.743,75</v>
      </c>
      <c r="N1596" s="5">
        <v>43585</v>
      </c>
      <c r="O1596" s="7"/>
      <c r="P1596" s="6" t="str">
        <f>"9.743,75"</f>
        <v>9.743,75</v>
      </c>
      <c r="Q1596" s="7"/>
      <c r="R1596" s="1"/>
      <c r="S1596" s="1" t="str">
        <f>"1-19/NOS-165-A/17"</f>
        <v>1-19/NOS-165-A/17</v>
      </c>
      <c r="T1596" s="2" t="s">
        <v>33</v>
      </c>
    </row>
    <row r="1597" spans="1:20" ht="51" x14ac:dyDescent="0.25">
      <c r="A1597" s="1">
        <v>1593</v>
      </c>
      <c r="B1597" s="1" t="str">
        <f t="shared" si="156"/>
        <v>2017-419</v>
      </c>
      <c r="C1597" s="2" t="s">
        <v>989</v>
      </c>
      <c r="D1597" s="1" t="s">
        <v>990</v>
      </c>
      <c r="E1597" s="3" t="str">
        <f>""</f>
        <v/>
      </c>
      <c r="F1597" s="2" t="s">
        <v>27</v>
      </c>
      <c r="G1597" s="2" t="str">
        <f t="shared" si="157"/>
        <v>ID EKO D.O.O., POREČKA 11, 10000 ZAGREB, OIB: 72667678548</v>
      </c>
      <c r="H1597" s="4"/>
      <c r="I1597" s="1" t="s">
        <v>479</v>
      </c>
      <c r="J1597" s="1" t="s">
        <v>242</v>
      </c>
      <c r="K1597" s="6" t="str">
        <f>"7.500,00"</f>
        <v>7.500,00</v>
      </c>
      <c r="L1597" s="6" t="str">
        <f>"0,00"</f>
        <v>0,00</v>
      </c>
      <c r="M1597" s="6" t="str">
        <f>"0,00"</f>
        <v>0,00</v>
      </c>
      <c r="N1597" s="1" t="s">
        <v>117</v>
      </c>
      <c r="O1597" s="7"/>
      <c r="P1597" s="6" t="str">
        <f>"0,00"</f>
        <v>0,00</v>
      </c>
      <c r="Q1597" s="7"/>
      <c r="R1597" s="1"/>
      <c r="S1597" s="1" t="str">
        <f>"2-19/NOS-165-A/17"</f>
        <v>2-19/NOS-165-A/17</v>
      </c>
      <c r="T1597" s="2" t="s">
        <v>33</v>
      </c>
    </row>
    <row r="1598" spans="1:20" ht="51" x14ac:dyDescent="0.25">
      <c r="A1598" s="1">
        <v>1594</v>
      </c>
      <c r="B1598" s="1" t="str">
        <f t="shared" si="156"/>
        <v>2017-419</v>
      </c>
      <c r="C1598" s="2" t="s">
        <v>989</v>
      </c>
      <c r="D1598" s="1" t="s">
        <v>990</v>
      </c>
      <c r="E1598" s="3" t="str">
        <f>""</f>
        <v/>
      </c>
      <c r="F1598" s="2" t="s">
        <v>27</v>
      </c>
      <c r="G1598" s="2" t="str">
        <f t="shared" si="157"/>
        <v>ID EKO D.O.O., POREČKA 11, 10000 ZAGREB, OIB: 72667678548</v>
      </c>
      <c r="H1598" s="4"/>
      <c r="I1598" s="1" t="s">
        <v>334</v>
      </c>
      <c r="J1598" s="1" t="s">
        <v>242</v>
      </c>
      <c r="K1598" s="6" t="str">
        <f>"8.975,00"</f>
        <v>8.975,00</v>
      </c>
      <c r="L1598" s="6" t="str">
        <f>"2.243,75"</f>
        <v>2.243,75</v>
      </c>
      <c r="M1598" s="6" t="str">
        <f>"11.218,75"</f>
        <v>11.218,75</v>
      </c>
      <c r="N1598" s="5">
        <v>43637</v>
      </c>
      <c r="O1598" s="7"/>
      <c r="P1598" s="6" t="str">
        <f>"11.218,75"</f>
        <v>11.218,75</v>
      </c>
      <c r="Q1598" s="7"/>
      <c r="R1598" s="1"/>
      <c r="S1598" s="1" t="str">
        <f>"4-19/NOS-165-A/17"</f>
        <v>4-19/NOS-165-A/17</v>
      </c>
      <c r="T1598" s="2" t="s">
        <v>33</v>
      </c>
    </row>
    <row r="1599" spans="1:20" ht="51" x14ac:dyDescent="0.25">
      <c r="A1599" s="1">
        <v>1595</v>
      </c>
      <c r="B1599" s="1" t="str">
        <f t="shared" si="156"/>
        <v>2017-419</v>
      </c>
      <c r="C1599" s="2" t="s">
        <v>989</v>
      </c>
      <c r="D1599" s="1" t="s">
        <v>990</v>
      </c>
      <c r="E1599" s="3" t="str">
        <f>""</f>
        <v/>
      </c>
      <c r="F1599" s="2" t="s">
        <v>27</v>
      </c>
      <c r="G1599" s="2" t="str">
        <f t="shared" si="157"/>
        <v>ID EKO D.O.O., POREČKA 11, 10000 ZAGREB, OIB: 72667678548</v>
      </c>
      <c r="H1599" s="4"/>
      <c r="I1599" s="1" t="s">
        <v>32</v>
      </c>
      <c r="J1599" s="1" t="s">
        <v>242</v>
      </c>
      <c r="K1599" s="6" t="str">
        <f>"4.700,00"</f>
        <v>4.700,00</v>
      </c>
      <c r="L1599" s="6" t="str">
        <f t="shared" ref="L1599:M1602" si="158">"0,00"</f>
        <v>0,00</v>
      </c>
      <c r="M1599" s="6" t="str">
        <f t="shared" si="158"/>
        <v>0,00</v>
      </c>
      <c r="N1599" s="1" t="s">
        <v>117</v>
      </c>
      <c r="O1599" s="7"/>
      <c r="P1599" s="6" t="str">
        <f>"0,00"</f>
        <v>0,00</v>
      </c>
      <c r="Q1599" s="7"/>
      <c r="R1599" s="1"/>
      <c r="S1599" s="1" t="str">
        <f>"5-19/NOS-165-A/17"</f>
        <v>5-19/NOS-165-A/17</v>
      </c>
      <c r="T1599" s="2" t="s">
        <v>33</v>
      </c>
    </row>
    <row r="1600" spans="1:20" ht="51" x14ac:dyDescent="0.25">
      <c r="A1600" s="1">
        <v>1596</v>
      </c>
      <c r="B1600" s="1" t="str">
        <f t="shared" si="156"/>
        <v>2017-419</v>
      </c>
      <c r="C1600" s="2" t="s">
        <v>989</v>
      </c>
      <c r="D1600" s="1" t="s">
        <v>990</v>
      </c>
      <c r="E1600" s="3" t="str">
        <f>""</f>
        <v/>
      </c>
      <c r="F1600" s="2" t="s">
        <v>27</v>
      </c>
      <c r="G1600" s="2" t="str">
        <f t="shared" si="157"/>
        <v>ID EKO D.O.O., POREČKA 11, 10000 ZAGREB, OIB: 72667678548</v>
      </c>
      <c r="H1600" s="4"/>
      <c r="I1600" s="1" t="s">
        <v>32</v>
      </c>
      <c r="J1600" s="1" t="s">
        <v>242</v>
      </c>
      <c r="K1600" s="6" t="str">
        <f>"4.050,00"</f>
        <v>4.050,00</v>
      </c>
      <c r="L1600" s="6" t="str">
        <f t="shared" si="158"/>
        <v>0,00</v>
      </c>
      <c r="M1600" s="6" t="str">
        <f t="shared" si="158"/>
        <v>0,00</v>
      </c>
      <c r="N1600" s="1" t="s">
        <v>117</v>
      </c>
      <c r="O1600" s="7"/>
      <c r="P1600" s="6" t="str">
        <f>"0,00"</f>
        <v>0,00</v>
      </c>
      <c r="Q1600" s="7"/>
      <c r="R1600" s="1"/>
      <c r="S1600" s="1" t="str">
        <f>"6-19/NOS-165-A/17"</f>
        <v>6-19/NOS-165-A/17</v>
      </c>
      <c r="T1600" s="2" t="s">
        <v>33</v>
      </c>
    </row>
    <row r="1601" spans="1:20" ht="51" x14ac:dyDescent="0.25">
      <c r="A1601" s="1">
        <v>1597</v>
      </c>
      <c r="B1601" s="1" t="str">
        <f t="shared" si="156"/>
        <v>2017-419</v>
      </c>
      <c r="C1601" s="2" t="s">
        <v>989</v>
      </c>
      <c r="D1601" s="1" t="s">
        <v>990</v>
      </c>
      <c r="E1601" s="3" t="str">
        <f>""</f>
        <v/>
      </c>
      <c r="F1601" s="2" t="s">
        <v>27</v>
      </c>
      <c r="G1601" s="2" t="str">
        <f t="shared" si="157"/>
        <v>ID EKO D.O.O., POREČKA 11, 10000 ZAGREB, OIB: 72667678548</v>
      </c>
      <c r="H1601" s="4"/>
      <c r="I1601" s="1" t="s">
        <v>32</v>
      </c>
      <c r="J1601" s="1" t="s">
        <v>242</v>
      </c>
      <c r="K1601" s="6" t="str">
        <f>"1.100,00"</f>
        <v>1.100,00</v>
      </c>
      <c r="L1601" s="6" t="str">
        <f t="shared" si="158"/>
        <v>0,00</v>
      </c>
      <c r="M1601" s="6" t="str">
        <f t="shared" si="158"/>
        <v>0,00</v>
      </c>
      <c r="N1601" s="1" t="s">
        <v>117</v>
      </c>
      <c r="O1601" s="7"/>
      <c r="P1601" s="6" t="str">
        <f>"0,00"</f>
        <v>0,00</v>
      </c>
      <c r="Q1601" s="7"/>
      <c r="R1601" s="1"/>
      <c r="S1601" s="1" t="str">
        <f>"7-19/NOS-165-A/17"</f>
        <v>7-19/NOS-165-A/17</v>
      </c>
      <c r="T1601" s="2" t="s">
        <v>33</v>
      </c>
    </row>
    <row r="1602" spans="1:20" ht="51" x14ac:dyDescent="0.25">
      <c r="A1602" s="1">
        <v>1598</v>
      </c>
      <c r="B1602" s="1" t="str">
        <f t="shared" si="156"/>
        <v>2017-419</v>
      </c>
      <c r="C1602" s="2" t="s">
        <v>989</v>
      </c>
      <c r="D1602" s="1" t="s">
        <v>990</v>
      </c>
      <c r="E1602" s="3" t="str">
        <f>""</f>
        <v/>
      </c>
      <c r="F1602" s="2" t="s">
        <v>27</v>
      </c>
      <c r="G1602" s="2" t="str">
        <f t="shared" si="157"/>
        <v>ID EKO D.O.O., POREČKA 11, 10000 ZAGREB, OIB: 72667678548</v>
      </c>
      <c r="H1602" s="4"/>
      <c r="I1602" s="1" t="s">
        <v>32</v>
      </c>
      <c r="J1602" s="1" t="s">
        <v>242</v>
      </c>
      <c r="K1602" s="6" t="str">
        <f>"48.535,00"</f>
        <v>48.535,00</v>
      </c>
      <c r="L1602" s="6" t="str">
        <f t="shared" si="158"/>
        <v>0,00</v>
      </c>
      <c r="M1602" s="6" t="str">
        <f t="shared" si="158"/>
        <v>0,00</v>
      </c>
      <c r="N1602" s="1" t="s">
        <v>117</v>
      </c>
      <c r="O1602" s="7"/>
      <c r="P1602" s="6" t="str">
        <f>"0,00"</f>
        <v>0,00</v>
      </c>
      <c r="Q1602" s="7"/>
      <c r="R1602" s="1"/>
      <c r="S1602" s="1" t="str">
        <f>"8-19/NOS-165-A/17"</f>
        <v>8-19/NOS-165-A/17</v>
      </c>
      <c r="T1602" s="2" t="s">
        <v>33</v>
      </c>
    </row>
    <row r="1603" spans="1:20" ht="51" x14ac:dyDescent="0.25">
      <c r="A1603" s="1">
        <v>1599</v>
      </c>
      <c r="B1603" s="1" t="str">
        <f t="shared" si="156"/>
        <v>2017-419</v>
      </c>
      <c r="C1603" s="2" t="s">
        <v>989</v>
      </c>
      <c r="D1603" s="1" t="s">
        <v>990</v>
      </c>
      <c r="E1603" s="3" t="str">
        <f>""</f>
        <v/>
      </c>
      <c r="F1603" s="2" t="s">
        <v>27</v>
      </c>
      <c r="G1603" s="2" t="str">
        <f t="shared" si="157"/>
        <v>ID EKO D.O.O., POREČKA 11, 10000 ZAGREB, OIB: 72667678548</v>
      </c>
      <c r="H1603" s="4"/>
      <c r="I1603" s="1" t="s">
        <v>32</v>
      </c>
      <c r="J1603" s="1" t="s">
        <v>242</v>
      </c>
      <c r="K1603" s="6" t="str">
        <f>"9.040,00"</f>
        <v>9.040,00</v>
      </c>
      <c r="L1603" s="6" t="str">
        <f>"1.510,00"</f>
        <v>1.510,00</v>
      </c>
      <c r="M1603" s="6" t="str">
        <f>"7.550,00"</f>
        <v>7.550,00</v>
      </c>
      <c r="N1603" s="5">
        <v>43703</v>
      </c>
      <c r="O1603" s="7"/>
      <c r="P1603" s="6" t="str">
        <f>"7.550,00"</f>
        <v>7.550,00</v>
      </c>
      <c r="Q1603" s="7"/>
      <c r="R1603" s="1"/>
      <c r="S1603" s="1" t="str">
        <f>"9-19/NOS-165-A/17"</f>
        <v>9-19/NOS-165-A/17</v>
      </c>
      <c r="T1603" s="2" t="s">
        <v>33</v>
      </c>
    </row>
    <row r="1604" spans="1:20" ht="51" x14ac:dyDescent="0.25">
      <c r="A1604" s="1">
        <v>1600</v>
      </c>
      <c r="B1604" s="1" t="str">
        <f t="shared" si="156"/>
        <v>2017-419</v>
      </c>
      <c r="C1604" s="2" t="s">
        <v>989</v>
      </c>
      <c r="D1604" s="1" t="s">
        <v>990</v>
      </c>
      <c r="E1604" s="3" t="str">
        <f>""</f>
        <v/>
      </c>
      <c r="F1604" s="2" t="s">
        <v>27</v>
      </c>
      <c r="G1604" s="2" t="str">
        <f t="shared" si="157"/>
        <v>ID EKO D.O.O., POREČKA 11, 10000 ZAGREB, OIB: 72667678548</v>
      </c>
      <c r="H1604" s="4"/>
      <c r="I1604" s="1" t="s">
        <v>32</v>
      </c>
      <c r="J1604" s="1" t="s">
        <v>242</v>
      </c>
      <c r="K1604" s="6" t="str">
        <f>"8.015,00"</f>
        <v>8.015,00</v>
      </c>
      <c r="L1604" s="6" t="str">
        <f>"2.003,75"</f>
        <v>2.003,75</v>
      </c>
      <c r="M1604" s="6" t="str">
        <f>"10.018,75"</f>
        <v>10.018,75</v>
      </c>
      <c r="N1604" s="5">
        <v>43696</v>
      </c>
      <c r="O1604" s="7"/>
      <c r="P1604" s="6" t="str">
        <f>"10.018,75"</f>
        <v>10.018,75</v>
      </c>
      <c r="Q1604" s="7"/>
      <c r="R1604" s="1"/>
      <c r="S1604" s="1" t="str">
        <f>"10-19/NOS-165-A/17"</f>
        <v>10-19/NOS-165-A/17</v>
      </c>
      <c r="T1604" s="2" t="s">
        <v>33</v>
      </c>
    </row>
    <row r="1605" spans="1:20" ht="51" x14ac:dyDescent="0.25">
      <c r="A1605" s="1">
        <v>1601</v>
      </c>
      <c r="B1605" s="1" t="str">
        <f t="shared" si="156"/>
        <v>2017-419</v>
      </c>
      <c r="C1605" s="2" t="s">
        <v>989</v>
      </c>
      <c r="D1605" s="1" t="s">
        <v>990</v>
      </c>
      <c r="E1605" s="3" t="str">
        <f>""</f>
        <v/>
      </c>
      <c r="F1605" s="2" t="s">
        <v>27</v>
      </c>
      <c r="G1605" s="2" t="str">
        <f t="shared" si="157"/>
        <v>ID EKO D.O.O., POREČKA 11, 10000 ZAGREB, OIB: 72667678548</v>
      </c>
      <c r="H1605" s="4"/>
      <c r="I1605" s="1" t="s">
        <v>32</v>
      </c>
      <c r="J1605" s="1" t="s">
        <v>242</v>
      </c>
      <c r="K1605" s="6" t="str">
        <f>"15.230,00"</f>
        <v>15.230,00</v>
      </c>
      <c r="L1605" s="6" t="str">
        <f>"3.807,50"</f>
        <v>3.807,50</v>
      </c>
      <c r="M1605" s="6" t="str">
        <f>"19.037,50"</f>
        <v>19.037,50</v>
      </c>
      <c r="N1605" s="5">
        <v>43677</v>
      </c>
      <c r="O1605" s="7"/>
      <c r="P1605" s="6" t="str">
        <f>"19.037,50"</f>
        <v>19.037,50</v>
      </c>
      <c r="Q1605" s="7"/>
      <c r="R1605" s="1"/>
      <c r="S1605" s="1" t="str">
        <f>"11-19/NOS-165-A/17"</f>
        <v>11-19/NOS-165-A/17</v>
      </c>
      <c r="T1605" s="2" t="s">
        <v>33</v>
      </c>
    </row>
    <row r="1606" spans="1:20" ht="51" x14ac:dyDescent="0.25">
      <c r="A1606" s="1">
        <v>1602</v>
      </c>
      <c r="B1606" s="1" t="str">
        <f t="shared" si="156"/>
        <v>2017-419</v>
      </c>
      <c r="C1606" s="2" t="s">
        <v>989</v>
      </c>
      <c r="D1606" s="1" t="s">
        <v>990</v>
      </c>
      <c r="E1606" s="3" t="str">
        <f>""</f>
        <v/>
      </c>
      <c r="F1606" s="2" t="s">
        <v>27</v>
      </c>
      <c r="G1606" s="2" t="str">
        <f t="shared" si="157"/>
        <v>ID EKO D.O.O., POREČKA 11, 10000 ZAGREB, OIB: 72667678548</v>
      </c>
      <c r="H1606" s="4"/>
      <c r="I1606" s="1" t="s">
        <v>32</v>
      </c>
      <c r="J1606" s="1" t="s">
        <v>242</v>
      </c>
      <c r="K1606" s="6" t="str">
        <f>"3.690,00"</f>
        <v>3.690,00</v>
      </c>
      <c r="L1606" s="6" t="str">
        <f>"922,50"</f>
        <v>922,50</v>
      </c>
      <c r="M1606" s="6" t="str">
        <f>"4.612,50"</f>
        <v>4.612,50</v>
      </c>
      <c r="N1606" s="5">
        <v>43696</v>
      </c>
      <c r="O1606" s="7"/>
      <c r="P1606" s="6" t="str">
        <f>"4.612,50"</f>
        <v>4.612,50</v>
      </c>
      <c r="Q1606" s="7"/>
      <c r="R1606" s="1"/>
      <c r="S1606" s="1" t="str">
        <f>"12-19/NOS-165-A/17"</f>
        <v>12-19/NOS-165-A/17</v>
      </c>
      <c r="T1606" s="2" t="s">
        <v>33</v>
      </c>
    </row>
    <row r="1607" spans="1:20" ht="51" x14ac:dyDescent="0.25">
      <c r="A1607" s="1">
        <v>1603</v>
      </c>
      <c r="B1607" s="1" t="str">
        <f t="shared" si="156"/>
        <v>2017-419</v>
      </c>
      <c r="C1607" s="2" t="s">
        <v>989</v>
      </c>
      <c r="D1607" s="1" t="s">
        <v>990</v>
      </c>
      <c r="E1607" s="3" t="str">
        <f>""</f>
        <v/>
      </c>
      <c r="F1607" s="2" t="s">
        <v>27</v>
      </c>
      <c r="G1607" s="2" t="str">
        <f t="shared" si="157"/>
        <v>ID EKO D.O.O., POREČKA 11, 10000 ZAGREB, OIB: 72667678548</v>
      </c>
      <c r="H1607" s="4"/>
      <c r="I1607" s="1" t="s">
        <v>32</v>
      </c>
      <c r="J1607" s="1" t="s">
        <v>242</v>
      </c>
      <c r="K1607" s="6" t="str">
        <f>"2.035,00"</f>
        <v>2.035,00</v>
      </c>
      <c r="L1607" s="6" t="str">
        <f>"0,00"</f>
        <v>0,00</v>
      </c>
      <c r="M1607" s="6" t="str">
        <f>"0,00"</f>
        <v>0,00</v>
      </c>
      <c r="N1607" s="1" t="s">
        <v>117</v>
      </c>
      <c r="O1607" s="7"/>
      <c r="P1607" s="6" t="str">
        <f>"0,00"</f>
        <v>0,00</v>
      </c>
      <c r="Q1607" s="7"/>
      <c r="R1607" s="1"/>
      <c r="S1607" s="1" t="str">
        <f>"13-19/NOS-165-A/17"</f>
        <v>13-19/NOS-165-A/17</v>
      </c>
      <c r="T1607" s="2" t="s">
        <v>33</v>
      </c>
    </row>
    <row r="1608" spans="1:20" ht="51" x14ac:dyDescent="0.25">
      <c r="A1608" s="1">
        <v>1604</v>
      </c>
      <c r="B1608" s="1" t="str">
        <f t="shared" si="156"/>
        <v>2017-419</v>
      </c>
      <c r="C1608" s="2" t="s">
        <v>989</v>
      </c>
      <c r="D1608" s="1" t="s">
        <v>990</v>
      </c>
      <c r="E1608" s="3" t="str">
        <f>""</f>
        <v/>
      </c>
      <c r="F1608" s="2" t="s">
        <v>27</v>
      </c>
      <c r="G1608" s="2" t="str">
        <f t="shared" si="157"/>
        <v>ID EKO D.O.O., POREČKA 11, 10000 ZAGREB, OIB: 72667678548</v>
      </c>
      <c r="H1608" s="4"/>
      <c r="I1608" s="1" t="s">
        <v>435</v>
      </c>
      <c r="J1608" s="1" t="s">
        <v>492</v>
      </c>
      <c r="K1608" s="6" t="str">
        <f>"20.277,00"</f>
        <v>20.277,00</v>
      </c>
      <c r="L1608" s="6" t="str">
        <f>"5.069,25"</f>
        <v>5.069,25</v>
      </c>
      <c r="M1608" s="6" t="str">
        <f>"25.346,25"</f>
        <v>25.346,25</v>
      </c>
      <c r="N1608" s="5">
        <v>43637</v>
      </c>
      <c r="O1608" s="7"/>
      <c r="P1608" s="6" t="str">
        <f>"25.346,25"</f>
        <v>25.346,25</v>
      </c>
      <c r="Q1608" s="7"/>
      <c r="R1608" s="1"/>
      <c r="S1608" s="1" t="str">
        <f>"14-19/NOS-165-A/17"</f>
        <v>14-19/NOS-165-A/17</v>
      </c>
      <c r="T1608" s="2" t="s">
        <v>29</v>
      </c>
    </row>
    <row r="1609" spans="1:20" ht="51" x14ac:dyDescent="0.25">
      <c r="A1609" s="1">
        <v>1605</v>
      </c>
      <c r="B1609" s="1" t="str">
        <f t="shared" si="156"/>
        <v>2017-419</v>
      </c>
      <c r="C1609" s="2" t="s">
        <v>989</v>
      </c>
      <c r="D1609" s="1" t="s">
        <v>990</v>
      </c>
      <c r="E1609" s="3" t="str">
        <f>""</f>
        <v/>
      </c>
      <c r="F1609" s="2" t="s">
        <v>27</v>
      </c>
      <c r="G1609" s="2" t="str">
        <f t="shared" si="157"/>
        <v>ID EKO D.O.O., POREČKA 11, 10000 ZAGREB, OIB: 72667678548</v>
      </c>
      <c r="H1609" s="4"/>
      <c r="I1609" s="1" t="s">
        <v>628</v>
      </c>
      <c r="J1609" s="1" t="s">
        <v>242</v>
      </c>
      <c r="K1609" s="6" t="str">
        <f>"1.050,00"</f>
        <v>1.050,00</v>
      </c>
      <c r="L1609" s="6" t="str">
        <f>"262,50"</f>
        <v>262,50</v>
      </c>
      <c r="M1609" s="6" t="str">
        <f>"1.312,50"</f>
        <v>1.312,50</v>
      </c>
      <c r="N1609" s="5">
        <v>43637</v>
      </c>
      <c r="O1609" s="7"/>
      <c r="P1609" s="6" t="str">
        <f>"1.312,50"</f>
        <v>1.312,50</v>
      </c>
      <c r="Q1609" s="7"/>
      <c r="R1609" s="1"/>
      <c r="S1609" s="1" t="str">
        <f>"15-19/NOS-165-A/17"</f>
        <v>15-19/NOS-165-A/17</v>
      </c>
      <c r="T1609" s="2" t="s">
        <v>33</v>
      </c>
    </row>
    <row r="1610" spans="1:20" ht="51" x14ac:dyDescent="0.25">
      <c r="A1610" s="1">
        <v>1606</v>
      </c>
      <c r="B1610" s="1" t="str">
        <f t="shared" si="156"/>
        <v>2017-419</v>
      </c>
      <c r="C1610" s="2" t="s">
        <v>989</v>
      </c>
      <c r="D1610" s="1" t="s">
        <v>990</v>
      </c>
      <c r="E1610" s="3" t="str">
        <f>""</f>
        <v/>
      </c>
      <c r="F1610" s="2" t="s">
        <v>27</v>
      </c>
      <c r="G1610" s="2" t="str">
        <f t="shared" si="157"/>
        <v>ID EKO D.O.O., POREČKA 11, 10000 ZAGREB, OIB: 72667678548</v>
      </c>
      <c r="H1610" s="4"/>
      <c r="I1610" s="1" t="s">
        <v>930</v>
      </c>
      <c r="J1610" s="1" t="s">
        <v>242</v>
      </c>
      <c r="K1610" s="6" t="str">
        <f>"11.660,00"</f>
        <v>11.660,00</v>
      </c>
      <c r="L1610" s="6" t="str">
        <f>"0,00"</f>
        <v>0,00</v>
      </c>
      <c r="M1610" s="6" t="str">
        <f>"0,00"</f>
        <v>0,00</v>
      </c>
      <c r="N1610" s="1" t="s">
        <v>117</v>
      </c>
      <c r="O1610" s="7"/>
      <c r="P1610" s="6" t="str">
        <f>"0,00"</f>
        <v>0,00</v>
      </c>
      <c r="Q1610" s="7"/>
      <c r="R1610" s="1"/>
      <c r="S1610" s="1" t="str">
        <f>"16-19/NOS-165-A/17"</f>
        <v>16-19/NOS-165-A/17</v>
      </c>
      <c r="T1610" s="2" t="s">
        <v>33</v>
      </c>
    </row>
    <row r="1611" spans="1:20" ht="51" x14ac:dyDescent="0.25">
      <c r="A1611" s="1">
        <v>1607</v>
      </c>
      <c r="B1611" s="1" t="str">
        <f t="shared" si="156"/>
        <v>2017-419</v>
      </c>
      <c r="C1611" s="2" t="s">
        <v>989</v>
      </c>
      <c r="D1611" s="1" t="s">
        <v>990</v>
      </c>
      <c r="E1611" s="3" t="str">
        <f>""</f>
        <v/>
      </c>
      <c r="F1611" s="2" t="s">
        <v>27</v>
      </c>
      <c r="G1611" s="2" t="str">
        <f t="shared" si="157"/>
        <v>ID EKO D.O.O., POREČKA 11, 10000 ZAGREB, OIB: 72667678548</v>
      </c>
      <c r="H1611" s="4"/>
      <c r="I1611" s="1" t="s">
        <v>638</v>
      </c>
      <c r="J1611" s="1" t="s">
        <v>303</v>
      </c>
      <c r="K1611" s="6" t="str">
        <f>"1.595,00"</f>
        <v>1.595,00</v>
      </c>
      <c r="L1611" s="6" t="str">
        <f>"0,00"</f>
        <v>0,00</v>
      </c>
      <c r="M1611" s="6" t="str">
        <f>"0,00"</f>
        <v>0,00</v>
      </c>
      <c r="N1611" s="1" t="s">
        <v>117</v>
      </c>
      <c r="O1611" s="7"/>
      <c r="P1611" s="6" t="str">
        <f>"0,00"</f>
        <v>0,00</v>
      </c>
      <c r="Q1611" s="7"/>
      <c r="R1611" s="1"/>
      <c r="S1611" s="1" t="str">
        <f>"17-19/NOS-165-A/17"</f>
        <v>17-19/NOS-165-A/17</v>
      </c>
      <c r="T1611" s="2" t="s">
        <v>33</v>
      </c>
    </row>
    <row r="1612" spans="1:20" ht="114.75" x14ac:dyDescent="0.25">
      <c r="A1612" s="1">
        <v>1608</v>
      </c>
      <c r="B1612" s="1" t="str">
        <f t="shared" si="156"/>
        <v>2017-419</v>
      </c>
      <c r="C1612" s="2" t="s">
        <v>989</v>
      </c>
      <c r="D1612" s="1" t="s">
        <v>990</v>
      </c>
      <c r="E1612" s="3" t="str">
        <f>"2017/S 0F2-0025772"</f>
        <v>2017/S 0F2-0025772</v>
      </c>
      <c r="F1612" s="2" t="s">
        <v>23</v>
      </c>
      <c r="G1612" s="2" t="str">
        <f t="shared" si="157"/>
        <v>ID EKO D.O.O., POREČKA 11, 10000 ZAGREB, OIB: 72667678548</v>
      </c>
      <c r="H1612" s="4"/>
      <c r="I1612" s="1" t="s">
        <v>991</v>
      </c>
      <c r="J1612" s="1" t="s">
        <v>992</v>
      </c>
      <c r="K1612" s="6" t="str">
        <f>"379.708,00"</f>
        <v>379.708,00</v>
      </c>
      <c r="L1612" s="6" t="str">
        <f>"94.927,00"</f>
        <v>94.927,00</v>
      </c>
      <c r="M1612" s="6" t="str">
        <f>"474.635,00"</f>
        <v>474.635,00</v>
      </c>
      <c r="N1612" s="7"/>
      <c r="O1612" s="7"/>
      <c r="P1612" s="6" t="str">
        <f>""</f>
        <v/>
      </c>
      <c r="Q1612" s="7"/>
      <c r="R1612" s="1"/>
      <c r="S1612" s="1" t="str">
        <f>"NOS-165-B/17"</f>
        <v>NOS-165-B/17</v>
      </c>
      <c r="T1612" s="2" t="s">
        <v>281</v>
      </c>
    </row>
    <row r="1613" spans="1:20" ht="51" x14ac:dyDescent="0.25">
      <c r="A1613" s="1">
        <v>1609</v>
      </c>
      <c r="B1613" s="1" t="str">
        <f t="shared" si="156"/>
        <v>2017-419</v>
      </c>
      <c r="C1613" s="2" t="s">
        <v>989</v>
      </c>
      <c r="D1613" s="1" t="s">
        <v>990</v>
      </c>
      <c r="E1613" s="3" t="str">
        <f>""</f>
        <v/>
      </c>
      <c r="F1613" s="2" t="s">
        <v>27</v>
      </c>
      <c r="G1613" s="2" t="str">
        <f t="shared" si="157"/>
        <v>ID EKO D.O.O., POREČKA 11, 10000 ZAGREB, OIB: 72667678548</v>
      </c>
      <c r="H1613" s="4"/>
      <c r="I1613" s="1" t="s">
        <v>264</v>
      </c>
      <c r="J1613" s="1" t="s">
        <v>242</v>
      </c>
      <c r="K1613" s="6" t="str">
        <f>"10.000,00"</f>
        <v>10.000,00</v>
      </c>
      <c r="L1613" s="6" t="str">
        <f>"2.500,00"</f>
        <v>2.500,00</v>
      </c>
      <c r="M1613" s="6" t="str">
        <f>"12.500,00"</f>
        <v>12.500,00</v>
      </c>
      <c r="N1613" s="5">
        <v>43585</v>
      </c>
      <c r="O1613" s="7"/>
      <c r="P1613" s="6" t="str">
        <f>"12.500,00"</f>
        <v>12.500,00</v>
      </c>
      <c r="Q1613" s="7"/>
      <c r="R1613" s="1"/>
      <c r="S1613" s="1" t="str">
        <f>"1-19/NOS-165-B/17"</f>
        <v>1-19/NOS-165-B/17</v>
      </c>
      <c r="T1613" s="2" t="s">
        <v>33</v>
      </c>
    </row>
    <row r="1614" spans="1:20" ht="51" x14ac:dyDescent="0.25">
      <c r="A1614" s="1">
        <v>1610</v>
      </c>
      <c r="B1614" s="1" t="str">
        <f t="shared" si="156"/>
        <v>2017-419</v>
      </c>
      <c r="C1614" s="2" t="s">
        <v>989</v>
      </c>
      <c r="D1614" s="1" t="s">
        <v>990</v>
      </c>
      <c r="E1614" s="3" t="str">
        <f>""</f>
        <v/>
      </c>
      <c r="F1614" s="2" t="s">
        <v>27</v>
      </c>
      <c r="G1614" s="2" t="str">
        <f t="shared" si="157"/>
        <v>ID EKO D.O.O., POREČKA 11, 10000 ZAGREB, OIB: 72667678548</v>
      </c>
      <c r="H1614" s="4"/>
      <c r="I1614" s="1" t="s">
        <v>579</v>
      </c>
      <c r="J1614" s="1" t="s">
        <v>242</v>
      </c>
      <c r="K1614" s="6" t="str">
        <f>"3.000,00"</f>
        <v>3.000,00</v>
      </c>
      <c r="L1614" s="6" t="str">
        <f>"750,00"</f>
        <v>750,00</v>
      </c>
      <c r="M1614" s="6" t="str">
        <f>"3.750,00"</f>
        <v>3.750,00</v>
      </c>
      <c r="N1614" s="5">
        <v>43679</v>
      </c>
      <c r="O1614" s="7"/>
      <c r="P1614" s="6" t="str">
        <f>"3.750,00"</f>
        <v>3.750,00</v>
      </c>
      <c r="Q1614" s="7"/>
      <c r="R1614" s="1"/>
      <c r="S1614" s="1" t="str">
        <f>"2-19/NOS-165-B/17"</f>
        <v>2-19/NOS-165-B/17</v>
      </c>
      <c r="T1614" s="2" t="s">
        <v>33</v>
      </c>
    </row>
    <row r="1615" spans="1:20" ht="51" x14ac:dyDescent="0.25">
      <c r="A1615" s="1">
        <v>1611</v>
      </c>
      <c r="B1615" s="1" t="str">
        <f t="shared" si="156"/>
        <v>2017-419</v>
      </c>
      <c r="C1615" s="2" t="s">
        <v>989</v>
      </c>
      <c r="D1615" s="1" t="s">
        <v>990</v>
      </c>
      <c r="E1615" s="3" t="str">
        <f>""</f>
        <v/>
      </c>
      <c r="F1615" s="2" t="s">
        <v>27</v>
      </c>
      <c r="G1615" s="2" t="str">
        <f t="shared" si="157"/>
        <v>ID EKO D.O.O., POREČKA 11, 10000 ZAGREB, OIB: 72667678548</v>
      </c>
      <c r="H1615" s="4"/>
      <c r="I1615" s="1" t="s">
        <v>424</v>
      </c>
      <c r="J1615" s="1" t="s">
        <v>242</v>
      </c>
      <c r="K1615" s="6" t="str">
        <f>"1.990,00"</f>
        <v>1.990,00</v>
      </c>
      <c r="L1615" s="6" t="str">
        <f>"0,00"</f>
        <v>0,00</v>
      </c>
      <c r="M1615" s="6" t="str">
        <f>"0,00"</f>
        <v>0,00</v>
      </c>
      <c r="N1615" s="1" t="s">
        <v>117</v>
      </c>
      <c r="O1615" s="7"/>
      <c r="P1615" s="6" t="str">
        <f>"0,00"</f>
        <v>0,00</v>
      </c>
      <c r="Q1615" s="7"/>
      <c r="R1615" s="1"/>
      <c r="S1615" s="1" t="str">
        <f>"3-19/NOS-165-B/17"</f>
        <v>3-19/NOS-165-B/17</v>
      </c>
      <c r="T1615" s="2" t="s">
        <v>33</v>
      </c>
    </row>
    <row r="1616" spans="1:20" ht="51" x14ac:dyDescent="0.25">
      <c r="A1616" s="1">
        <v>1612</v>
      </c>
      <c r="B1616" s="1" t="str">
        <f t="shared" ref="B1616:B1628" si="159">"2017-1907"</f>
        <v>2017-1907</v>
      </c>
      <c r="C1616" s="2" t="s">
        <v>993</v>
      </c>
      <c r="D1616" s="1" t="s">
        <v>483</v>
      </c>
      <c r="E1616" s="3" t="str">
        <f>"2017/S 0F2-0025803"</f>
        <v>2017/S 0F2-0025803</v>
      </c>
      <c r="F1616" s="2" t="s">
        <v>23</v>
      </c>
      <c r="G1616" s="2" t="str">
        <f>CONCATENATE("GRADATIN D.O.O.,"," LIVADARSKI PUT 19,"," 10360 SESVETE,"," OIB: 79147056526",CHAR(10),"INDUSTROOPREMA D.O.O.,"," CMP OBRTNIČKA 1,"," 10000 ZAGREB,"," OIB: 01291306683")</f>
        <v>GRADATIN D.O.O., LIVADARSKI PUT 19, 10360 SESVETE, OIB: 79147056526
INDUSTROOPREMA D.O.O., CMP OBRTNIČKA 1, 10000 ZAGREB, OIB: 01291306683</v>
      </c>
      <c r="H1616" s="4"/>
      <c r="I1616" s="1" t="s">
        <v>994</v>
      </c>
      <c r="J1616" s="1" t="s">
        <v>995</v>
      </c>
      <c r="K1616" s="6" t="str">
        <f>"22.500.000,00"</f>
        <v>22.500.000,00</v>
      </c>
      <c r="L1616" s="6" t="str">
        <f>"5.625.000,00"</f>
        <v>5.625.000,00</v>
      </c>
      <c r="M1616" s="6" t="str">
        <f>"28.125.000,00"</f>
        <v>28.125.000,00</v>
      </c>
      <c r="N1616" s="7"/>
      <c r="O1616" s="7"/>
      <c r="P1616" s="6" t="str">
        <f>""</f>
        <v/>
      </c>
      <c r="Q1616" s="7"/>
      <c r="R1616" s="1"/>
      <c r="S1616" s="1" t="str">
        <f>"NOS-166-A/17"</f>
        <v>NOS-166-A/17</v>
      </c>
      <c r="T1616" s="2" t="s">
        <v>33</v>
      </c>
    </row>
    <row r="1617" spans="1:20" ht="25.5" x14ac:dyDescent="0.25">
      <c r="A1617" s="1">
        <v>1613</v>
      </c>
      <c r="B1617" s="1" t="str">
        <f t="shared" si="159"/>
        <v>2017-1907</v>
      </c>
      <c r="C1617" s="2" t="s">
        <v>993</v>
      </c>
      <c r="D1617" s="4"/>
      <c r="E1617" s="3" t="str">
        <f>""</f>
        <v/>
      </c>
      <c r="F1617" s="2" t="s">
        <v>27</v>
      </c>
      <c r="G1617" s="2" t="str">
        <f>CONCATENATE("INDUSTROOPREMA D.O.O.,"," CMP OBRTNIČKA 1,"," 10000 ZAGREB,"," OIB: 01291306683")</f>
        <v>INDUSTROOPREMA D.O.O., CMP OBRTNIČKA 1, 10000 ZAGREB, OIB: 01291306683</v>
      </c>
      <c r="H1617" s="4"/>
      <c r="I1617" s="1" t="s">
        <v>218</v>
      </c>
      <c r="J1617" s="1" t="s">
        <v>64</v>
      </c>
      <c r="K1617" s="6" t="str">
        <f>"679.500,00"</f>
        <v>679.500,00</v>
      </c>
      <c r="L1617" s="6" t="str">
        <f>"169.875,00"</f>
        <v>169.875,00</v>
      </c>
      <c r="M1617" s="6" t="str">
        <f>"849.375,00"</f>
        <v>849.375,00</v>
      </c>
      <c r="N1617" s="5">
        <v>43538</v>
      </c>
      <c r="O1617" s="7"/>
      <c r="P1617" s="6" t="str">
        <f>"849.375,00"</f>
        <v>849.375,00</v>
      </c>
      <c r="Q1617" s="7"/>
      <c r="R1617" s="1"/>
      <c r="S1617" s="1" t="str">
        <f>"4-18/NOS-166-A/17"</f>
        <v>4-18/NOS-166-A/17</v>
      </c>
      <c r="T1617" s="2" t="s">
        <v>33</v>
      </c>
    </row>
    <row r="1618" spans="1:20" ht="25.5" x14ac:dyDescent="0.25">
      <c r="A1618" s="1">
        <v>1614</v>
      </c>
      <c r="B1618" s="1" t="str">
        <f t="shared" si="159"/>
        <v>2017-1907</v>
      </c>
      <c r="C1618" s="2" t="s">
        <v>993</v>
      </c>
      <c r="D1618" s="4"/>
      <c r="E1618" s="3" t="str">
        <f>""</f>
        <v/>
      </c>
      <c r="F1618" s="2" t="s">
        <v>27</v>
      </c>
      <c r="G1618" s="2" t="str">
        <f>CONCATENATE("INDUSTROOPREMA D.O.O.,"," CMP OBRTNIČKA 1,"," 10000 ZAGREB,"," OIB: 01291306683")</f>
        <v>INDUSTROOPREMA D.O.O., CMP OBRTNIČKA 1, 10000 ZAGREB, OIB: 01291306683</v>
      </c>
      <c r="H1618" s="4"/>
      <c r="I1618" s="1" t="s">
        <v>277</v>
      </c>
      <c r="J1618" s="1" t="s">
        <v>45</v>
      </c>
      <c r="K1618" s="6" t="str">
        <f>"3.215.940,00"</f>
        <v>3.215.940,00</v>
      </c>
      <c r="L1618" s="6" t="str">
        <f>"803.985,00"</f>
        <v>803.985,00</v>
      </c>
      <c r="M1618" s="6" t="str">
        <f>"4.019.925,00"</f>
        <v>4.019.925,00</v>
      </c>
      <c r="N1618" s="1"/>
      <c r="O1618" s="5">
        <v>43558</v>
      </c>
      <c r="P1618" s="6" t="str">
        <f>""</f>
        <v/>
      </c>
      <c r="Q1618" s="7"/>
      <c r="R1618" s="1"/>
      <c r="S1618" s="1" t="str">
        <f>"1-19/NOS-166-A/17"</f>
        <v>1-19/NOS-166-A/17</v>
      </c>
      <c r="T1618" s="2" t="s">
        <v>33</v>
      </c>
    </row>
    <row r="1619" spans="1:20" ht="25.5" x14ac:dyDescent="0.25">
      <c r="A1619" s="1">
        <v>1615</v>
      </c>
      <c r="B1619" s="1" t="str">
        <f t="shared" si="159"/>
        <v>2017-1907</v>
      </c>
      <c r="C1619" s="2" t="s">
        <v>993</v>
      </c>
      <c r="D1619" s="4"/>
      <c r="E1619" s="3" t="str">
        <f>""</f>
        <v/>
      </c>
      <c r="F1619" s="2" t="s">
        <v>27</v>
      </c>
      <c r="G1619" s="2" t="str">
        <f>CONCATENATE("GRADATIN D.O.O.,"," LIVADARSKI PUT 19,"," 10360 SESVETE,"," OIB: 79147056526")</f>
        <v>GRADATIN D.O.O., LIVADARSKI PUT 19, 10360 SESVETE, OIB: 79147056526</v>
      </c>
      <c r="H1619" s="4"/>
      <c r="I1619" s="1" t="s">
        <v>318</v>
      </c>
      <c r="J1619" s="1" t="s">
        <v>45</v>
      </c>
      <c r="K1619" s="6" t="str">
        <f>"2.288.000,00"</f>
        <v>2.288.000,00</v>
      </c>
      <c r="L1619" s="6" t="str">
        <f>"572.000,00"</f>
        <v>572.000,00</v>
      </c>
      <c r="M1619" s="6" t="str">
        <f>"2.860.000,00"</f>
        <v>2.860.000,00</v>
      </c>
      <c r="N1619" s="5">
        <v>43686</v>
      </c>
      <c r="O1619" s="7"/>
      <c r="P1619" s="6" t="str">
        <f>"2.860.000,00"</f>
        <v>2.860.000,00</v>
      </c>
      <c r="Q1619" s="7"/>
      <c r="R1619" s="1"/>
      <c r="S1619" s="1" t="str">
        <f>"2-19/NOS-166-A/17"</f>
        <v>2-19/NOS-166-A/17</v>
      </c>
      <c r="T1619" s="2" t="s">
        <v>33</v>
      </c>
    </row>
    <row r="1620" spans="1:20" ht="25.5" x14ac:dyDescent="0.25">
      <c r="A1620" s="1">
        <v>1616</v>
      </c>
      <c r="B1620" s="1" t="str">
        <f t="shared" si="159"/>
        <v>2017-1907</v>
      </c>
      <c r="C1620" s="2" t="s">
        <v>993</v>
      </c>
      <c r="D1620" s="4"/>
      <c r="E1620" s="3" t="str">
        <f>""</f>
        <v/>
      </c>
      <c r="F1620" s="2" t="s">
        <v>27</v>
      </c>
      <c r="G1620" s="2" t="str">
        <f>CONCATENATE("GRADATIN D.O.O.,"," LIVADARSKI PUT 19,"," 10360 SESVETE,"," OIB: 79147056526")</f>
        <v>GRADATIN D.O.O., LIVADARSKI PUT 19, 10360 SESVETE, OIB: 79147056526</v>
      </c>
      <c r="H1620" s="4"/>
      <c r="I1620" s="1" t="s">
        <v>318</v>
      </c>
      <c r="J1620" s="1" t="s">
        <v>45</v>
      </c>
      <c r="K1620" s="6" t="str">
        <f>"1.294.000,00"</f>
        <v>1.294.000,00</v>
      </c>
      <c r="L1620" s="6" t="str">
        <f>"323.500,00"</f>
        <v>323.500,00</v>
      </c>
      <c r="M1620" s="6" t="str">
        <f>"1.617.500,00"</f>
        <v>1.617.500,00</v>
      </c>
      <c r="N1620" s="5">
        <v>43706</v>
      </c>
      <c r="O1620" s="7"/>
      <c r="P1620" s="6" t="str">
        <f>"1.617.500,00"</f>
        <v>1.617.500,00</v>
      </c>
      <c r="Q1620" s="7"/>
      <c r="R1620" s="1"/>
      <c r="S1620" s="1" t="str">
        <f>"3-19/NOS-166-A/17"</f>
        <v>3-19/NOS-166-A/17</v>
      </c>
      <c r="T1620" s="2" t="s">
        <v>33</v>
      </c>
    </row>
    <row r="1621" spans="1:20" ht="38.25" x14ac:dyDescent="0.25">
      <c r="A1621" s="1">
        <v>1617</v>
      </c>
      <c r="B1621" s="1" t="str">
        <f t="shared" si="159"/>
        <v>2017-1907</v>
      </c>
      <c r="C1621" s="2" t="s">
        <v>993</v>
      </c>
      <c r="D1621" s="1" t="s">
        <v>483</v>
      </c>
      <c r="E1621" s="3" t="str">
        <f>"2017/S 0F2-0025803"</f>
        <v>2017/S 0F2-0025803</v>
      </c>
      <c r="F1621" s="2" t="s">
        <v>23</v>
      </c>
      <c r="G1621" s="2" t="str">
        <f>CONCATENATE("GRADATIN D.O.O.,"," LIVADARSKI PUT 19,"," 10360 SESVETE,"," OIB: 79147056526")</f>
        <v>GRADATIN D.O.O., LIVADARSKI PUT 19, 10360 SESVETE, OIB: 79147056526</v>
      </c>
      <c r="H1621" s="4"/>
      <c r="I1621" s="1" t="s">
        <v>996</v>
      </c>
      <c r="J1621" s="1" t="s">
        <v>997</v>
      </c>
      <c r="K1621" s="6" t="str">
        <f>"34.900.000,00"</f>
        <v>34.900.000,00</v>
      </c>
      <c r="L1621" s="6" t="str">
        <f>"8.725.000,00"</f>
        <v>8.725.000,00</v>
      </c>
      <c r="M1621" s="6" t="str">
        <f>"43.625.000,00"</f>
        <v>43.625.000,00</v>
      </c>
      <c r="N1621" s="7"/>
      <c r="O1621" s="7"/>
      <c r="P1621" s="6" t="str">
        <f>""</f>
        <v/>
      </c>
      <c r="Q1621" s="7"/>
      <c r="R1621" s="1"/>
      <c r="S1621" s="1" t="str">
        <f>"NOS-166-B/17"</f>
        <v>NOS-166-B/17</v>
      </c>
      <c r="T1621" s="2" t="s">
        <v>33</v>
      </c>
    </row>
    <row r="1622" spans="1:20" ht="25.5" x14ac:dyDescent="0.25">
      <c r="A1622" s="1">
        <v>1618</v>
      </c>
      <c r="B1622" s="1" t="str">
        <f t="shared" si="159"/>
        <v>2017-1907</v>
      </c>
      <c r="C1622" s="2" t="s">
        <v>993</v>
      </c>
      <c r="D1622" s="4"/>
      <c r="E1622" s="3" t="str">
        <f>""</f>
        <v/>
      </c>
      <c r="F1622" s="2" t="s">
        <v>27</v>
      </c>
      <c r="G1622" s="2" t="str">
        <f>CONCATENATE("GRADATIN D.O.O.,"," LIVADARSKI PUT 19,"," 10360 SESVETE,"," OIB: 79147056526")</f>
        <v>GRADATIN D.O.O., LIVADARSKI PUT 19, 10360 SESVETE, OIB: 79147056526</v>
      </c>
      <c r="H1622" s="4"/>
      <c r="I1622" s="1" t="s">
        <v>219</v>
      </c>
      <c r="J1622" s="1" t="s">
        <v>42</v>
      </c>
      <c r="K1622" s="6" t="str">
        <f>"320.000,00"</f>
        <v>320.000,00</v>
      </c>
      <c r="L1622" s="6" t="str">
        <f>"80.000,00"</f>
        <v>80.000,00</v>
      </c>
      <c r="M1622" s="6" t="str">
        <f>"400.000,00"</f>
        <v>400.000,00</v>
      </c>
      <c r="N1622" s="5">
        <v>43509</v>
      </c>
      <c r="O1622" s="7"/>
      <c r="P1622" s="6" t="str">
        <f>"356.000,00"</f>
        <v>356.000,00</v>
      </c>
      <c r="Q1622" s="7"/>
      <c r="R1622" s="1"/>
      <c r="S1622" s="1" t="str">
        <f>"5-18/NOS-166-B/17"</f>
        <v>5-18/NOS-166-B/17</v>
      </c>
      <c r="T1622" s="2" t="s">
        <v>33</v>
      </c>
    </row>
    <row r="1623" spans="1:20" ht="25.5" x14ac:dyDescent="0.25">
      <c r="A1623" s="1">
        <v>1619</v>
      </c>
      <c r="B1623" s="1" t="str">
        <f t="shared" si="159"/>
        <v>2017-1907</v>
      </c>
      <c r="C1623" s="2" t="s">
        <v>993</v>
      </c>
      <c r="D1623" s="4"/>
      <c r="E1623" s="3" t="str">
        <f>""</f>
        <v/>
      </c>
      <c r="F1623" s="2" t="s">
        <v>27</v>
      </c>
      <c r="G1623" s="2" t="str">
        <f>CONCATENATE("GRADATIN D.O.O.,"," LIVADARSKI PUT 19,"," 10360 SESVETE,"," OIB: 79147056526")</f>
        <v>GRADATIN D.O.O., LIVADARSKI PUT 19, 10360 SESVETE, OIB: 79147056526</v>
      </c>
      <c r="H1623" s="4"/>
      <c r="I1623" s="1" t="s">
        <v>219</v>
      </c>
      <c r="J1623" s="1" t="s">
        <v>71</v>
      </c>
      <c r="K1623" s="6" t="str">
        <f>"1.622.440,00"</f>
        <v>1.622.440,00</v>
      </c>
      <c r="L1623" s="6" t="str">
        <f>"405.610,00"</f>
        <v>405.610,00</v>
      </c>
      <c r="M1623" s="6" t="str">
        <f>"2.028.050,00"</f>
        <v>2.028.050,00</v>
      </c>
      <c r="N1623" s="5">
        <v>43517</v>
      </c>
      <c r="O1623" s="7"/>
      <c r="P1623" s="6" t="str">
        <f>"2.028.050,00"</f>
        <v>2.028.050,00</v>
      </c>
      <c r="Q1623" s="7"/>
      <c r="R1623" s="1"/>
      <c r="S1623" s="1" t="str">
        <f>"6-18/NOS-166-B/17"</f>
        <v>6-18/NOS-166-B/17</v>
      </c>
      <c r="T1623" s="2" t="s">
        <v>33</v>
      </c>
    </row>
    <row r="1624" spans="1:20" ht="76.5" x14ac:dyDescent="0.25">
      <c r="A1624" s="1">
        <v>1620</v>
      </c>
      <c r="B1624" s="1" t="str">
        <f t="shared" si="159"/>
        <v>2017-1907</v>
      </c>
      <c r="C1624" s="2" t="s">
        <v>993</v>
      </c>
      <c r="D1624" s="1" t="s">
        <v>483</v>
      </c>
      <c r="E1624" s="3" t="str">
        <f>"2017/S 0F2-0025803"</f>
        <v>2017/S 0F2-0025803</v>
      </c>
      <c r="F1624" s="2" t="s">
        <v>23</v>
      </c>
      <c r="G1624" s="2" t="str">
        <f>CONCATENATE("TEHNIX D.O.O.,"," BRAĆE RADIĆA bb,"," 40320 DONJI KRALJEVEC,"," OIB: 78013846555",CHAR(10),"KOVA D.O.O.,"," BRAĆE RADIĆA 122B,"," 10410 VELIKA GORICA,"," OIB: 31948370674",CHAR(10),"S.T.P. D.O.O.,"," LUČKI ODVOJAK 1,"," 10250 LUČKO,"," OIB: 41817103783")</f>
        <v>TEHNIX D.O.O., BRAĆE RADIĆA bb, 40320 DONJI KRALJEVEC, OIB: 78013846555
KOVA D.O.O., BRAĆE RADIĆA 122B, 10410 VELIKA GORICA, OIB: 31948370674
S.T.P. D.O.O., LUČKI ODVOJAK 1, 10250 LUČKO, OIB: 41817103783</v>
      </c>
      <c r="H1624" s="4"/>
      <c r="I1624" s="1" t="s">
        <v>994</v>
      </c>
      <c r="J1624" s="1" t="s">
        <v>995</v>
      </c>
      <c r="K1624" s="6" t="str">
        <f>"1.500.000,00"</f>
        <v>1.500.000,00</v>
      </c>
      <c r="L1624" s="6" t="str">
        <f>"375.000,00"</f>
        <v>375.000,00</v>
      </c>
      <c r="M1624" s="6" t="str">
        <f>"1.875.000,00"</f>
        <v>1.875.000,00</v>
      </c>
      <c r="N1624" s="7"/>
      <c r="O1624" s="7"/>
      <c r="P1624" s="6" t="str">
        <f>""</f>
        <v/>
      </c>
      <c r="Q1624" s="7"/>
      <c r="R1624" s="1"/>
      <c r="S1624" s="1" t="str">
        <f>"NOS-166-C/17"</f>
        <v>NOS-166-C/17</v>
      </c>
      <c r="T1624" s="2" t="s">
        <v>33</v>
      </c>
    </row>
    <row r="1625" spans="1:20" ht="25.5" x14ac:dyDescent="0.25">
      <c r="A1625" s="1">
        <v>1621</v>
      </c>
      <c r="B1625" s="1" t="str">
        <f t="shared" si="159"/>
        <v>2017-1907</v>
      </c>
      <c r="C1625" s="2" t="s">
        <v>993</v>
      </c>
      <c r="D1625" s="1" t="s">
        <v>483</v>
      </c>
      <c r="E1625" s="3" t="str">
        <f>""</f>
        <v/>
      </c>
      <c r="F1625" s="2" t="s">
        <v>27</v>
      </c>
      <c r="G1625" s="2" t="str">
        <f>CONCATENATE("S.T.P. D.O.O.,"," LUČKI ODVOJAK 1,"," 10250 LUČKO,"," OIB: 41817103783")</f>
        <v>S.T.P. D.O.O., LUČKI ODVOJAK 1, 10250 LUČKO, OIB: 41817103783</v>
      </c>
      <c r="H1625" s="4"/>
      <c r="I1625" s="1" t="s">
        <v>379</v>
      </c>
      <c r="J1625" s="1" t="s">
        <v>827</v>
      </c>
      <c r="K1625" s="6" t="str">
        <f>"31.200,00"</f>
        <v>31.200,00</v>
      </c>
      <c r="L1625" s="6" t="str">
        <f>"7.800,00"</f>
        <v>7.800,00</v>
      </c>
      <c r="M1625" s="6" t="str">
        <f>"39.000,00"</f>
        <v>39.000,00</v>
      </c>
      <c r="N1625" s="5">
        <v>43524</v>
      </c>
      <c r="O1625" s="7"/>
      <c r="P1625" s="6" t="str">
        <f>"39.000,00"</f>
        <v>39.000,00</v>
      </c>
      <c r="Q1625" s="7"/>
      <c r="R1625" s="1"/>
      <c r="S1625" s="1" t="str">
        <f>"2-18/NOS-166-C/17"</f>
        <v>2-18/NOS-166-C/17</v>
      </c>
      <c r="T1625" s="2" t="s">
        <v>33</v>
      </c>
    </row>
    <row r="1626" spans="1:20" ht="76.5" x14ac:dyDescent="0.25">
      <c r="A1626" s="1">
        <v>1622</v>
      </c>
      <c r="B1626" s="1" t="str">
        <f t="shared" si="159"/>
        <v>2017-1907</v>
      </c>
      <c r="C1626" s="2" t="s">
        <v>993</v>
      </c>
      <c r="D1626" s="1" t="s">
        <v>483</v>
      </c>
      <c r="E1626" s="3" t="str">
        <f>"2017/S 0F2-0025803"</f>
        <v>2017/S 0F2-0025803</v>
      </c>
      <c r="F1626" s="2" t="s">
        <v>23</v>
      </c>
      <c r="G1626" s="2" t="str">
        <f>CONCATENATE("TEHNIX D.O.O.,"," BRAĆE RADIĆA bb,"," 40320 DONJI KRALJEVEC,"," OIB: 78013846555",CHAR(10),"KOVA D.O.O.,"," BRAĆE RADIĆA 122B,"," 10410 VELIKA GORICA,"," OIB: 31948370674",CHAR(10),"S.T.P. D.O.O.,"," LUČKI ODVOJAK 1,"," 10250 LUČKO,"," OIB: 41817103783")</f>
        <v>TEHNIX D.O.O., BRAĆE RADIĆA bb, 40320 DONJI KRALJEVEC, OIB: 78013846555
KOVA D.O.O., BRAĆE RADIĆA 122B, 10410 VELIKA GORICA, OIB: 31948370674
S.T.P. D.O.O., LUČKI ODVOJAK 1, 10250 LUČKO, OIB: 41817103783</v>
      </c>
      <c r="H1626" s="4"/>
      <c r="I1626" s="1" t="s">
        <v>994</v>
      </c>
      <c r="J1626" s="1" t="s">
        <v>995</v>
      </c>
      <c r="K1626" s="6" t="str">
        <f>"738.400,00"</f>
        <v>738.400,00</v>
      </c>
      <c r="L1626" s="6" t="str">
        <f>"184.600,00"</f>
        <v>184.600,00</v>
      </c>
      <c r="M1626" s="6" t="str">
        <f>"923.000,00"</f>
        <v>923.000,00</v>
      </c>
      <c r="N1626" s="7"/>
      <c r="O1626" s="7"/>
      <c r="P1626" s="6" t="str">
        <f>""</f>
        <v/>
      </c>
      <c r="Q1626" s="7"/>
      <c r="R1626" s="1"/>
      <c r="S1626" s="1" t="str">
        <f>"NOS-166-D/17"</f>
        <v>NOS-166-D/17</v>
      </c>
      <c r="T1626" s="2" t="s">
        <v>33</v>
      </c>
    </row>
    <row r="1627" spans="1:20" ht="38.25" x14ac:dyDescent="0.25">
      <c r="A1627" s="1">
        <v>1623</v>
      </c>
      <c r="B1627" s="1" t="str">
        <f t="shared" si="159"/>
        <v>2017-1907</v>
      </c>
      <c r="C1627" s="2" t="s">
        <v>993</v>
      </c>
      <c r="D1627" s="1" t="s">
        <v>483</v>
      </c>
      <c r="E1627" s="3" t="str">
        <f>"2017/S 0F2-0025803"</f>
        <v>2017/S 0F2-0025803</v>
      </c>
      <c r="F1627" s="2" t="s">
        <v>23</v>
      </c>
      <c r="G1627" s="2" t="str">
        <f>CONCATENATE("TEHNIX D.O.O.,"," BRAĆE RADIĆA bb,"," 40320 DONJI KRALJEVEC,"," OIB: 78013846555")</f>
        <v>TEHNIX D.O.O., BRAĆE RADIĆA bb, 40320 DONJI KRALJEVEC, OIB: 78013846555</v>
      </c>
      <c r="H1627" s="4"/>
      <c r="I1627" s="1" t="s">
        <v>996</v>
      </c>
      <c r="J1627" s="1" t="s">
        <v>997</v>
      </c>
      <c r="K1627" s="6" t="str">
        <f>"311.600,00"</f>
        <v>311.600,00</v>
      </c>
      <c r="L1627" s="6" t="str">
        <f>"77.900,00"</f>
        <v>77.900,00</v>
      </c>
      <c r="M1627" s="6" t="str">
        <f>"389.500,00"</f>
        <v>389.500,00</v>
      </c>
      <c r="N1627" s="7"/>
      <c r="O1627" s="7"/>
      <c r="P1627" s="6" t="str">
        <f>""</f>
        <v/>
      </c>
      <c r="Q1627" s="7"/>
      <c r="R1627" s="1"/>
      <c r="S1627" s="1" t="str">
        <f>"NOS-166-E/17"</f>
        <v>NOS-166-E/17</v>
      </c>
      <c r="T1627" s="2" t="s">
        <v>33</v>
      </c>
    </row>
    <row r="1628" spans="1:20" ht="38.25" x14ac:dyDescent="0.25">
      <c r="A1628" s="1">
        <v>1624</v>
      </c>
      <c r="B1628" s="1" t="str">
        <f t="shared" si="159"/>
        <v>2017-1907</v>
      </c>
      <c r="C1628" s="2" t="s">
        <v>993</v>
      </c>
      <c r="D1628" s="1" t="s">
        <v>483</v>
      </c>
      <c r="E1628" s="3" t="str">
        <f>"2017/S 0F2-0025803"</f>
        <v>2017/S 0F2-0025803</v>
      </c>
      <c r="F1628" s="2" t="s">
        <v>23</v>
      </c>
      <c r="G1628" s="2" t="str">
        <f>CONCATENATE("KOVA D.O.O.,"," BRAĆE RADIĆA 122B,"," 10410 VELIKA GORICA,"," OIB: 31948370674")</f>
        <v>KOVA D.O.O., BRAĆE RADIĆA 122B, 10410 VELIKA GORICA, OIB: 31948370674</v>
      </c>
      <c r="H1628" s="4"/>
      <c r="I1628" s="1" t="s">
        <v>996</v>
      </c>
      <c r="J1628" s="1" t="s">
        <v>997</v>
      </c>
      <c r="K1628" s="6" t="str">
        <f>"50.000,00"</f>
        <v>50.000,00</v>
      </c>
      <c r="L1628" s="6" t="str">
        <f>"12.500,00"</f>
        <v>12.500,00</v>
      </c>
      <c r="M1628" s="6" t="str">
        <f>"62.500,00"</f>
        <v>62.500,00</v>
      </c>
      <c r="N1628" s="7"/>
      <c r="O1628" s="7"/>
      <c r="P1628" s="6" t="str">
        <f>""</f>
        <v/>
      </c>
      <c r="Q1628" s="7"/>
      <c r="R1628" s="1"/>
      <c r="S1628" s="1" t="str">
        <f>"NOS-166-F/17"</f>
        <v>NOS-166-F/17</v>
      </c>
      <c r="T1628" s="2" t="s">
        <v>33</v>
      </c>
    </row>
    <row r="1629" spans="1:20" ht="76.5" x14ac:dyDescent="0.25">
      <c r="A1629" s="1">
        <v>1625</v>
      </c>
      <c r="B1629" s="1" t="str">
        <f t="shared" ref="B1629:B1636" si="160">"2017-384"</f>
        <v>2017-384</v>
      </c>
      <c r="C1629" s="2" t="s">
        <v>998</v>
      </c>
      <c r="D1629" s="1" t="s">
        <v>999</v>
      </c>
      <c r="E1629" s="3" t="str">
        <f>"2017/S 0F2-0020415"</f>
        <v>2017/S 0F2-0020415</v>
      </c>
      <c r="F1629" s="2" t="s">
        <v>23</v>
      </c>
      <c r="G1629" s="2" t="str">
        <f>CONCATENATE("FDS-TRGOVINA D.O.O.,"," MAJSTORSKA 1G,"," 10000 ZAGREB,"," OIB: 71814187727",CHAR(10),"VODOSKOK D.D.,"," ČULINEČKA CESTA 221/C,"," 10040 ZAGREB,"," OIB: 34134218058",CHAR(10),"MIV D.D.,"," FABIJANSKA ULICA 33,"," 42000 VARAŽDIN,"," OIB: 95240603723")</f>
        <v>FDS-TRGOVINA D.O.O., MAJSTORSKA 1G, 10000 ZAGREB, OIB: 71814187727
VODOSKOK D.D., ČULINEČKA CESTA 221/C, 10040 ZAGREB, OIB: 34134218058
MIV D.D., FABIJANSKA ULICA 33, 42000 VARAŽDIN, OIB: 95240603723</v>
      </c>
      <c r="H1629" s="4"/>
      <c r="I1629" s="1" t="s">
        <v>1000</v>
      </c>
      <c r="J1629" s="1" t="s">
        <v>1001</v>
      </c>
      <c r="K1629" s="6" t="str">
        <f>"4.000.000,00"</f>
        <v>4.000.000,00</v>
      </c>
      <c r="L1629" s="6" t="str">
        <f>"1.000.000,00"</f>
        <v>1.000.000,00</v>
      </c>
      <c r="M1629" s="6" t="str">
        <f>"5.000.000,00"</f>
        <v>5.000.000,00</v>
      </c>
      <c r="N1629" s="7"/>
      <c r="O1629" s="7"/>
      <c r="P1629" s="6" t="str">
        <f>""</f>
        <v/>
      </c>
      <c r="Q1629" s="7"/>
      <c r="R1629" s="1"/>
      <c r="S1629" s="1" t="str">
        <f>"NOS-167-A/17"</f>
        <v>NOS-167-A/17</v>
      </c>
      <c r="T1629" s="2" t="s">
        <v>29</v>
      </c>
    </row>
    <row r="1630" spans="1:20" ht="25.5" x14ac:dyDescent="0.25">
      <c r="A1630" s="1">
        <v>1626</v>
      </c>
      <c r="B1630" s="1" t="str">
        <f t="shared" si="160"/>
        <v>2017-384</v>
      </c>
      <c r="C1630" s="2" t="s">
        <v>998</v>
      </c>
      <c r="D1630" s="4"/>
      <c r="E1630" s="3" t="str">
        <f>""</f>
        <v/>
      </c>
      <c r="F1630" s="2" t="s">
        <v>27</v>
      </c>
      <c r="G1630" s="2" t="str">
        <f>CONCATENATE("VODOSKOK D.D.,"," ČULINEČKA CESTA 221/C,"," 10040 ZAGREB,"," OIB: 34134218058")</f>
        <v>VODOSKOK D.D., ČULINEČKA CESTA 221/C, 10040 ZAGREB, OIB: 34134218058</v>
      </c>
      <c r="H1630" s="4"/>
      <c r="I1630" s="1" t="s">
        <v>521</v>
      </c>
      <c r="J1630" s="1" t="s">
        <v>28</v>
      </c>
      <c r="K1630" s="6" t="str">
        <f>"514.800,00"</f>
        <v>514.800,00</v>
      </c>
      <c r="L1630" s="6" t="str">
        <f>"128.700,00"</f>
        <v>128.700,00</v>
      </c>
      <c r="M1630" s="6" t="str">
        <f>"643.500,00"</f>
        <v>643.500,00</v>
      </c>
      <c r="N1630" s="5">
        <v>43677</v>
      </c>
      <c r="O1630" s="7"/>
      <c r="P1630" s="6" t="str">
        <f>"548.448,75"</f>
        <v>548.448,75</v>
      </c>
      <c r="Q1630" s="7"/>
      <c r="R1630" s="1"/>
      <c r="S1630" s="1" t="str">
        <f>"1-19/NOS-167-A/17"</f>
        <v>1-19/NOS-167-A/17</v>
      </c>
      <c r="T1630" s="2" t="s">
        <v>29</v>
      </c>
    </row>
    <row r="1631" spans="1:20" ht="25.5" x14ac:dyDescent="0.25">
      <c r="A1631" s="1">
        <v>1627</v>
      </c>
      <c r="B1631" s="1" t="str">
        <f t="shared" si="160"/>
        <v>2017-384</v>
      </c>
      <c r="C1631" s="2" t="s">
        <v>998</v>
      </c>
      <c r="D1631" s="1" t="s">
        <v>999</v>
      </c>
      <c r="E1631" s="3" t="str">
        <f>""</f>
        <v/>
      </c>
      <c r="F1631" s="2" t="s">
        <v>27</v>
      </c>
      <c r="G1631" s="2" t="str">
        <f>CONCATENATE("VODOSKOK D.D.,"," ČULINEČKA CESTA 221/C,"," 10040 ZAGREB,"," OIB: 34134218058")</f>
        <v>VODOSKOK D.D., ČULINEČKA CESTA 221/C, 10040 ZAGREB, OIB: 34134218058</v>
      </c>
      <c r="H1631" s="4"/>
      <c r="I1631" s="1" t="s">
        <v>175</v>
      </c>
      <c r="J1631" s="1" t="s">
        <v>492</v>
      </c>
      <c r="K1631" s="6" t="str">
        <f>"7.330,00"</f>
        <v>7.330,00</v>
      </c>
      <c r="L1631" s="6" t="str">
        <f>"1.832,50"</f>
        <v>1.832,50</v>
      </c>
      <c r="M1631" s="6" t="str">
        <f>"9.162,50"</f>
        <v>9.162,50</v>
      </c>
      <c r="N1631" s="5">
        <v>43505</v>
      </c>
      <c r="O1631" s="7"/>
      <c r="P1631" s="6" t="str">
        <f>"9.162,50"</f>
        <v>9.162,50</v>
      </c>
      <c r="Q1631" s="7"/>
      <c r="R1631" s="1"/>
      <c r="S1631" s="1" t="str">
        <f>"7-18/NOS-167-A/17"</f>
        <v>7-18/NOS-167-A/17</v>
      </c>
      <c r="T1631" s="2" t="s">
        <v>29</v>
      </c>
    </row>
    <row r="1632" spans="1:20" ht="25.5" x14ac:dyDescent="0.25">
      <c r="A1632" s="1">
        <v>1628</v>
      </c>
      <c r="B1632" s="1" t="str">
        <f t="shared" si="160"/>
        <v>2017-384</v>
      </c>
      <c r="C1632" s="2" t="s">
        <v>998</v>
      </c>
      <c r="D1632" s="1" t="s">
        <v>999</v>
      </c>
      <c r="E1632" s="3" t="str">
        <f>""</f>
        <v/>
      </c>
      <c r="F1632" s="2" t="s">
        <v>27</v>
      </c>
      <c r="G1632" s="2" t="str">
        <f>CONCATENATE("FDS-TRGOVINA D.O.O.,"," MAJSTORSKA 1G,"," 10000 ZAGREB,"," OIB: 71814187727")</f>
        <v>FDS-TRGOVINA D.O.O., MAJSTORSKA 1G, 10000 ZAGREB, OIB: 71814187727</v>
      </c>
      <c r="H1632" s="4"/>
      <c r="I1632" s="1" t="s">
        <v>435</v>
      </c>
      <c r="J1632" s="1" t="s">
        <v>492</v>
      </c>
      <c r="K1632" s="6" t="str">
        <f>"113.607,00"</f>
        <v>113.607,00</v>
      </c>
      <c r="L1632" s="6" t="str">
        <f>"28.401,75"</f>
        <v>28.401,75</v>
      </c>
      <c r="M1632" s="6" t="str">
        <f>"142.008,75"</f>
        <v>142.008,75</v>
      </c>
      <c r="N1632" s="5">
        <v>43712</v>
      </c>
      <c r="O1632" s="7"/>
      <c r="P1632" s="6" t="str">
        <f>"142.008,75"</f>
        <v>142.008,75</v>
      </c>
      <c r="Q1632" s="7"/>
      <c r="R1632" s="1"/>
      <c r="S1632" s="1" t="str">
        <f>"2-19/NOS-167-A/17"</f>
        <v>2-19/NOS-167-A/17</v>
      </c>
      <c r="T1632" s="2" t="s">
        <v>29</v>
      </c>
    </row>
    <row r="1633" spans="1:20" ht="25.5" x14ac:dyDescent="0.25">
      <c r="A1633" s="1">
        <v>1629</v>
      </c>
      <c r="B1633" s="1" t="str">
        <f t="shared" si="160"/>
        <v>2017-384</v>
      </c>
      <c r="C1633" s="2" t="s">
        <v>998</v>
      </c>
      <c r="D1633" s="1" t="s">
        <v>999</v>
      </c>
      <c r="E1633" s="3" t="str">
        <f>""</f>
        <v/>
      </c>
      <c r="F1633" s="2" t="s">
        <v>27</v>
      </c>
      <c r="G1633" s="2" t="str">
        <f>CONCATENATE("VODOSKOK D.D.,"," ČULINEČKA CESTA 221/C,"," 10040 ZAGREB,"," OIB: 34134218058")</f>
        <v>VODOSKOK D.D., ČULINEČKA CESTA 221/C, 10040 ZAGREB, OIB: 34134218058</v>
      </c>
      <c r="H1633" s="4"/>
      <c r="I1633" s="1" t="s">
        <v>162</v>
      </c>
      <c r="J1633" s="1" t="s">
        <v>492</v>
      </c>
      <c r="K1633" s="6" t="str">
        <f>"8.451,00"</f>
        <v>8.451,00</v>
      </c>
      <c r="L1633" s="6" t="str">
        <f>"2.112,75"</f>
        <v>2.112,75</v>
      </c>
      <c r="M1633" s="6" t="str">
        <f>"10.563,75"</f>
        <v>10.563,75</v>
      </c>
      <c r="N1633" s="5">
        <v>43644</v>
      </c>
      <c r="O1633" s="7"/>
      <c r="P1633" s="6" t="str">
        <f>"10.563,75"</f>
        <v>10.563,75</v>
      </c>
      <c r="Q1633" s="7"/>
      <c r="R1633" s="1"/>
      <c r="S1633" s="1" t="str">
        <f>"3-19/NOS-167-A/17"</f>
        <v>3-19/NOS-167-A/17</v>
      </c>
      <c r="T1633" s="2" t="s">
        <v>29</v>
      </c>
    </row>
    <row r="1634" spans="1:20" ht="76.5" x14ac:dyDescent="0.25">
      <c r="A1634" s="1">
        <v>1630</v>
      </c>
      <c r="B1634" s="1" t="str">
        <f t="shared" si="160"/>
        <v>2017-384</v>
      </c>
      <c r="C1634" s="2" t="s">
        <v>998</v>
      </c>
      <c r="D1634" s="1" t="s">
        <v>999</v>
      </c>
      <c r="E1634" s="3" t="str">
        <f>"2017/S 0F2-0020415"</f>
        <v>2017/S 0F2-0020415</v>
      </c>
      <c r="F1634" s="2" t="s">
        <v>23</v>
      </c>
      <c r="G1634" s="2" t="str">
        <f>CONCATENATE("FDS-TRGOVINA D.O.O.,"," MAJSTORSKA 1G,"," 10000 ZAGREB,"," OIB: 71814187727",CHAR(10),"AQUA-INVEST D.O.O.,"," ZAGREBAČKA 15G,"," 47000 KARLOVAC,"," OIB: 35253134835",CHAR(10),"HIDROCOM D.O.O.,"," ANTUNA MIHANOVIĆA 55,"," 33405 PITOMAČA,"," OIB: 707132198")</f>
        <v>FDS-TRGOVINA D.O.O., MAJSTORSKA 1G, 10000 ZAGREB, OIB: 71814187727
AQUA-INVEST D.O.O., ZAGREBAČKA 15G, 47000 KARLOVAC, OIB: 35253134835
HIDROCOM D.O.O., ANTUNA MIHANOVIĆA 55, 33405 PITOMAČA, OIB: 707132198</v>
      </c>
      <c r="H1634" s="4"/>
      <c r="I1634" s="1" t="s">
        <v>1000</v>
      </c>
      <c r="J1634" s="1" t="s">
        <v>1001</v>
      </c>
      <c r="K1634" s="6" t="str">
        <f>"4.000.000,00"</f>
        <v>4.000.000,00</v>
      </c>
      <c r="L1634" s="6" t="str">
        <f>"1.000.000,00"</f>
        <v>1.000.000,00</v>
      </c>
      <c r="M1634" s="6" t="str">
        <f>"5.000.000,00"</f>
        <v>5.000.000,00</v>
      </c>
      <c r="N1634" s="7"/>
      <c r="O1634" s="7"/>
      <c r="P1634" s="6" t="str">
        <f>""</f>
        <v/>
      </c>
      <c r="Q1634" s="7"/>
      <c r="R1634" s="1"/>
      <c r="S1634" s="1" t="str">
        <f>"NOS-167-B/17"</f>
        <v>NOS-167-B/17</v>
      </c>
      <c r="T1634" s="2" t="s">
        <v>29</v>
      </c>
    </row>
    <row r="1635" spans="1:20" ht="25.5" x14ac:dyDescent="0.25">
      <c r="A1635" s="1">
        <v>1631</v>
      </c>
      <c r="B1635" s="1" t="str">
        <f t="shared" si="160"/>
        <v>2017-384</v>
      </c>
      <c r="C1635" s="2" t="s">
        <v>998</v>
      </c>
      <c r="D1635" s="4"/>
      <c r="E1635" s="3" t="str">
        <f>""</f>
        <v/>
      </c>
      <c r="F1635" s="2" t="s">
        <v>27</v>
      </c>
      <c r="G1635" s="2" t="str">
        <f>CONCATENATE("HIDROCOM D.O.O.,"," ANTUNA MIHANOVIĆA 55,"," 33405 PITOMAČA,"," OIB: 707132198")</f>
        <v>HIDROCOM D.O.O., ANTUNA MIHANOVIĆA 55, 33405 PITOMAČA, OIB: 707132198</v>
      </c>
      <c r="H1635" s="4"/>
      <c r="I1635" s="1" t="s">
        <v>521</v>
      </c>
      <c r="J1635" s="1" t="s">
        <v>28</v>
      </c>
      <c r="K1635" s="6" t="str">
        <f>"1.197.901,00"</f>
        <v>1.197.901,00</v>
      </c>
      <c r="L1635" s="6" t="str">
        <f>"299.475,25"</f>
        <v>299.475,25</v>
      </c>
      <c r="M1635" s="6" t="str">
        <f>"1.497.376,25"</f>
        <v>1.497.376,25</v>
      </c>
      <c r="N1635" s="5">
        <v>43696</v>
      </c>
      <c r="O1635" s="7"/>
      <c r="P1635" s="6" t="str">
        <f>"127.636,25"</f>
        <v>127.636,25</v>
      </c>
      <c r="Q1635" s="7"/>
      <c r="R1635" s="1"/>
      <c r="S1635" s="1" t="str">
        <f>"1-19/NOS-167-B/17"</f>
        <v>1-19/NOS-167-B/17</v>
      </c>
      <c r="T1635" s="2" t="s">
        <v>29</v>
      </c>
    </row>
    <row r="1636" spans="1:20" ht="25.5" x14ac:dyDescent="0.25">
      <c r="A1636" s="1">
        <v>1632</v>
      </c>
      <c r="B1636" s="1" t="str">
        <f t="shared" si="160"/>
        <v>2017-384</v>
      </c>
      <c r="C1636" s="2" t="s">
        <v>998</v>
      </c>
      <c r="D1636" s="1" t="s">
        <v>999</v>
      </c>
      <c r="E1636" s="3" t="str">
        <f>""</f>
        <v/>
      </c>
      <c r="F1636" s="2" t="s">
        <v>27</v>
      </c>
      <c r="G1636" s="2" t="str">
        <f>CONCATENATE("FDS-TRGOVINA D.O.O.,"," MAJSTORSKA 1G,"," 10000 ZAGREB,"," OIB: 71814187727")</f>
        <v>FDS-TRGOVINA D.O.O., MAJSTORSKA 1G, 10000 ZAGREB, OIB: 71814187727</v>
      </c>
      <c r="H1636" s="4"/>
      <c r="I1636" s="1" t="s">
        <v>639</v>
      </c>
      <c r="J1636" s="1" t="s">
        <v>492</v>
      </c>
      <c r="K1636" s="6" t="str">
        <f>"62.481,00"</f>
        <v>62.481,00</v>
      </c>
      <c r="L1636" s="6" t="str">
        <f>"15.620,25"</f>
        <v>15.620,25</v>
      </c>
      <c r="M1636" s="6" t="str">
        <f>"78.101,25"</f>
        <v>78.101,25</v>
      </c>
      <c r="N1636" s="5">
        <v>43672</v>
      </c>
      <c r="O1636" s="7"/>
      <c r="P1636" s="6" t="str">
        <f>"78.101,25"</f>
        <v>78.101,25</v>
      </c>
      <c r="Q1636" s="7"/>
      <c r="R1636" s="1"/>
      <c r="S1636" s="1" t="str">
        <f>"3-19/NOS-167-B/17"</f>
        <v>3-19/NOS-167-B/17</v>
      </c>
      <c r="T1636" s="2" t="s">
        <v>29</v>
      </c>
    </row>
    <row r="1637" spans="1:20" ht="102" x14ac:dyDescent="0.25">
      <c r="A1637" s="1">
        <v>1633</v>
      </c>
      <c r="B1637" s="1" t="str">
        <f>"2017-2498"</f>
        <v>2017-2498</v>
      </c>
      <c r="C1637" s="2" t="s">
        <v>1002</v>
      </c>
      <c r="D1637" s="1" t="s">
        <v>1003</v>
      </c>
      <c r="E1637" s="3" t="str">
        <f>"2017/S 0F2-0028110"</f>
        <v>2017/S 0F2-0028110</v>
      </c>
      <c r="F1637" s="2" t="s">
        <v>23</v>
      </c>
      <c r="G1637" s="2" t="str">
        <f>CONCATENATE("OT–OPTIMA TELEKOM D.D.,"," OIB: 36004425025")</f>
        <v>OT–OPTIMA TELEKOM D.D., OIB: 36004425025</v>
      </c>
      <c r="H1637" s="4"/>
      <c r="I1637" s="1" t="s">
        <v>1004</v>
      </c>
      <c r="J1637" s="1" t="s">
        <v>1005</v>
      </c>
      <c r="K1637" s="6" t="str">
        <f>"11.380.000,00"</f>
        <v>11.380.000,00</v>
      </c>
      <c r="L1637" s="6" t="str">
        <f>"2.845.000,00"</f>
        <v>2.845.000,00</v>
      </c>
      <c r="M1637" s="6" t="str">
        <f>"14.225.000,00"</f>
        <v>14.225.000,00</v>
      </c>
      <c r="N1637" s="7"/>
      <c r="O1637" s="7"/>
      <c r="P1637" s="6" t="str">
        <f>""</f>
        <v/>
      </c>
      <c r="Q1637" s="7"/>
      <c r="R1637" s="1"/>
      <c r="S1637" s="1" t="str">
        <f>"NOS-168-ZGH/17"</f>
        <v>NOS-168-ZGH/17</v>
      </c>
      <c r="T1637" s="2" t="s">
        <v>215</v>
      </c>
    </row>
    <row r="1638" spans="1:20" ht="25.5" x14ac:dyDescent="0.25">
      <c r="A1638" s="1">
        <v>1634</v>
      </c>
      <c r="B1638" s="1" t="str">
        <f>"2017-2498"</f>
        <v>2017-2498</v>
      </c>
      <c r="C1638" s="2" t="s">
        <v>1002</v>
      </c>
      <c r="D1638" s="4"/>
      <c r="E1638" s="3" t="str">
        <f>""</f>
        <v/>
      </c>
      <c r="F1638" s="2" t="s">
        <v>27</v>
      </c>
      <c r="G1638" s="2" t="str">
        <f>CONCATENATE("OT–OPTIMA TELEKOM D.D.,"," OIB: 36004425025")</f>
        <v>OT–OPTIMA TELEKOM D.D., OIB: 36004425025</v>
      </c>
      <c r="H1638" s="4"/>
      <c r="I1638" s="1" t="s">
        <v>700</v>
      </c>
      <c r="J1638" s="1" t="s">
        <v>587</v>
      </c>
      <c r="K1638" s="6" t="str">
        <f>"2.736.737,92"</f>
        <v>2.736.737,92</v>
      </c>
      <c r="L1638" s="6" t="str">
        <f>"684.184,48"</f>
        <v>684.184,48</v>
      </c>
      <c r="M1638" s="6" t="str">
        <f>"3.420.922,40"</f>
        <v>3.420.922,40</v>
      </c>
      <c r="N1638" s="5">
        <v>43677</v>
      </c>
      <c r="O1638" s="7"/>
      <c r="P1638" s="6" t="str">
        <f>"114.430,89"</f>
        <v>114.430,89</v>
      </c>
      <c r="Q1638" s="7"/>
      <c r="R1638" s="1"/>
      <c r="S1638" s="1" t="str">
        <f>"1-18/NOS-168-ZGH/17"</f>
        <v>1-18/NOS-168-ZGH/17</v>
      </c>
      <c r="T1638" s="2" t="s">
        <v>33</v>
      </c>
    </row>
    <row r="1639" spans="1:20" ht="25.5" x14ac:dyDescent="0.25">
      <c r="A1639" s="1">
        <v>1635</v>
      </c>
      <c r="B1639" s="1" t="str">
        <f>"2017-2498"</f>
        <v>2017-2498</v>
      </c>
      <c r="C1639" s="2" t="s">
        <v>1002</v>
      </c>
      <c r="D1639" s="4"/>
      <c r="E1639" s="3" t="str">
        <f>""</f>
        <v/>
      </c>
      <c r="F1639" s="2" t="s">
        <v>27</v>
      </c>
      <c r="G1639" s="2" t="str">
        <f>CONCATENATE("OT–OPTIMA TELEKOM D.D.,"," OIB: 36004425025")</f>
        <v>OT–OPTIMA TELEKOM D.D., OIB: 36004425025</v>
      </c>
      <c r="H1639" s="4"/>
      <c r="I1639" s="1" t="s">
        <v>1006</v>
      </c>
      <c r="J1639" s="1" t="s">
        <v>587</v>
      </c>
      <c r="K1639" s="6" t="str">
        <f>"13.515,85"</f>
        <v>13.515,85</v>
      </c>
      <c r="L1639" s="6" t="str">
        <f>"3.378,96"</f>
        <v>3.378,96</v>
      </c>
      <c r="M1639" s="6" t="str">
        <f>"16.894,81"</f>
        <v>16.894,81</v>
      </c>
      <c r="N1639" s="1" t="s">
        <v>117</v>
      </c>
      <c r="O1639" s="7"/>
      <c r="P1639" s="6" t="str">
        <f>""</f>
        <v/>
      </c>
      <c r="Q1639" s="7"/>
      <c r="R1639" s="1"/>
      <c r="S1639" s="1" t="str">
        <f>"2-18/NOS-168-ZGH/17"</f>
        <v>2-18/NOS-168-ZGH/17</v>
      </c>
      <c r="T1639" s="2" t="s">
        <v>112</v>
      </c>
    </row>
    <row r="1640" spans="1:20" ht="25.5" x14ac:dyDescent="0.25">
      <c r="A1640" s="1">
        <v>1636</v>
      </c>
      <c r="B1640" s="1" t="str">
        <f>"2017-2498"</f>
        <v>2017-2498</v>
      </c>
      <c r="C1640" s="2" t="s">
        <v>1002</v>
      </c>
      <c r="D1640" s="4"/>
      <c r="E1640" s="3" t="str">
        <f>""</f>
        <v/>
      </c>
      <c r="F1640" s="2" t="s">
        <v>27</v>
      </c>
      <c r="G1640" s="2" t="str">
        <f>CONCATENATE("OT–OPTIMA TELEKOM D.D.,"," OIB: 36004425025")</f>
        <v>OT–OPTIMA TELEKOM D.D., OIB: 36004425025</v>
      </c>
      <c r="H1640" s="4"/>
      <c r="I1640" s="1" t="s">
        <v>479</v>
      </c>
      <c r="J1640" s="1" t="s">
        <v>587</v>
      </c>
      <c r="K1640" s="6" t="str">
        <f>"191.729,93"</f>
        <v>191.729,93</v>
      </c>
      <c r="L1640" s="6" t="str">
        <f>"47.932,48"</f>
        <v>47.932,48</v>
      </c>
      <c r="M1640" s="6" t="str">
        <f>"239.662,41"</f>
        <v>239.662,41</v>
      </c>
      <c r="N1640" s="1" t="s">
        <v>117</v>
      </c>
      <c r="O1640" s="7"/>
      <c r="P1640" s="6" t="str">
        <f>""</f>
        <v/>
      </c>
      <c r="Q1640" s="7"/>
      <c r="R1640" s="1"/>
      <c r="S1640" s="1" t="str">
        <f>"4-18/NOS-168-ZGH/17"</f>
        <v>4-18/NOS-168-ZGH/17</v>
      </c>
      <c r="T1640" s="2" t="s">
        <v>29</v>
      </c>
    </row>
    <row r="1641" spans="1:20" ht="38.25" x14ac:dyDescent="0.25">
      <c r="A1641" s="1">
        <v>1637</v>
      </c>
      <c r="B1641" s="1" t="str">
        <f>"2017-2975"</f>
        <v>2017-2975</v>
      </c>
      <c r="C1641" s="2" t="s">
        <v>1007</v>
      </c>
      <c r="D1641" s="1" t="s">
        <v>1008</v>
      </c>
      <c r="E1641" s="3" t="str">
        <f>"2018/S 0F2-0011708"</f>
        <v>2018/S 0F2-0011708</v>
      </c>
      <c r="F1641" s="2" t="s">
        <v>23</v>
      </c>
      <c r="G1641" s="2" t="str">
        <f>CONCATENATE("SVEUČILIŠTE U ZAGREBU - GRAĐEVINSKI FAKULTET,"," FRA ANDRIJE KAČIĆA MIOŠIĆA 26,"," 10000 ZAGREB,"," OIB: 6292415342")</f>
        <v>SVEUČILIŠTE U ZAGREBU - GRAĐEVINSKI FAKULTET, FRA ANDRIJE KAČIĆA MIOŠIĆA 26, 10000 ZAGREB, OIB: 6292415342</v>
      </c>
      <c r="H1641" s="1" t="str">
        <f>CONCATENATE("KONČAR - INEM D.D.,"," OIB: 18545665005")</f>
        <v>KONČAR - INEM D.D., OIB: 18545665005</v>
      </c>
      <c r="I1641" s="1" t="s">
        <v>1009</v>
      </c>
      <c r="J1641" s="1" t="s">
        <v>1010</v>
      </c>
      <c r="K1641" s="6" t="str">
        <f>"5.000.000,00"</f>
        <v>5.000.000,00</v>
      </c>
      <c r="L1641" s="6" t="str">
        <f>"1.250.000,00"</f>
        <v>1.250.000,00</v>
      </c>
      <c r="M1641" s="6" t="str">
        <f>"6.250.000,00"</f>
        <v>6.250.000,00</v>
      </c>
      <c r="N1641" s="7"/>
      <c r="O1641" s="7"/>
      <c r="P1641" s="6" t="str">
        <f>""</f>
        <v/>
      </c>
      <c r="Q1641" s="7"/>
      <c r="R1641" s="1"/>
      <c r="S1641" s="1" t="str">
        <f>"NOS-169/17"</f>
        <v>NOS-169/17</v>
      </c>
      <c r="T1641" s="2" t="s">
        <v>33</v>
      </c>
    </row>
    <row r="1642" spans="1:20" ht="38.25" x14ac:dyDescent="0.25">
      <c r="A1642" s="1">
        <v>1638</v>
      </c>
      <c r="B1642" s="1" t="str">
        <f>"2017-2897"</f>
        <v>2017-2897</v>
      </c>
      <c r="C1642" s="2" t="s">
        <v>1011</v>
      </c>
      <c r="D1642" s="1" t="s">
        <v>844</v>
      </c>
      <c r="E1642" s="3" t="str">
        <f>"2017/S 0F2-0027551"</f>
        <v>2017/S 0F2-0027551</v>
      </c>
      <c r="F1642" s="2" t="s">
        <v>23</v>
      </c>
      <c r="G1642" s="2" t="str">
        <f>CONCATENATE("KOM-EKO D.O.O.,"," RADNIČKA CESTA 228,"," 10000 ZAGREB,"," OIB: 27859052647")</f>
        <v>KOM-EKO D.O.O., RADNIČKA CESTA 228, 10000 ZAGREB, OIB: 27859052647</v>
      </c>
      <c r="H1642" s="4"/>
      <c r="I1642" s="1" t="s">
        <v>134</v>
      </c>
      <c r="J1642" s="1" t="s">
        <v>1012</v>
      </c>
      <c r="K1642" s="6" t="str">
        <f>"1.000.000,00"</f>
        <v>1.000.000,00</v>
      </c>
      <c r="L1642" s="6" t="str">
        <f>"250.000,00"</f>
        <v>250.000,00</v>
      </c>
      <c r="M1642" s="6" t="str">
        <f>"1.250.000,00"</f>
        <v>1.250.000,00</v>
      </c>
      <c r="N1642" s="7"/>
      <c r="O1642" s="7"/>
      <c r="P1642" s="6" t="str">
        <f>""</f>
        <v/>
      </c>
      <c r="Q1642" s="7"/>
      <c r="R1642" s="1"/>
      <c r="S1642" s="1" t="str">
        <f>"NOS-170-A/17"</f>
        <v>NOS-170-A/17</v>
      </c>
      <c r="T1642" s="2" t="s">
        <v>33</v>
      </c>
    </row>
    <row r="1643" spans="1:20" ht="38.25" x14ac:dyDescent="0.25">
      <c r="A1643" s="1">
        <v>1639</v>
      </c>
      <c r="B1643" s="1" t="str">
        <f>"2017-2897"</f>
        <v>2017-2897</v>
      </c>
      <c r="C1643" s="2" t="s">
        <v>1011</v>
      </c>
      <c r="D1643" s="1" t="s">
        <v>844</v>
      </c>
      <c r="E1643" s="3" t="str">
        <f>"2017/S 0F2-0027551"</f>
        <v>2017/S 0F2-0027551</v>
      </c>
      <c r="F1643" s="2" t="s">
        <v>23</v>
      </c>
      <c r="G1643" s="2" t="str">
        <f>CONCATENATE("IZGRADNJA FUTURA D.O.O.,"," LEDINSKA ULICA 35,"," 10255 DONJI STUPNIK,"," OIB: 14482540987")</f>
        <v>IZGRADNJA FUTURA D.O.O., LEDINSKA ULICA 35, 10255 DONJI STUPNIK, OIB: 14482540987</v>
      </c>
      <c r="H1643" s="4"/>
      <c r="I1643" s="1" t="s">
        <v>134</v>
      </c>
      <c r="J1643" s="1" t="s">
        <v>1012</v>
      </c>
      <c r="K1643" s="6" t="str">
        <f>"1.000.000,00"</f>
        <v>1.000.000,00</v>
      </c>
      <c r="L1643" s="6" t="str">
        <f>"250.000,00"</f>
        <v>250.000,00</v>
      </c>
      <c r="M1643" s="6" t="str">
        <f>"1.250.000,00"</f>
        <v>1.250.000,00</v>
      </c>
      <c r="N1643" s="7"/>
      <c r="O1643" s="7"/>
      <c r="P1643" s="6" t="str">
        <f>""</f>
        <v/>
      </c>
      <c r="Q1643" s="7"/>
      <c r="R1643" s="1"/>
      <c r="S1643" s="1" t="str">
        <f>"NOS-170-B/17"</f>
        <v>NOS-170-B/17</v>
      </c>
      <c r="T1643" s="2" t="s">
        <v>33</v>
      </c>
    </row>
    <row r="1644" spans="1:20" ht="38.25" x14ac:dyDescent="0.25">
      <c r="A1644" s="1">
        <v>1640</v>
      </c>
      <c r="B1644" s="1" t="str">
        <f>"2018-2856"</f>
        <v>2018-2856</v>
      </c>
      <c r="C1644" s="2" t="s">
        <v>1013</v>
      </c>
      <c r="D1644" s="1" t="s">
        <v>1014</v>
      </c>
      <c r="E1644" s="3" t="str">
        <f>"2018/S 0F2-0003678"</f>
        <v>2018/S 0F2-0003678</v>
      </c>
      <c r="F1644" s="2" t="s">
        <v>23</v>
      </c>
      <c r="G1644" s="2" t="str">
        <f>CONCATENATE("CS COMPUTER SYSTEMS D.O.O.,"," PREČKO 1/A,"," 10110 ZAGREB,"," OIB: 07989965722")</f>
        <v>CS COMPUTER SYSTEMS D.O.O., PREČKO 1/A, 10110 ZAGREB, OIB: 07989965722</v>
      </c>
      <c r="H1644" s="4"/>
      <c r="I1644" s="1" t="s">
        <v>1015</v>
      </c>
      <c r="J1644" s="1" t="s">
        <v>1016</v>
      </c>
      <c r="K1644" s="6" t="str">
        <f>"5.600.000,00"</f>
        <v>5.600.000,00</v>
      </c>
      <c r="L1644" s="6" t="str">
        <f>"1.400.000,00"</f>
        <v>1.400.000,00</v>
      </c>
      <c r="M1644" s="6" t="str">
        <f>"7.000.000,00"</f>
        <v>7.000.000,00</v>
      </c>
      <c r="N1644" s="7"/>
      <c r="O1644" s="7"/>
      <c r="P1644" s="6" t="str">
        <f>""</f>
        <v/>
      </c>
      <c r="Q1644" s="7"/>
      <c r="R1644" s="1"/>
      <c r="S1644" s="1" t="str">
        <f>"NOS-1/18"</f>
        <v>NOS-1/18</v>
      </c>
      <c r="T1644" s="2" t="s">
        <v>33</v>
      </c>
    </row>
    <row r="1645" spans="1:20" ht="25.5" x14ac:dyDescent="0.25">
      <c r="A1645" s="1">
        <v>1641</v>
      </c>
      <c r="B1645" s="1" t="str">
        <f>"2018-2856"</f>
        <v>2018-2856</v>
      </c>
      <c r="C1645" s="2" t="s">
        <v>1013</v>
      </c>
      <c r="D1645" s="4"/>
      <c r="E1645" s="3" t="str">
        <f>""</f>
        <v/>
      </c>
      <c r="F1645" s="2" t="s">
        <v>27</v>
      </c>
      <c r="G1645" s="2" t="str">
        <f>CONCATENATE("CS COMPUTER SYSTEMS D.O.O.,"," PREČKO 1/A,"," 10110 ZAGREB,"," OIB: 07989965722")</f>
        <v>CS COMPUTER SYSTEMS D.O.O., PREČKO 1/A, 10110 ZAGREB, OIB: 07989965722</v>
      </c>
      <c r="H1645" s="4"/>
      <c r="I1645" s="1" t="s">
        <v>1017</v>
      </c>
      <c r="J1645" s="1" t="s">
        <v>74</v>
      </c>
      <c r="K1645" s="6" t="str">
        <f>"384.000,00"</f>
        <v>384.000,00</v>
      </c>
      <c r="L1645" s="6" t="str">
        <f>"96.000,00"</f>
        <v>96.000,00</v>
      </c>
      <c r="M1645" s="6" t="str">
        <f>"480.000,00"</f>
        <v>480.000,00</v>
      </c>
      <c r="N1645" s="5">
        <v>43616</v>
      </c>
      <c r="O1645" s="7"/>
      <c r="P1645" s="6" t="str">
        <f>"480.000,00"</f>
        <v>480.000,00</v>
      </c>
      <c r="Q1645" s="7"/>
      <c r="R1645" s="1"/>
      <c r="S1645" s="1" t="str">
        <f>"2-18/NOS-1/18"</f>
        <v>2-18/NOS-1/18</v>
      </c>
      <c r="T1645" s="2" t="s">
        <v>33</v>
      </c>
    </row>
    <row r="1646" spans="1:20" ht="25.5" x14ac:dyDescent="0.25">
      <c r="A1646" s="1">
        <v>1642</v>
      </c>
      <c r="B1646" s="1" t="str">
        <f>"2018-2856"</f>
        <v>2018-2856</v>
      </c>
      <c r="C1646" s="2" t="s">
        <v>1013</v>
      </c>
      <c r="D1646" s="4"/>
      <c r="E1646" s="3" t="str">
        <f>""</f>
        <v/>
      </c>
      <c r="F1646" s="2" t="s">
        <v>27</v>
      </c>
      <c r="G1646" s="2" t="str">
        <f>CONCATENATE("CS COMPUTER SYSTEMS D.O.O.,"," PREČKO 1/A,"," 10110 ZAGREB,"," OIB: 07989965722")</f>
        <v>CS COMPUTER SYSTEMS D.O.O., PREČKO 1/A, 10110 ZAGREB, OIB: 07989965722</v>
      </c>
      <c r="H1646" s="4"/>
      <c r="I1646" s="1" t="s">
        <v>1018</v>
      </c>
      <c r="J1646" s="1" t="s">
        <v>114</v>
      </c>
      <c r="K1646" s="6" t="str">
        <f>"1.598.255,07"</f>
        <v>1.598.255,07</v>
      </c>
      <c r="L1646" s="6" t="str">
        <f>"399.563,77"</f>
        <v>399.563,77</v>
      </c>
      <c r="M1646" s="6" t="str">
        <f>"1.997.818,84"</f>
        <v>1.997.818,84</v>
      </c>
      <c r="N1646" s="5">
        <v>43616</v>
      </c>
      <c r="O1646" s="7"/>
      <c r="P1646" s="6" t="str">
        <f>"1.988.432,21"</f>
        <v>1.988.432,21</v>
      </c>
      <c r="Q1646" s="7"/>
      <c r="R1646" s="1"/>
      <c r="S1646" s="1" t="str">
        <f>"6-18/NOS-1/18"</f>
        <v>6-18/NOS-1/18</v>
      </c>
      <c r="T1646" s="2" t="s">
        <v>33</v>
      </c>
    </row>
    <row r="1647" spans="1:20" ht="25.5" x14ac:dyDescent="0.25">
      <c r="A1647" s="1">
        <v>1643</v>
      </c>
      <c r="B1647" s="1" t="str">
        <f>"2018-2856"</f>
        <v>2018-2856</v>
      </c>
      <c r="C1647" s="2" t="s">
        <v>1013</v>
      </c>
      <c r="D1647" s="4"/>
      <c r="E1647" s="3" t="str">
        <f>""</f>
        <v/>
      </c>
      <c r="F1647" s="2" t="s">
        <v>27</v>
      </c>
      <c r="G1647" s="2" t="str">
        <f>CONCATENATE("CS COMPUTER SYSTEMS D.O.O.,"," PREČKO 1/A,"," 10110 ZAGREB,"," OIB: 07989965722")</f>
        <v>CS COMPUTER SYSTEMS D.O.O., PREČKO 1/A, 10110 ZAGREB, OIB: 07989965722</v>
      </c>
      <c r="H1647" s="4"/>
      <c r="I1647" s="1" t="s">
        <v>263</v>
      </c>
      <c r="J1647" s="1" t="s">
        <v>114</v>
      </c>
      <c r="K1647" s="6" t="str">
        <f>"644.286,54"</f>
        <v>644.286,54</v>
      </c>
      <c r="L1647" s="6" t="str">
        <f>"161.071,64"</f>
        <v>161.071,64</v>
      </c>
      <c r="M1647" s="6" t="str">
        <f>"805.358,18"</f>
        <v>805.358,18</v>
      </c>
      <c r="N1647" s="5">
        <v>43677</v>
      </c>
      <c r="O1647" s="7"/>
      <c r="P1647" s="6" t="str">
        <f>"394.045,68"</f>
        <v>394.045,68</v>
      </c>
      <c r="Q1647" s="7"/>
      <c r="R1647" s="1"/>
      <c r="S1647" s="1" t="str">
        <f>"8-18/NOS-1/18"</f>
        <v>8-18/NOS-1/18</v>
      </c>
      <c r="T1647" s="2" t="s">
        <v>33</v>
      </c>
    </row>
    <row r="1648" spans="1:20" ht="51" x14ac:dyDescent="0.25">
      <c r="A1648" s="1">
        <v>1644</v>
      </c>
      <c r="B1648" s="1" t="str">
        <f>"2018-2856"</f>
        <v>2018-2856</v>
      </c>
      <c r="C1648" s="2" t="s">
        <v>1019</v>
      </c>
      <c r="D1648" s="1" t="s">
        <v>1014</v>
      </c>
      <c r="E1648" s="3" t="str">
        <f>""</f>
        <v/>
      </c>
      <c r="F1648" s="2" t="s">
        <v>52</v>
      </c>
      <c r="G1648" s="2" t="str">
        <f>CONCATENATE("CS COMPUTER SYSTEMS D.O.O.,"," PREČKO 1/A,"," 10110 ZAGREB,"," OIB: 07989965722")</f>
        <v>CS COMPUTER SYSTEMS D.O.O., PREČKO 1/A, 10110 ZAGREB, OIB: 07989965722</v>
      </c>
      <c r="H1648" s="4"/>
      <c r="I1648" s="1" t="s">
        <v>53</v>
      </c>
      <c r="J1648" s="1" t="s">
        <v>114</v>
      </c>
      <c r="K1648" s="6" t="str">
        <f>"90.824,23"</f>
        <v>90.824,23</v>
      </c>
      <c r="L1648" s="6" t="str">
        <f>"22.706,06"</f>
        <v>22.706,06</v>
      </c>
      <c r="M1648" s="6" t="str">
        <f>"113.530,29"</f>
        <v>113.530,29</v>
      </c>
      <c r="N1648" s="5">
        <v>43553</v>
      </c>
      <c r="O1648" s="7"/>
      <c r="P1648" s="6" t="str">
        <f>"113.530,29"</f>
        <v>113.530,29</v>
      </c>
      <c r="Q1648" s="7"/>
      <c r="R1648" s="1"/>
      <c r="S1648" s="1" t="str">
        <f>"6-18/NOS-1/18#1"</f>
        <v>6-18/NOS-1/18#1</v>
      </c>
      <c r="T1648" s="2" t="s">
        <v>33</v>
      </c>
    </row>
    <row r="1649" spans="1:20" ht="89.25" x14ac:dyDescent="0.25">
      <c r="A1649" s="1">
        <v>1645</v>
      </c>
      <c r="B1649" s="1" t="str">
        <f>"2018-2170"</f>
        <v>2018-2170</v>
      </c>
      <c r="C1649" s="2" t="s">
        <v>1020</v>
      </c>
      <c r="D1649" s="1" t="s">
        <v>1021</v>
      </c>
      <c r="E1649" s="3" t="str">
        <f>"2018/S 0F2-0005959"</f>
        <v>2018/S 0F2-0005959</v>
      </c>
      <c r="F1649" s="2" t="s">
        <v>23</v>
      </c>
      <c r="G1649" s="2" t="str">
        <f>CONCATENATE("HEP-TOPLINARSTVO D.O.O.,"," MIŠEVEČKA 15A,"," 10000 ZAGREB,"," OIB: 159070629")</f>
        <v>HEP-TOPLINARSTVO D.O.O., MIŠEVEČKA 15A, 10000 ZAGREB, OIB: 159070629</v>
      </c>
      <c r="H1649" s="4"/>
      <c r="I1649" s="1" t="s">
        <v>1022</v>
      </c>
      <c r="J1649" s="1" t="s">
        <v>1023</v>
      </c>
      <c r="K1649" s="6" t="str">
        <f>"17.750.000,00"</f>
        <v>17.750.000,00</v>
      </c>
      <c r="L1649" s="6" t="str">
        <f>"4.437.500,00"</f>
        <v>4.437.500,00</v>
      </c>
      <c r="M1649" s="6" t="str">
        <f>"22.187.500,00"</f>
        <v>22.187.500,00</v>
      </c>
      <c r="N1649" s="7"/>
      <c r="O1649" s="7"/>
      <c r="P1649" s="6" t="str">
        <f>""</f>
        <v/>
      </c>
      <c r="Q1649" s="7"/>
      <c r="R1649" s="1"/>
      <c r="S1649" s="1" t="str">
        <f>"NOS-2/18"</f>
        <v>NOS-2/18</v>
      </c>
      <c r="T1649" s="2" t="s">
        <v>667</v>
      </c>
    </row>
    <row r="1650" spans="1:20" ht="25.5" x14ac:dyDescent="0.25">
      <c r="A1650" s="1">
        <v>1646</v>
      </c>
      <c r="B1650" s="1" t="str">
        <f>"2018-2170"</f>
        <v>2018-2170</v>
      </c>
      <c r="C1650" s="2" t="s">
        <v>1020</v>
      </c>
      <c r="D1650" s="4"/>
      <c r="E1650" s="3" t="str">
        <f>""</f>
        <v/>
      </c>
      <c r="F1650" s="2" t="s">
        <v>27</v>
      </c>
      <c r="G1650" s="2" t="str">
        <f>CONCATENATE("HEP-TOPLINARSTVO D.O.O.,"," MIŠEVEČKA 15A,"," 10000 ZAGREB,"," OIB: 159070629")</f>
        <v>HEP-TOPLINARSTVO D.O.O., MIŠEVEČKA 15A, 10000 ZAGREB, OIB: 159070629</v>
      </c>
      <c r="H1650" s="4"/>
      <c r="I1650" s="1" t="s">
        <v>225</v>
      </c>
      <c r="J1650" s="1" t="s">
        <v>284</v>
      </c>
      <c r="K1650" s="6" t="str">
        <f>"1.287.691,01"</f>
        <v>1.287.691,01</v>
      </c>
      <c r="L1650" s="6" t="str">
        <f>"321.922,75"</f>
        <v>321.922,75</v>
      </c>
      <c r="M1650" s="6" t="str">
        <f>"1.609.613,76"</f>
        <v>1.609.613,76</v>
      </c>
      <c r="N1650" s="1" t="s">
        <v>117</v>
      </c>
      <c r="O1650" s="7"/>
      <c r="P1650" s="6" t="str">
        <f>""</f>
        <v/>
      </c>
      <c r="Q1650" s="7"/>
      <c r="R1650" s="1"/>
      <c r="S1650" s="1" t="str">
        <f>"1-18/NOS-2/18"</f>
        <v>1-18/NOS-2/18</v>
      </c>
      <c r="T1650" s="2" t="s">
        <v>29</v>
      </c>
    </row>
    <row r="1651" spans="1:20" ht="38.25" x14ac:dyDescent="0.25">
      <c r="A1651" s="1">
        <v>1647</v>
      </c>
      <c r="B1651" s="1" t="str">
        <f>"2018-1266"</f>
        <v>2018-1266</v>
      </c>
      <c r="C1651" s="2" t="s">
        <v>1024</v>
      </c>
      <c r="D1651" s="1" t="s">
        <v>223</v>
      </c>
      <c r="E1651" s="3" t="str">
        <f>"2018/S 0F2-0005653"</f>
        <v>2018/S 0F2-0005653</v>
      </c>
      <c r="F1651" s="2" t="s">
        <v>23</v>
      </c>
      <c r="G1651" s="2" t="str">
        <f>CONCATENATE("RIS D.O.O.,"," PILEPČIĆ 10,"," 51215 KASTAV,"," OIB: 77917801452")</f>
        <v>RIS D.O.O., PILEPČIĆ 10, 51215 KASTAV, OIB: 77917801452</v>
      </c>
      <c r="H1651" s="4"/>
      <c r="I1651" s="1" t="s">
        <v>1022</v>
      </c>
      <c r="J1651" s="1" t="s">
        <v>1023</v>
      </c>
      <c r="K1651" s="6" t="str">
        <f>"2.800.000,00"</f>
        <v>2.800.000,00</v>
      </c>
      <c r="L1651" s="6" t="str">
        <f>"700.000,00"</f>
        <v>700.000,00</v>
      </c>
      <c r="M1651" s="6" t="str">
        <f>"3.500.000,00"</f>
        <v>3.500.000,00</v>
      </c>
      <c r="N1651" s="7"/>
      <c r="O1651" s="7"/>
      <c r="P1651" s="6" t="str">
        <f>""</f>
        <v/>
      </c>
      <c r="Q1651" s="7"/>
      <c r="R1651" s="1"/>
      <c r="S1651" s="1" t="str">
        <f>"NOS-3/18"</f>
        <v>NOS-3/18</v>
      </c>
      <c r="T1651" s="2" t="s">
        <v>60</v>
      </c>
    </row>
    <row r="1652" spans="1:20" ht="25.5" x14ac:dyDescent="0.25">
      <c r="A1652" s="1">
        <v>1648</v>
      </c>
      <c r="B1652" s="1" t="str">
        <f>"2018-1266"</f>
        <v>2018-1266</v>
      </c>
      <c r="C1652" s="2" t="s">
        <v>1024</v>
      </c>
      <c r="D1652" s="4"/>
      <c r="E1652" s="3" t="str">
        <f>""</f>
        <v/>
      </c>
      <c r="F1652" s="2" t="s">
        <v>27</v>
      </c>
      <c r="G1652" s="2" t="str">
        <f>CONCATENATE("RIS D.O.O.,"," PILEPČIĆ 10,"," 51215 KASTAV,"," OIB: 77917801452")</f>
        <v>RIS D.O.O., PILEPČIĆ 10, 51215 KASTAV, OIB: 77917801452</v>
      </c>
      <c r="H1652" s="4"/>
      <c r="I1652" s="1" t="s">
        <v>379</v>
      </c>
      <c r="J1652" s="1" t="s">
        <v>71</v>
      </c>
      <c r="K1652" s="6" t="str">
        <f>"349.998,00"</f>
        <v>349.998,00</v>
      </c>
      <c r="L1652" s="6" t="str">
        <f>"87.499,50"</f>
        <v>87.499,50</v>
      </c>
      <c r="M1652" s="6" t="str">
        <f>"437.497,50"</f>
        <v>437.497,50</v>
      </c>
      <c r="N1652" s="5">
        <v>43524</v>
      </c>
      <c r="O1652" s="7"/>
      <c r="P1652" s="6" t="str">
        <f>"291.665,00"</f>
        <v>291.665,00</v>
      </c>
      <c r="Q1652" s="7"/>
      <c r="R1652" s="1"/>
      <c r="S1652" s="1" t="str">
        <f>"3-18/NOS-3/18"</f>
        <v>3-18/NOS-3/18</v>
      </c>
      <c r="T1652" s="2" t="s">
        <v>60</v>
      </c>
    </row>
    <row r="1653" spans="1:20" ht="25.5" x14ac:dyDescent="0.25">
      <c r="A1653" s="1">
        <v>1649</v>
      </c>
      <c r="B1653" s="1" t="str">
        <f>"2018-1266"</f>
        <v>2018-1266</v>
      </c>
      <c r="C1653" s="2" t="s">
        <v>1024</v>
      </c>
      <c r="D1653" s="4"/>
      <c r="E1653" s="3" t="str">
        <f>""</f>
        <v/>
      </c>
      <c r="F1653" s="2" t="s">
        <v>27</v>
      </c>
      <c r="G1653" s="2" t="str">
        <f>CONCATENATE("RIS D.O.O.,"," PILEPČIĆ 10,"," 51215 KASTAV,"," OIB: 77917801452")</f>
        <v>RIS D.O.O., PILEPČIĆ 10, 51215 KASTAV, OIB: 77917801452</v>
      </c>
      <c r="H1653" s="4"/>
      <c r="I1653" s="1" t="s">
        <v>351</v>
      </c>
      <c r="J1653" s="1" t="s">
        <v>395</v>
      </c>
      <c r="K1653" s="6" t="str">
        <f>"699.996,00"</f>
        <v>699.996,00</v>
      </c>
      <c r="L1653" s="6" t="str">
        <f>"174.999,00"</f>
        <v>174.999,00</v>
      </c>
      <c r="M1653" s="6" t="str">
        <f>"874.995,00"</f>
        <v>874.995,00</v>
      </c>
      <c r="N1653" s="5">
        <v>43708</v>
      </c>
      <c r="O1653" s="7"/>
      <c r="P1653" s="6" t="str">
        <f>"874.995,00"</f>
        <v>874.995,00</v>
      </c>
      <c r="Q1653" s="7"/>
      <c r="R1653" s="1"/>
      <c r="S1653" s="1" t="str">
        <f>"1-19/NOS-3/18"</f>
        <v>1-19/NOS-3/18</v>
      </c>
      <c r="T1653" s="2" t="s">
        <v>60</v>
      </c>
    </row>
    <row r="1654" spans="1:20" ht="76.5" x14ac:dyDescent="0.25">
      <c r="A1654" s="1">
        <v>1650</v>
      </c>
      <c r="B1654" s="1" t="str">
        <f t="shared" ref="B1654:B1660" si="161">"2018-1929"</f>
        <v>2018-1929</v>
      </c>
      <c r="C1654" s="2" t="s">
        <v>1025</v>
      </c>
      <c r="D1654" s="1" t="s">
        <v>1026</v>
      </c>
      <c r="E1654" s="3" t="str">
        <f>"2018/S 0F2-0008517"</f>
        <v>2018/S 0F2-0008517</v>
      </c>
      <c r="F1654" s="2" t="s">
        <v>23</v>
      </c>
      <c r="G1654" s="2" t="str">
        <f>CONCATENATE("THYSSENKRUPP DIZALA D.O.O.,"," FALLEROVO ŠETALIŠTE 22,"," 10000 ZAGREB,"," OIB: 03861531654",CHAR(10),"OTIS DIZALA D.O.O.,"," PRILAZ VLADISLAVA BRAJKOVIĆA 15,"," 10000 ZAGREB,"," OIB: 76080865307")</f>
        <v>THYSSENKRUPP DIZALA D.O.O., FALLEROVO ŠETALIŠTE 22, 10000 ZAGREB, OIB: 03861531654
OTIS DIZALA D.O.O., PRILAZ VLADISLAVA BRAJKOVIĆA 15, 10000 ZAGREB, OIB: 76080865307</v>
      </c>
      <c r="H1654" s="4"/>
      <c r="I1654" s="1" t="s">
        <v>84</v>
      </c>
      <c r="J1654" s="1" t="s">
        <v>1027</v>
      </c>
      <c r="K1654" s="6" t="str">
        <f>"1.600.000,00"</f>
        <v>1.600.000,00</v>
      </c>
      <c r="L1654" s="6" t="str">
        <f>"400.000,00"</f>
        <v>400.000,00</v>
      </c>
      <c r="M1654" s="6" t="str">
        <f>"2.000.000,00"</f>
        <v>2.000.000,00</v>
      </c>
      <c r="N1654" s="7"/>
      <c r="O1654" s="7"/>
      <c r="P1654" s="6" t="str">
        <f>""</f>
        <v/>
      </c>
      <c r="Q1654" s="7"/>
      <c r="R1654" s="1"/>
      <c r="S1654" s="1" t="str">
        <f>"NOS-4/18"</f>
        <v>NOS-4/18</v>
      </c>
      <c r="T1654" s="2" t="s">
        <v>65</v>
      </c>
    </row>
    <row r="1655" spans="1:20" ht="38.25" x14ac:dyDescent="0.25">
      <c r="A1655" s="1">
        <v>1651</v>
      </c>
      <c r="B1655" s="1" t="str">
        <f t="shared" si="161"/>
        <v>2018-1929</v>
      </c>
      <c r="C1655" s="2" t="s">
        <v>1025</v>
      </c>
      <c r="D1655" s="1" t="s">
        <v>1026</v>
      </c>
      <c r="E1655" s="3" t="str">
        <f>""</f>
        <v/>
      </c>
      <c r="F1655" s="2" t="s">
        <v>27</v>
      </c>
      <c r="G1655" s="2" t="str">
        <f t="shared" ref="G1655:G1660" si="162">CONCATENATE("OTIS DIZALA D.O.O.,"," PRILAZ VLADISLAVA BRAJKOVIĆA 15,"," 10000 ZAGREB,"," OIB: 76080865307")</f>
        <v>OTIS DIZALA D.O.O., PRILAZ VLADISLAVA BRAJKOVIĆA 15, 10000 ZAGREB, OIB: 76080865307</v>
      </c>
      <c r="H1655" s="4"/>
      <c r="I1655" s="1" t="s">
        <v>1028</v>
      </c>
      <c r="J1655" s="1" t="s">
        <v>64</v>
      </c>
      <c r="K1655" s="6" t="str">
        <f>"164.280,00"</f>
        <v>164.280,00</v>
      </c>
      <c r="L1655" s="6" t="str">
        <f>"41.070,00"</f>
        <v>41.070,00</v>
      </c>
      <c r="M1655" s="6" t="str">
        <f>"205.350,00"</f>
        <v>205.350,00</v>
      </c>
      <c r="N1655" s="5">
        <v>43619</v>
      </c>
      <c r="O1655" s="7"/>
      <c r="P1655" s="6" t="str">
        <f>"111.750,00"</f>
        <v>111.750,00</v>
      </c>
      <c r="Q1655" s="7"/>
      <c r="R1655" s="1"/>
      <c r="S1655" s="1" t="str">
        <f>"1-18/NOS-4/18"</f>
        <v>1-18/NOS-4/18</v>
      </c>
      <c r="T1655" s="2" t="s">
        <v>65</v>
      </c>
    </row>
    <row r="1656" spans="1:20" ht="38.25" x14ac:dyDescent="0.25">
      <c r="A1656" s="1">
        <v>1652</v>
      </c>
      <c r="B1656" s="1" t="str">
        <f t="shared" si="161"/>
        <v>2018-1929</v>
      </c>
      <c r="C1656" s="2" t="s">
        <v>1025</v>
      </c>
      <c r="D1656" s="4"/>
      <c r="E1656" s="3" t="str">
        <f>""</f>
        <v/>
      </c>
      <c r="F1656" s="2" t="s">
        <v>27</v>
      </c>
      <c r="G1656" s="2" t="str">
        <f t="shared" si="162"/>
        <v>OTIS DIZALA D.O.O., PRILAZ VLADISLAVA BRAJKOVIĆA 15, 10000 ZAGREB, OIB: 76080865307</v>
      </c>
      <c r="H1656" s="4"/>
      <c r="I1656" s="1" t="s">
        <v>266</v>
      </c>
      <c r="J1656" s="1" t="s">
        <v>333</v>
      </c>
      <c r="K1656" s="6" t="str">
        <f>"221.890,00"</f>
        <v>221.890,00</v>
      </c>
      <c r="L1656" s="6" t="str">
        <f>"55.472,50"</f>
        <v>55.472,50</v>
      </c>
      <c r="M1656" s="6" t="str">
        <f>"277.362,50"</f>
        <v>277.362,50</v>
      </c>
      <c r="N1656" s="1" t="s">
        <v>117</v>
      </c>
      <c r="O1656" s="7"/>
      <c r="P1656" s="6" t="str">
        <f>""</f>
        <v/>
      </c>
      <c r="Q1656" s="7"/>
      <c r="R1656" s="1"/>
      <c r="S1656" s="1" t="str">
        <f>"2-19/NOS-4/18"</f>
        <v>2-19/NOS-4/18</v>
      </c>
      <c r="T1656" s="2" t="s">
        <v>65</v>
      </c>
    </row>
    <row r="1657" spans="1:20" ht="38.25" x14ac:dyDescent="0.25">
      <c r="A1657" s="1">
        <v>1653</v>
      </c>
      <c r="B1657" s="1" t="str">
        <f t="shared" si="161"/>
        <v>2018-1929</v>
      </c>
      <c r="C1657" s="2" t="s">
        <v>1025</v>
      </c>
      <c r="D1657" s="1" t="s">
        <v>1026</v>
      </c>
      <c r="E1657" s="3" t="str">
        <f>""</f>
        <v/>
      </c>
      <c r="F1657" s="2" t="s">
        <v>27</v>
      </c>
      <c r="G1657" s="2" t="str">
        <f t="shared" si="162"/>
        <v>OTIS DIZALA D.O.O., PRILAZ VLADISLAVA BRAJKOVIĆA 15, 10000 ZAGREB, OIB: 76080865307</v>
      </c>
      <c r="H1657" s="4"/>
      <c r="I1657" s="1" t="s">
        <v>351</v>
      </c>
      <c r="J1657" s="1" t="s">
        <v>121</v>
      </c>
      <c r="K1657" s="6" t="str">
        <f>"4.269,00"</f>
        <v>4.269,00</v>
      </c>
      <c r="L1657" s="6" t="str">
        <f>"1.067,25"</f>
        <v>1.067,25</v>
      </c>
      <c r="M1657" s="6" t="str">
        <f>"5.336,25"</f>
        <v>5.336,25</v>
      </c>
      <c r="N1657" s="5">
        <v>43524</v>
      </c>
      <c r="O1657" s="7"/>
      <c r="P1657" s="6" t="str">
        <f>"5.336,25"</f>
        <v>5.336,25</v>
      </c>
      <c r="Q1657" s="7"/>
      <c r="R1657" s="1"/>
      <c r="S1657" s="1" t="str">
        <f>"1-19/NOS-4/18"</f>
        <v>1-19/NOS-4/18</v>
      </c>
      <c r="T1657" s="2" t="s">
        <v>65</v>
      </c>
    </row>
    <row r="1658" spans="1:20" ht="38.25" x14ac:dyDescent="0.25">
      <c r="A1658" s="1">
        <v>1654</v>
      </c>
      <c r="B1658" s="1" t="str">
        <f t="shared" si="161"/>
        <v>2018-1929</v>
      </c>
      <c r="C1658" s="2" t="s">
        <v>1025</v>
      </c>
      <c r="D1658" s="1" t="s">
        <v>1026</v>
      </c>
      <c r="E1658" s="3" t="str">
        <f>""</f>
        <v/>
      </c>
      <c r="F1658" s="2" t="s">
        <v>27</v>
      </c>
      <c r="G1658" s="2" t="str">
        <f t="shared" si="162"/>
        <v>OTIS DIZALA D.O.O., PRILAZ VLADISLAVA BRAJKOVIĆA 15, 10000 ZAGREB, OIB: 76080865307</v>
      </c>
      <c r="H1658" s="4"/>
      <c r="I1658" s="1" t="s">
        <v>329</v>
      </c>
      <c r="J1658" s="1" t="s">
        <v>121</v>
      </c>
      <c r="K1658" s="6" t="str">
        <f>"2.398,00"</f>
        <v>2.398,00</v>
      </c>
      <c r="L1658" s="6" t="str">
        <f>"599,50"</f>
        <v>599,50</v>
      </c>
      <c r="M1658" s="6" t="str">
        <f>"2.997,50"</f>
        <v>2.997,50</v>
      </c>
      <c r="N1658" s="5">
        <v>43580</v>
      </c>
      <c r="O1658" s="7"/>
      <c r="P1658" s="6" t="str">
        <f>"2.997,50"</f>
        <v>2.997,50</v>
      </c>
      <c r="Q1658" s="7"/>
      <c r="R1658" s="1"/>
      <c r="S1658" s="1" t="str">
        <f>"4-19/NOS-4/18"</f>
        <v>4-19/NOS-4/18</v>
      </c>
      <c r="T1658" s="2" t="s">
        <v>65</v>
      </c>
    </row>
    <row r="1659" spans="1:20" ht="38.25" x14ac:dyDescent="0.25">
      <c r="A1659" s="1">
        <v>1655</v>
      </c>
      <c r="B1659" s="1" t="str">
        <f t="shared" si="161"/>
        <v>2018-1929</v>
      </c>
      <c r="C1659" s="2" t="s">
        <v>1025</v>
      </c>
      <c r="D1659" s="1" t="s">
        <v>1026</v>
      </c>
      <c r="E1659" s="3" t="str">
        <f>""</f>
        <v/>
      </c>
      <c r="F1659" s="2" t="s">
        <v>27</v>
      </c>
      <c r="G1659" s="2" t="str">
        <f t="shared" si="162"/>
        <v>OTIS DIZALA D.O.O., PRILAZ VLADISLAVA BRAJKOVIĆA 15, 10000 ZAGREB, OIB: 76080865307</v>
      </c>
      <c r="H1659" s="4"/>
      <c r="I1659" s="1" t="s">
        <v>73</v>
      </c>
      <c r="J1659" s="1" t="s">
        <v>436</v>
      </c>
      <c r="K1659" s="6" t="str">
        <f>"10.876,00"</f>
        <v>10.876,00</v>
      </c>
      <c r="L1659" s="6" t="str">
        <f>"0,00"</f>
        <v>0,00</v>
      </c>
      <c r="M1659" s="6" t="str">
        <f>"0,00"</f>
        <v>0,00</v>
      </c>
      <c r="N1659" s="1" t="s">
        <v>117</v>
      </c>
      <c r="O1659" s="7"/>
      <c r="P1659" s="6" t="str">
        <f>"0,00"</f>
        <v>0,00</v>
      </c>
      <c r="Q1659" s="7"/>
      <c r="R1659" s="1"/>
      <c r="S1659" s="1" t="str">
        <f>"5-19/NOS-4/18"</f>
        <v>5-19/NOS-4/18</v>
      </c>
      <c r="T1659" s="2" t="s">
        <v>65</v>
      </c>
    </row>
    <row r="1660" spans="1:20" ht="38.25" x14ac:dyDescent="0.25">
      <c r="A1660" s="1">
        <v>1656</v>
      </c>
      <c r="B1660" s="1" t="str">
        <f t="shared" si="161"/>
        <v>2018-1929</v>
      </c>
      <c r="C1660" s="2" t="s">
        <v>1025</v>
      </c>
      <c r="D1660" s="1" t="s">
        <v>1026</v>
      </c>
      <c r="E1660" s="3" t="str">
        <f>""</f>
        <v/>
      </c>
      <c r="F1660" s="2" t="s">
        <v>27</v>
      </c>
      <c r="G1660" s="2" t="str">
        <f t="shared" si="162"/>
        <v>OTIS DIZALA D.O.O., PRILAZ VLADISLAVA BRAJKOVIĆA 15, 10000 ZAGREB, OIB: 76080865307</v>
      </c>
      <c r="H1660" s="4"/>
      <c r="I1660" s="1" t="s">
        <v>320</v>
      </c>
      <c r="J1660" s="1" t="s">
        <v>251</v>
      </c>
      <c r="K1660" s="6" t="str">
        <f>"4.339,00"</f>
        <v>4.339,00</v>
      </c>
      <c r="L1660" s="6" t="str">
        <f>"1.084,75"</f>
        <v>1.084,75</v>
      </c>
      <c r="M1660" s="6" t="str">
        <f>"5.423,75"</f>
        <v>5.423,75</v>
      </c>
      <c r="N1660" s="5">
        <v>43619</v>
      </c>
      <c r="O1660" s="7"/>
      <c r="P1660" s="6" t="str">
        <f>"5.423,75"</f>
        <v>5.423,75</v>
      </c>
      <c r="Q1660" s="7"/>
      <c r="R1660" s="1"/>
      <c r="S1660" s="1" t="str">
        <f>"6-19/NOS-4/18"</f>
        <v>6-19/NOS-4/18</v>
      </c>
      <c r="T1660" s="2" t="s">
        <v>65</v>
      </c>
    </row>
    <row r="1661" spans="1:20" ht="89.25" x14ac:dyDescent="0.25">
      <c r="A1661" s="1">
        <v>1657</v>
      </c>
      <c r="B1661" s="1" t="str">
        <f>"2018-1278"</f>
        <v>2018-1278</v>
      </c>
      <c r="C1661" s="2" t="s">
        <v>1029</v>
      </c>
      <c r="D1661" s="1" t="s">
        <v>1030</v>
      </c>
      <c r="E1661" s="3" t="str">
        <f>"2018/S 0F2-0007895"</f>
        <v>2018/S 0F2-0007895</v>
      </c>
      <c r="F1661" s="2" t="s">
        <v>23</v>
      </c>
      <c r="G1661" s="2" t="str">
        <f>CONCATENATE("SMIT-COMMERCE D.O.O.,"," GORNJOSTUPNIČKA 9B,"," 10255 GORNJI STUPNIK,"," OIB: 95243482140",CHAR(10),"VODOSKOK D.D.,"," ČULINEČKA CESTA 221/C,"," 10040 ZAGREB,"," OIB: 34134218058",CHAR(10),"VODOPLAST PROMET D.O.O.,"," DUMOVEČKA 16,"," 10360 SESVETE,"," OIB: 96777245313")</f>
        <v>SMIT-COMMERCE D.O.O., GORNJOSTUPNIČKA 9B, 10255 GORNJI STUPNIK, OIB: 95243482140
VODOSKOK D.D., ČULINEČKA CESTA 221/C, 10040 ZAGREB, OIB: 34134218058
VODOPLAST PROMET D.O.O., DUMOVEČKA 16, 10360 SESVETE, OIB: 96777245313</v>
      </c>
      <c r="H1661" s="4"/>
      <c r="I1661" s="1" t="s">
        <v>85</v>
      </c>
      <c r="J1661" s="1" t="s">
        <v>1031</v>
      </c>
      <c r="K1661" s="6" t="str">
        <f>"1.000.000,00"</f>
        <v>1.000.000,00</v>
      </c>
      <c r="L1661" s="6" t="str">
        <f>"250.000,00"</f>
        <v>250.000,00</v>
      </c>
      <c r="M1661" s="6" t="str">
        <f>"1.250.000,00"</f>
        <v>1.250.000,00</v>
      </c>
      <c r="N1661" s="7"/>
      <c r="O1661" s="7"/>
      <c r="P1661" s="6" t="str">
        <f>""</f>
        <v/>
      </c>
      <c r="Q1661" s="7"/>
      <c r="R1661" s="1"/>
      <c r="S1661" s="1" t="str">
        <f>"NOS-5/18"</f>
        <v>NOS-5/18</v>
      </c>
      <c r="T1661" s="2" t="s">
        <v>29</v>
      </c>
    </row>
    <row r="1662" spans="1:20" ht="25.5" x14ac:dyDescent="0.25">
      <c r="A1662" s="1">
        <v>1658</v>
      </c>
      <c r="B1662" s="1" t="str">
        <f>"2018-1278"</f>
        <v>2018-1278</v>
      </c>
      <c r="C1662" s="2" t="s">
        <v>1029</v>
      </c>
      <c r="D1662" s="1" t="s">
        <v>1030</v>
      </c>
      <c r="E1662" s="3" t="str">
        <f>""</f>
        <v/>
      </c>
      <c r="F1662" s="2" t="s">
        <v>27</v>
      </c>
      <c r="G1662" s="2" t="str">
        <f>CONCATENATE("VODOSKOK D.D.,"," ČULINEČKA CESTA 221/C,"," 10040 ZAGREB,"," OIB: 34134218058")</f>
        <v>VODOSKOK D.D., ČULINEČKA CESTA 221/C, 10040 ZAGREB, OIB: 34134218058</v>
      </c>
      <c r="H1662" s="4"/>
      <c r="I1662" s="1" t="s">
        <v>343</v>
      </c>
      <c r="J1662" s="1" t="s">
        <v>64</v>
      </c>
      <c r="K1662" s="6" t="str">
        <f>"16.930,00"</f>
        <v>16.930,00</v>
      </c>
      <c r="L1662" s="6" t="str">
        <f>"4.232,50"</f>
        <v>4.232,50</v>
      </c>
      <c r="M1662" s="6" t="str">
        <f>"21.162,50"</f>
        <v>21.162,50</v>
      </c>
      <c r="N1662" s="5">
        <v>43657</v>
      </c>
      <c r="O1662" s="7"/>
      <c r="P1662" s="6" t="str">
        <f>"21.162,50"</f>
        <v>21.162,50</v>
      </c>
      <c r="Q1662" s="7"/>
      <c r="R1662" s="1"/>
      <c r="S1662" s="1" t="str">
        <f>"1-19/NOS-5/18"</f>
        <v>1-19/NOS-5/18</v>
      </c>
      <c r="T1662" s="2" t="s">
        <v>29</v>
      </c>
    </row>
    <row r="1663" spans="1:20" ht="25.5" x14ac:dyDescent="0.25">
      <c r="A1663" s="1">
        <v>1659</v>
      </c>
      <c r="B1663" s="1" t="str">
        <f>"2018-1278"</f>
        <v>2018-1278</v>
      </c>
      <c r="C1663" s="2" t="s">
        <v>1029</v>
      </c>
      <c r="D1663" s="1" t="s">
        <v>1030</v>
      </c>
      <c r="E1663" s="3" t="str">
        <f>""</f>
        <v/>
      </c>
      <c r="F1663" s="2" t="s">
        <v>27</v>
      </c>
      <c r="G1663" s="2" t="str">
        <f>CONCATENATE("VODOSKOK D.D.,"," ČULINEČKA CESTA 221/C,"," 10040 ZAGREB,"," OIB: 34134218058")</f>
        <v>VODOSKOK D.D., ČULINEČKA CESTA 221/C, 10040 ZAGREB, OIB: 34134218058</v>
      </c>
      <c r="H1663" s="4"/>
      <c r="I1663" s="1" t="s">
        <v>551</v>
      </c>
      <c r="J1663" s="1" t="s">
        <v>73</v>
      </c>
      <c r="K1663" s="6" t="str">
        <f>"2.535,00"</f>
        <v>2.535,00</v>
      </c>
      <c r="L1663" s="6" t="str">
        <f>"633,75"</f>
        <v>633,75</v>
      </c>
      <c r="M1663" s="6" t="str">
        <f>"3.168,75"</f>
        <v>3.168,75</v>
      </c>
      <c r="N1663" s="5">
        <v>43616</v>
      </c>
      <c r="O1663" s="7"/>
      <c r="P1663" s="6" t="str">
        <f>"3.168,75"</f>
        <v>3.168,75</v>
      </c>
      <c r="Q1663" s="7"/>
      <c r="R1663" s="1"/>
      <c r="S1663" s="1" t="str">
        <f>"2-19/NOS-5/18"</f>
        <v>2-19/NOS-5/18</v>
      </c>
      <c r="T1663" s="2" t="s">
        <v>29</v>
      </c>
    </row>
    <row r="1664" spans="1:20" ht="38.25" x14ac:dyDescent="0.25">
      <c r="A1664" s="1">
        <v>1660</v>
      </c>
      <c r="B1664" s="1" t="str">
        <f>"2018-1278"</f>
        <v>2018-1278</v>
      </c>
      <c r="C1664" s="2" t="s">
        <v>1029</v>
      </c>
      <c r="D1664" s="1" t="s">
        <v>1030</v>
      </c>
      <c r="E1664" s="3" t="str">
        <f>""</f>
        <v/>
      </c>
      <c r="F1664" s="2" t="s">
        <v>27</v>
      </c>
      <c r="G1664" s="2" t="str">
        <f>CONCATENATE("SMIT-COMMERCE D.O.O.,"," GORNJOSTUPNIČKA 9B,"," 10255 GORNJI STUPNIK,"," OIB: 9524348214")</f>
        <v>SMIT-COMMERCE D.O.O., GORNJOSTUPNIČKA 9B, 10255 GORNJI STUPNIK, OIB: 9524348214</v>
      </c>
      <c r="H1664" s="4"/>
      <c r="I1664" s="1" t="s">
        <v>402</v>
      </c>
      <c r="J1664" s="1" t="s">
        <v>114</v>
      </c>
      <c r="K1664" s="6" t="str">
        <f>"127.159,75"</f>
        <v>127.159,75</v>
      </c>
      <c r="L1664" s="6" t="str">
        <f>"31.789,94"</f>
        <v>31.789,94</v>
      </c>
      <c r="M1664" s="6" t="str">
        <f>"158.949,69"</f>
        <v>158.949,69</v>
      </c>
      <c r="N1664" s="5">
        <v>43675</v>
      </c>
      <c r="O1664" s="7"/>
      <c r="P1664" s="6" t="str">
        <f>"155.962,81"</f>
        <v>155.962,81</v>
      </c>
      <c r="Q1664" s="7"/>
      <c r="R1664" s="1"/>
      <c r="S1664" s="1" t="str">
        <f>"3-19/NOS-5/18"</f>
        <v>3-19/NOS-5/18</v>
      </c>
      <c r="T1664" s="2" t="s">
        <v>29</v>
      </c>
    </row>
    <row r="1665" spans="1:20" ht="102" x14ac:dyDescent="0.25">
      <c r="A1665" s="1">
        <v>1661</v>
      </c>
      <c r="B1665" s="1" t="str">
        <f>"2018-2790"</f>
        <v>2018-2790</v>
      </c>
      <c r="C1665" s="2" t="s">
        <v>1032</v>
      </c>
      <c r="D1665" s="1" t="s">
        <v>1033</v>
      </c>
      <c r="E1665" s="3" t="str">
        <f>"2018/S 0F2-0008790"</f>
        <v>2018/S 0F2-0008790</v>
      </c>
      <c r="F1665" s="2" t="s">
        <v>23</v>
      </c>
      <c r="G1665" s="2" t="str">
        <f>CONCATENATE("SMIT-COMMERCE D.O.O.,"," GORNJOSTUPNIČKA 9B,"," 10255 GORNJI STUPNIK,"," OIB: 95243482140",CHAR(10),"JAKA D.O.O.,"," OGRIZOVIĆEVA 28/B,","  10 000 ZAGREB,"," OIB: 37705921960",CHAR(10),"JEDINSTVO KRAPINA D.O.O.,"," MIHALJEKOV JAREK 33,"," 49000 KRAPINA,"," OIB: 98656691838")</f>
        <v>SMIT-COMMERCE D.O.O., GORNJOSTUPNIČKA 9B, 10255 GORNJI STUPNIK, OIB: 95243482140
JAKA D.O.O., OGRIZOVIĆEVA 28/B,  10 000 ZAGREB, OIB: 37705921960
JEDINSTVO KRAPINA D.O.O., MIHALJEKOV JAREK 33, 49000 KRAPINA, OIB: 98656691838</v>
      </c>
      <c r="H1665" s="4"/>
      <c r="I1665" s="1" t="s">
        <v>85</v>
      </c>
      <c r="J1665" s="1" t="s">
        <v>1031</v>
      </c>
      <c r="K1665" s="6" t="str">
        <f>"600.000,00"</f>
        <v>600.000,00</v>
      </c>
      <c r="L1665" s="6" t="str">
        <f>"150.000,00"</f>
        <v>150.000,00</v>
      </c>
      <c r="M1665" s="6" t="str">
        <f>"750.000,00"</f>
        <v>750.000,00</v>
      </c>
      <c r="N1665" s="7"/>
      <c r="O1665" s="7"/>
      <c r="P1665" s="6" t="str">
        <f>""</f>
        <v/>
      </c>
      <c r="Q1665" s="7"/>
      <c r="R1665" s="1"/>
      <c r="S1665" s="1" t="str">
        <f>"NOS-6/18"</f>
        <v>NOS-6/18</v>
      </c>
      <c r="T1665" s="2" t="s">
        <v>33</v>
      </c>
    </row>
    <row r="1666" spans="1:20" ht="38.25" x14ac:dyDescent="0.25">
      <c r="A1666" s="1">
        <v>1662</v>
      </c>
      <c r="B1666" s="1" t="str">
        <f>"2018-2790"</f>
        <v>2018-2790</v>
      </c>
      <c r="C1666" s="2" t="s">
        <v>1032</v>
      </c>
      <c r="D1666" s="1" t="s">
        <v>1033</v>
      </c>
      <c r="E1666" s="3" t="str">
        <f>""</f>
        <v/>
      </c>
      <c r="F1666" s="2" t="s">
        <v>27</v>
      </c>
      <c r="G1666" s="2" t="str">
        <f>CONCATENATE("JEDINSTVO KRAPINA D.O.O.,"," MIHALJEKOV JAREK 33,"," 49000 KRAPINA,"," OIB: 98656691838")</f>
        <v>JEDINSTVO KRAPINA D.O.O., MIHALJEKOV JAREK 33, 49000 KRAPINA, OIB: 98656691838</v>
      </c>
      <c r="H1666" s="4"/>
      <c r="I1666" s="1" t="s">
        <v>307</v>
      </c>
      <c r="J1666" s="1" t="s">
        <v>74</v>
      </c>
      <c r="K1666" s="6" t="str">
        <f>"9.618,40"</f>
        <v>9.618,40</v>
      </c>
      <c r="L1666" s="6" t="str">
        <f>"2.404,60"</f>
        <v>2.404,60</v>
      </c>
      <c r="M1666" s="6" t="str">
        <f>"12.023,00"</f>
        <v>12.023,00</v>
      </c>
      <c r="N1666" s="5">
        <v>43635</v>
      </c>
      <c r="O1666" s="7"/>
      <c r="P1666" s="6" t="str">
        <f>"5.980,25"</f>
        <v>5.980,25</v>
      </c>
      <c r="Q1666" s="7"/>
      <c r="R1666" s="1"/>
      <c r="S1666" s="1" t="str">
        <f>"3-18/NOS-6/18"</f>
        <v>3-18/NOS-6/18</v>
      </c>
      <c r="T1666" s="2" t="s">
        <v>33</v>
      </c>
    </row>
    <row r="1667" spans="1:20" ht="38.25" x14ac:dyDescent="0.25">
      <c r="A1667" s="1">
        <v>1663</v>
      </c>
      <c r="B1667" s="1" t="str">
        <f>"2018-2790"</f>
        <v>2018-2790</v>
      </c>
      <c r="C1667" s="2" t="s">
        <v>1032</v>
      </c>
      <c r="D1667" s="1" t="s">
        <v>1033</v>
      </c>
      <c r="E1667" s="3" t="str">
        <f>""</f>
        <v/>
      </c>
      <c r="F1667" s="2" t="s">
        <v>27</v>
      </c>
      <c r="G1667" s="2" t="str">
        <f>CONCATENATE("JEDINSTVO KRAPINA D.O.O.,"," MIHALJEKOV JAREK 33,"," 49000 KRAPINA,"," OIB: 98656691838")</f>
        <v>JEDINSTVO KRAPINA D.O.O., MIHALJEKOV JAREK 33, 49000 KRAPINA, OIB: 98656691838</v>
      </c>
      <c r="H1667" s="4"/>
      <c r="I1667" s="1" t="s">
        <v>499</v>
      </c>
      <c r="J1667" s="1" t="s">
        <v>121</v>
      </c>
      <c r="K1667" s="6" t="str">
        <f>"100.700,00"</f>
        <v>100.700,00</v>
      </c>
      <c r="L1667" s="6" t="str">
        <f>"27.098,75"</f>
        <v>27.098,75</v>
      </c>
      <c r="M1667" s="6" t="str">
        <f>"135.493,75"</f>
        <v>135.493,75</v>
      </c>
      <c r="N1667" s="5">
        <v>43663</v>
      </c>
      <c r="O1667" s="7"/>
      <c r="P1667" s="6" t="str">
        <f>"135.493,75"</f>
        <v>135.493,75</v>
      </c>
      <c r="Q1667" s="7"/>
      <c r="R1667" s="1"/>
      <c r="S1667" s="1" t="str">
        <f>"1-19/NOS-6/18"</f>
        <v>1-19/NOS-6/18</v>
      </c>
      <c r="T1667" s="2" t="s">
        <v>33</v>
      </c>
    </row>
    <row r="1668" spans="1:20" ht="38.25" x14ac:dyDescent="0.25">
      <c r="A1668" s="1">
        <v>1664</v>
      </c>
      <c r="B1668" s="1" t="str">
        <f>"2018-2790"</f>
        <v>2018-2790</v>
      </c>
      <c r="C1668" s="2" t="s">
        <v>1032</v>
      </c>
      <c r="D1668" s="1" t="s">
        <v>1033</v>
      </c>
      <c r="E1668" s="3" t="str">
        <f>""</f>
        <v/>
      </c>
      <c r="F1668" s="2" t="s">
        <v>27</v>
      </c>
      <c r="G1668" s="2" t="str">
        <f>CONCATENATE("JEDINSTVO KRAPINA D.O.O.,"," MIHALJEKOV JAREK 33,"," 49000 KRAPINA,"," OIB: 98656691838")</f>
        <v>JEDINSTVO KRAPINA D.O.O., MIHALJEKOV JAREK 33, 49000 KRAPINA, OIB: 98656691838</v>
      </c>
      <c r="H1668" s="4"/>
      <c r="I1668" s="1" t="s">
        <v>269</v>
      </c>
      <c r="J1668" s="1" t="s">
        <v>469</v>
      </c>
      <c r="K1668" s="6" t="str">
        <f>"76.000,00"</f>
        <v>76.000,00</v>
      </c>
      <c r="L1668" s="6" t="str">
        <f>"19.443,65"</f>
        <v>19.443,65</v>
      </c>
      <c r="M1668" s="6" t="str">
        <f>"97.218,25"</f>
        <v>97.218,25</v>
      </c>
      <c r="N1668" s="5">
        <v>43655</v>
      </c>
      <c r="O1668" s="7"/>
      <c r="P1668" s="6" t="str">
        <f>"97.218,25"</f>
        <v>97.218,25</v>
      </c>
      <c r="Q1668" s="7"/>
      <c r="R1668" s="1"/>
      <c r="S1668" s="1" t="str">
        <f>"2-19/NOS-6/18"</f>
        <v>2-19/NOS-6/18</v>
      </c>
      <c r="T1668" s="2" t="s">
        <v>33</v>
      </c>
    </row>
    <row r="1669" spans="1:20" ht="63.75" x14ac:dyDescent="0.25">
      <c r="A1669" s="1">
        <v>1665</v>
      </c>
      <c r="B1669" s="1" t="str">
        <f t="shared" ref="B1669:B1674" si="163">"2018-2796"</f>
        <v>2018-2796</v>
      </c>
      <c r="C1669" s="2" t="s">
        <v>1034</v>
      </c>
      <c r="D1669" s="1" t="s">
        <v>1035</v>
      </c>
      <c r="E1669" s="3" t="str">
        <f>"2018/S 0F2-0009639"</f>
        <v>2018/S 0F2-0009639</v>
      </c>
      <c r="F1669" s="2" t="s">
        <v>23</v>
      </c>
      <c r="G1669" s="2" t="str">
        <f>CONCATENATE("SMIT-COMMERCE D.O.O.,"," GORNJOSTUPNIČKA 9B,"," 10255 GORNJI STUPNIK,"," OIB: 95243482140",CHAR(10),"VODOSKOK D.D.,"," ČULINEČKA CESTA 221/C,"," 10040 ZAGREB,"," OIB: 34134218058")</f>
        <v>SMIT-COMMERCE D.O.O., GORNJOSTUPNIČKA 9B, 10255 GORNJI STUPNIK, OIB: 95243482140
VODOSKOK D.D., ČULINEČKA CESTA 221/C, 10040 ZAGREB, OIB: 34134218058</v>
      </c>
      <c r="H1669" s="4"/>
      <c r="I1669" s="1" t="s">
        <v>85</v>
      </c>
      <c r="J1669" s="1" t="s">
        <v>1031</v>
      </c>
      <c r="K1669" s="6" t="str">
        <f>"700.000,00"</f>
        <v>700.000,00</v>
      </c>
      <c r="L1669" s="6" t="str">
        <f>"175.000,00"</f>
        <v>175.000,00</v>
      </c>
      <c r="M1669" s="6" t="str">
        <f>"875.000,00"</f>
        <v>875.000,00</v>
      </c>
      <c r="N1669" s="7"/>
      <c r="O1669" s="7"/>
      <c r="P1669" s="6" t="str">
        <f>""</f>
        <v/>
      </c>
      <c r="Q1669" s="7"/>
      <c r="R1669" s="1"/>
      <c r="S1669" s="1" t="str">
        <f>"NOS-7/18"</f>
        <v>NOS-7/18</v>
      </c>
      <c r="T1669" s="2" t="s">
        <v>26</v>
      </c>
    </row>
    <row r="1670" spans="1:20" ht="38.25" x14ac:dyDescent="0.25">
      <c r="A1670" s="1">
        <v>1666</v>
      </c>
      <c r="B1670" s="1" t="str">
        <f t="shared" si="163"/>
        <v>2018-2796</v>
      </c>
      <c r="C1670" s="2" t="s">
        <v>1034</v>
      </c>
      <c r="D1670" s="1" t="s">
        <v>1035</v>
      </c>
      <c r="E1670" s="3" t="str">
        <f>""</f>
        <v/>
      </c>
      <c r="F1670" s="2" t="s">
        <v>27</v>
      </c>
      <c r="G1670" s="2" t="str">
        <f>CONCATENATE("VODOSKOK D.D.,"," ČULINEČKA CESTA 221/C,"," 10040 ZAGREB,"," OIB: 34134218058")</f>
        <v>VODOSKOK D.D., ČULINEČKA CESTA 221/C, 10040 ZAGREB, OIB: 34134218058</v>
      </c>
      <c r="H1670" s="4"/>
      <c r="I1670" s="1" t="s">
        <v>474</v>
      </c>
      <c r="J1670" s="1" t="s">
        <v>140</v>
      </c>
      <c r="K1670" s="6" t="str">
        <f>"6.994,00"</f>
        <v>6.994,00</v>
      </c>
      <c r="L1670" s="6" t="str">
        <f>"1.748,50"</f>
        <v>1.748,50</v>
      </c>
      <c r="M1670" s="6" t="str">
        <f>"8.742,50"</f>
        <v>8.742,50</v>
      </c>
      <c r="N1670" s="5">
        <v>43488</v>
      </c>
      <c r="O1670" s="7"/>
      <c r="P1670" s="6" t="str">
        <f>"8.742,50"</f>
        <v>8.742,50</v>
      </c>
      <c r="Q1670" s="7"/>
      <c r="R1670" s="1"/>
      <c r="S1670" s="1" t="str">
        <f>"5-18/NOS-7/18"</f>
        <v>5-18/NOS-7/18</v>
      </c>
      <c r="T1670" s="2" t="s">
        <v>26</v>
      </c>
    </row>
    <row r="1671" spans="1:20" ht="25.5" x14ac:dyDescent="0.25">
      <c r="A1671" s="1">
        <v>1667</v>
      </c>
      <c r="B1671" s="1" t="str">
        <f t="shared" si="163"/>
        <v>2018-2796</v>
      </c>
      <c r="C1671" s="2" t="s">
        <v>1034</v>
      </c>
      <c r="D1671" s="1" t="s">
        <v>1035</v>
      </c>
      <c r="E1671" s="3" t="str">
        <f>""</f>
        <v/>
      </c>
      <c r="F1671" s="2" t="s">
        <v>27</v>
      </c>
      <c r="G1671" s="2" t="str">
        <f>CONCATENATE("VODOSKOK D.D.,"," ČULINEČKA CESTA 221/C,"," 10040 ZAGREB,"," OIB: 34134218058")</f>
        <v>VODOSKOK D.D., ČULINEČKA CESTA 221/C, 10040 ZAGREB, OIB: 34134218058</v>
      </c>
      <c r="H1671" s="4"/>
      <c r="I1671" s="1" t="s">
        <v>373</v>
      </c>
      <c r="J1671" s="1" t="s">
        <v>64</v>
      </c>
      <c r="K1671" s="6" t="str">
        <f>"17.320,00"</f>
        <v>17.320,00</v>
      </c>
      <c r="L1671" s="6" t="str">
        <f>"4.330,00"</f>
        <v>4.330,00</v>
      </c>
      <c r="M1671" s="6" t="str">
        <f>"21.650,00"</f>
        <v>21.650,00</v>
      </c>
      <c r="N1671" s="5">
        <v>43571</v>
      </c>
      <c r="O1671" s="7"/>
      <c r="P1671" s="6" t="str">
        <f>"21.247,50"</f>
        <v>21.247,50</v>
      </c>
      <c r="Q1671" s="7"/>
      <c r="R1671" s="1"/>
      <c r="S1671" s="1" t="str">
        <f>"1-19/NOS-7/18"</f>
        <v>1-19/NOS-7/18</v>
      </c>
      <c r="T1671" s="2" t="s">
        <v>33</v>
      </c>
    </row>
    <row r="1672" spans="1:20" ht="38.25" x14ac:dyDescent="0.25">
      <c r="A1672" s="1">
        <v>1668</v>
      </c>
      <c r="B1672" s="1" t="str">
        <f t="shared" si="163"/>
        <v>2018-2796</v>
      </c>
      <c r="C1672" s="2" t="s">
        <v>1034</v>
      </c>
      <c r="D1672" s="1" t="s">
        <v>1035</v>
      </c>
      <c r="E1672" s="3" t="str">
        <f>""</f>
        <v/>
      </c>
      <c r="F1672" s="2" t="s">
        <v>27</v>
      </c>
      <c r="G1672" s="2" t="str">
        <f>CONCATENATE("VODOSKOK D.D.,"," ČULINEČKA CESTA 221/C,"," 10040 ZAGREB,"," OIB: 34134218058")</f>
        <v>VODOSKOK D.D., ČULINEČKA CESTA 221/C, 10040 ZAGREB, OIB: 34134218058</v>
      </c>
      <c r="H1672" s="4"/>
      <c r="I1672" s="1" t="s">
        <v>220</v>
      </c>
      <c r="J1672" s="1" t="s">
        <v>355</v>
      </c>
      <c r="K1672" s="6" t="str">
        <f>"8.084,00"</f>
        <v>8.084,00</v>
      </c>
      <c r="L1672" s="6" t="str">
        <f>"2.021,00"</f>
        <v>2.021,00</v>
      </c>
      <c r="M1672" s="6" t="str">
        <f>"10.105,00"</f>
        <v>10.105,00</v>
      </c>
      <c r="N1672" s="5">
        <v>43594</v>
      </c>
      <c r="O1672" s="7"/>
      <c r="P1672" s="6" t="str">
        <f>"10.105,00"</f>
        <v>10.105,00</v>
      </c>
      <c r="Q1672" s="7"/>
      <c r="R1672" s="1"/>
      <c r="S1672" s="1" t="str">
        <f>"2-19/NOS-7/18"</f>
        <v>2-19/NOS-7/18</v>
      </c>
      <c r="T1672" s="2" t="s">
        <v>26</v>
      </c>
    </row>
    <row r="1673" spans="1:20" ht="25.5" x14ac:dyDescent="0.25">
      <c r="A1673" s="1">
        <v>1669</v>
      </c>
      <c r="B1673" s="1" t="str">
        <f t="shared" si="163"/>
        <v>2018-2796</v>
      </c>
      <c r="C1673" s="2" t="s">
        <v>1034</v>
      </c>
      <c r="D1673" s="1" t="s">
        <v>1035</v>
      </c>
      <c r="E1673" s="3" t="str">
        <f>""</f>
        <v/>
      </c>
      <c r="F1673" s="2" t="s">
        <v>27</v>
      </c>
      <c r="G1673" s="2" t="str">
        <f>CONCATENATE("VODOSKOK D.D.,"," ČULINEČKA CESTA 221/C,"," 10040 ZAGREB,"," OIB: 34134218058")</f>
        <v>VODOSKOK D.D., ČULINEČKA CESTA 221/C, 10040 ZAGREB, OIB: 34134218058</v>
      </c>
      <c r="H1673" s="4"/>
      <c r="I1673" s="1" t="s">
        <v>475</v>
      </c>
      <c r="J1673" s="1" t="s">
        <v>37</v>
      </c>
      <c r="K1673" s="6" t="str">
        <f>"3.375,00"</f>
        <v>3.375,00</v>
      </c>
      <c r="L1673" s="6" t="str">
        <f>"843,75"</f>
        <v>843,75</v>
      </c>
      <c r="M1673" s="6" t="str">
        <f>"4.218,75"</f>
        <v>4.218,75</v>
      </c>
      <c r="N1673" s="5">
        <v>43644</v>
      </c>
      <c r="O1673" s="7"/>
      <c r="P1673" s="6" t="str">
        <f>"4.218,75"</f>
        <v>4.218,75</v>
      </c>
      <c r="Q1673" s="7"/>
      <c r="R1673" s="1"/>
      <c r="S1673" s="1" t="str">
        <f>"3-19/NOS-7/18"</f>
        <v>3-19/NOS-7/18</v>
      </c>
      <c r="T1673" s="2" t="s">
        <v>29</v>
      </c>
    </row>
    <row r="1674" spans="1:20" ht="38.25" x14ac:dyDescent="0.25">
      <c r="A1674" s="1">
        <v>1670</v>
      </c>
      <c r="B1674" s="1" t="str">
        <f t="shared" si="163"/>
        <v>2018-2796</v>
      </c>
      <c r="C1674" s="2" t="s">
        <v>1034</v>
      </c>
      <c r="D1674" s="1" t="s">
        <v>1035</v>
      </c>
      <c r="E1674" s="3" t="str">
        <f>""</f>
        <v/>
      </c>
      <c r="F1674" s="2" t="s">
        <v>27</v>
      </c>
      <c r="G1674" s="2" t="str">
        <f>CONCATENATE("VODOSKOK D.D.,"," ČULINEČKA CESTA 221/C,"," 10040 ZAGREB,"," OIB: 34134218058")</f>
        <v>VODOSKOK D.D., ČULINEČKA CESTA 221/C, 10040 ZAGREB, OIB: 34134218058</v>
      </c>
      <c r="H1674" s="4"/>
      <c r="I1674" s="1" t="s">
        <v>424</v>
      </c>
      <c r="J1674" s="1" t="s">
        <v>404</v>
      </c>
      <c r="K1674" s="6" t="str">
        <f>"9.110,00"</f>
        <v>9.110,00</v>
      </c>
      <c r="L1674" s="6" t="str">
        <f>"2.277,50"</f>
        <v>2.277,50</v>
      </c>
      <c r="M1674" s="6" t="str">
        <f>"11.387,50"</f>
        <v>11.387,50</v>
      </c>
      <c r="N1674" s="5">
        <v>43651</v>
      </c>
      <c r="O1674" s="7"/>
      <c r="P1674" s="6" t="str">
        <f>"7.961,25"</f>
        <v>7.961,25</v>
      </c>
      <c r="Q1674" s="7"/>
      <c r="R1674" s="1"/>
      <c r="S1674" s="1" t="str">
        <f>"4-19/NOS-7/18"</f>
        <v>4-19/NOS-7/18</v>
      </c>
      <c r="T1674" s="2" t="s">
        <v>26</v>
      </c>
    </row>
    <row r="1675" spans="1:20" ht="38.25" x14ac:dyDescent="0.25">
      <c r="A1675" s="1">
        <v>1671</v>
      </c>
      <c r="B1675" s="1" t="str">
        <f t="shared" ref="B1675:B1682" si="164">"2018-2811"</f>
        <v>2018-2811</v>
      </c>
      <c r="C1675" s="2" t="s">
        <v>1036</v>
      </c>
      <c r="D1675" s="1" t="s">
        <v>1037</v>
      </c>
      <c r="E1675" s="3" t="str">
        <f>"2018/S 0F2-0014573"</f>
        <v>2018/S 0F2-0014573</v>
      </c>
      <c r="F1675" s="2" t="s">
        <v>23</v>
      </c>
      <c r="G1675" s="2" t="str">
        <f t="shared" ref="G1675:G1682" si="165">CONCATENATE("MESSER CROATIA PLIN  D.O.O.,"," INDUSTRIJSKA 1,"," 10290 ZAPREŠIĆ,"," OIB: 32179081874")</f>
        <v>MESSER CROATIA PLIN  D.O.O., INDUSTRIJSKA 1, 10290 ZAPREŠIĆ, OIB: 32179081874</v>
      </c>
      <c r="H1675" s="4"/>
      <c r="I1675" s="1" t="s">
        <v>1038</v>
      </c>
      <c r="J1675" s="1" t="s">
        <v>1039</v>
      </c>
      <c r="K1675" s="6" t="str">
        <f>"800.000,00"</f>
        <v>800.000,00</v>
      </c>
      <c r="L1675" s="6" t="str">
        <f>"200.000,00"</f>
        <v>200.000,00</v>
      </c>
      <c r="M1675" s="6" t="str">
        <f>"1.000.000,00"</f>
        <v>1.000.000,00</v>
      </c>
      <c r="N1675" s="7"/>
      <c r="O1675" s="7"/>
      <c r="P1675" s="6" t="str">
        <f>""</f>
        <v/>
      </c>
      <c r="Q1675" s="7"/>
      <c r="R1675" s="1"/>
      <c r="S1675" s="1" t="str">
        <f>"NOS-8/18"</f>
        <v>NOS-8/18</v>
      </c>
      <c r="T1675" s="2" t="s">
        <v>26</v>
      </c>
    </row>
    <row r="1676" spans="1:20" ht="25.5" x14ac:dyDescent="0.25">
      <c r="A1676" s="1">
        <v>1672</v>
      </c>
      <c r="B1676" s="1" t="str">
        <f t="shared" si="164"/>
        <v>2018-2811</v>
      </c>
      <c r="C1676" s="2" t="s">
        <v>1036</v>
      </c>
      <c r="D1676" s="4"/>
      <c r="E1676" s="3" t="str">
        <f>""</f>
        <v/>
      </c>
      <c r="F1676" s="2" t="s">
        <v>27</v>
      </c>
      <c r="G1676" s="2" t="str">
        <f t="shared" si="165"/>
        <v>MESSER CROATIA PLIN  D.O.O., INDUSTRIJSKA 1, 10290 ZAPREŠIĆ, OIB: 32179081874</v>
      </c>
      <c r="H1676" s="4"/>
      <c r="I1676" s="1" t="s">
        <v>414</v>
      </c>
      <c r="J1676" s="1" t="s">
        <v>28</v>
      </c>
      <c r="K1676" s="6" t="str">
        <f>"114.349,84"</f>
        <v>114.349,84</v>
      </c>
      <c r="L1676" s="6" t="str">
        <f>"28.587,46"</f>
        <v>28.587,46</v>
      </c>
      <c r="M1676" s="6" t="str">
        <f>"142.937,30"</f>
        <v>142.937,30</v>
      </c>
      <c r="N1676" s="5">
        <v>43706</v>
      </c>
      <c r="O1676" s="7"/>
      <c r="P1676" s="6" t="str">
        <f>"3.981,62"</f>
        <v>3.981,62</v>
      </c>
      <c r="Q1676" s="7"/>
      <c r="R1676" s="1"/>
      <c r="S1676" s="1" t="str">
        <f>"4-19/NOS-8/18"</f>
        <v>4-19/NOS-8/18</v>
      </c>
      <c r="T1676" s="2" t="s">
        <v>29</v>
      </c>
    </row>
    <row r="1677" spans="1:20" ht="25.5" x14ac:dyDescent="0.25">
      <c r="A1677" s="1">
        <v>1673</v>
      </c>
      <c r="B1677" s="1" t="str">
        <f t="shared" si="164"/>
        <v>2018-2811</v>
      </c>
      <c r="C1677" s="2" t="s">
        <v>1036</v>
      </c>
      <c r="D1677" s="1" t="s">
        <v>1037</v>
      </c>
      <c r="E1677" s="3" t="str">
        <f>""</f>
        <v/>
      </c>
      <c r="F1677" s="2" t="s">
        <v>27</v>
      </c>
      <c r="G1677" s="2" t="str">
        <f t="shared" si="165"/>
        <v>MESSER CROATIA PLIN  D.O.O., INDUSTRIJSKA 1, 10290 ZAPREŠIĆ, OIB: 32179081874</v>
      </c>
      <c r="H1677" s="4"/>
      <c r="I1677" s="1" t="s">
        <v>403</v>
      </c>
      <c r="J1677" s="1" t="s">
        <v>47</v>
      </c>
      <c r="K1677" s="6" t="str">
        <f>"51.500,00"</f>
        <v>51.500,00</v>
      </c>
      <c r="L1677" s="6" t="str">
        <f>"2.600,75"</f>
        <v>2.600,75</v>
      </c>
      <c r="M1677" s="6" t="str">
        <f>"13.003,75"</f>
        <v>13.003,75</v>
      </c>
      <c r="N1677" s="5">
        <v>43664</v>
      </c>
      <c r="O1677" s="7"/>
      <c r="P1677" s="6" t="str">
        <f>"13.003,75"</f>
        <v>13.003,75</v>
      </c>
      <c r="Q1677" s="7"/>
      <c r="R1677" s="1"/>
      <c r="S1677" s="1" t="str">
        <f>"7-19/NOS-8/18"</f>
        <v>7-19/NOS-8/18</v>
      </c>
      <c r="T1677" s="2" t="s">
        <v>33</v>
      </c>
    </row>
    <row r="1678" spans="1:20" ht="25.5" x14ac:dyDescent="0.25">
      <c r="A1678" s="1">
        <v>1674</v>
      </c>
      <c r="B1678" s="1" t="str">
        <f t="shared" si="164"/>
        <v>2018-2811</v>
      </c>
      <c r="C1678" s="2" t="s">
        <v>1036</v>
      </c>
      <c r="D1678" s="1" t="s">
        <v>1037</v>
      </c>
      <c r="E1678" s="3" t="str">
        <f>""</f>
        <v/>
      </c>
      <c r="F1678" s="2" t="s">
        <v>27</v>
      </c>
      <c r="G1678" s="2" t="str">
        <f t="shared" si="165"/>
        <v>MESSER CROATIA PLIN  D.O.O., INDUSTRIJSKA 1, 10290 ZAPREŠIĆ, OIB: 32179081874</v>
      </c>
      <c r="H1678" s="4"/>
      <c r="I1678" s="1" t="s">
        <v>474</v>
      </c>
      <c r="J1678" s="1" t="s">
        <v>140</v>
      </c>
      <c r="K1678" s="6" t="str">
        <f>"4.437,00"</f>
        <v>4.437,00</v>
      </c>
      <c r="L1678" s="6" t="str">
        <f>"1.109,25"</f>
        <v>1.109,25</v>
      </c>
      <c r="M1678" s="6" t="str">
        <f>"5.546,25"</f>
        <v>5.546,25</v>
      </c>
      <c r="N1678" s="5">
        <v>43467</v>
      </c>
      <c r="O1678" s="7"/>
      <c r="P1678" s="6" t="str">
        <f>"5.651,25"</f>
        <v>5.651,25</v>
      </c>
      <c r="Q1678" s="7"/>
      <c r="R1678" s="1"/>
      <c r="S1678" s="1" t="str">
        <f>"4-18/NOS-8/18"</f>
        <v>4-18/NOS-8/18</v>
      </c>
      <c r="T1678" s="2" t="s">
        <v>33</v>
      </c>
    </row>
    <row r="1679" spans="1:20" ht="25.5" x14ac:dyDescent="0.25">
      <c r="A1679" s="1">
        <v>1675</v>
      </c>
      <c r="B1679" s="1" t="str">
        <f t="shared" si="164"/>
        <v>2018-2811</v>
      </c>
      <c r="C1679" s="2" t="s">
        <v>1036</v>
      </c>
      <c r="D1679" s="1" t="s">
        <v>1037</v>
      </c>
      <c r="E1679" s="3" t="str">
        <f>""</f>
        <v/>
      </c>
      <c r="F1679" s="2" t="s">
        <v>27</v>
      </c>
      <c r="G1679" s="2" t="str">
        <f t="shared" si="165"/>
        <v>MESSER CROATIA PLIN  D.O.O., INDUSTRIJSKA 1, 10290 ZAPREŠIĆ, OIB: 32179081874</v>
      </c>
      <c r="H1679" s="4"/>
      <c r="I1679" s="1" t="s">
        <v>210</v>
      </c>
      <c r="J1679" s="1" t="s">
        <v>64</v>
      </c>
      <c r="K1679" s="6" t="str">
        <f>"38.187,80"</f>
        <v>38.187,80</v>
      </c>
      <c r="L1679" s="6" t="str">
        <f>"9.546,95"</f>
        <v>9.546,95</v>
      </c>
      <c r="M1679" s="6" t="str">
        <f>"47.734,75"</f>
        <v>47.734,75</v>
      </c>
      <c r="N1679" s="5">
        <v>43621</v>
      </c>
      <c r="O1679" s="7"/>
      <c r="P1679" s="6" t="str">
        <f>"41.690,05"</f>
        <v>41.690,05</v>
      </c>
      <c r="Q1679" s="7"/>
      <c r="R1679" s="1"/>
      <c r="S1679" s="1" t="str">
        <f>"1-19/NOS-8/18"</f>
        <v>1-19/NOS-8/18</v>
      </c>
      <c r="T1679" s="2" t="s">
        <v>33</v>
      </c>
    </row>
    <row r="1680" spans="1:20" ht="25.5" x14ac:dyDescent="0.25">
      <c r="A1680" s="1">
        <v>1676</v>
      </c>
      <c r="B1680" s="1" t="str">
        <f t="shared" si="164"/>
        <v>2018-2811</v>
      </c>
      <c r="C1680" s="2" t="s">
        <v>1036</v>
      </c>
      <c r="D1680" s="1" t="s">
        <v>1037</v>
      </c>
      <c r="E1680" s="3" t="str">
        <f>""</f>
        <v/>
      </c>
      <c r="F1680" s="2" t="s">
        <v>27</v>
      </c>
      <c r="G1680" s="2" t="str">
        <f t="shared" si="165"/>
        <v>MESSER CROATIA PLIN  D.O.O., INDUSTRIJSKA 1, 10290 ZAPREŠIĆ, OIB: 32179081874</v>
      </c>
      <c r="H1680" s="4"/>
      <c r="I1680" s="1" t="s">
        <v>493</v>
      </c>
      <c r="J1680" s="1" t="s">
        <v>355</v>
      </c>
      <c r="K1680" s="6" t="str">
        <f>"24.168,30"</f>
        <v>24.168,30</v>
      </c>
      <c r="L1680" s="6" t="str">
        <f>"6.042,08"</f>
        <v>6.042,08</v>
      </c>
      <c r="M1680" s="6" t="str">
        <f>"30.210,38"</f>
        <v>30.210,38</v>
      </c>
      <c r="N1680" s="5">
        <v>43712</v>
      </c>
      <c r="O1680" s="7"/>
      <c r="P1680" s="6" t="str">
        <f>"16.501,78"</f>
        <v>16.501,78</v>
      </c>
      <c r="Q1680" s="7"/>
      <c r="R1680" s="1"/>
      <c r="S1680" s="1" t="str">
        <f>"2-19/NOS-8/18"</f>
        <v>2-19/NOS-8/18</v>
      </c>
      <c r="T1680" s="2" t="s">
        <v>33</v>
      </c>
    </row>
    <row r="1681" spans="1:20" ht="25.5" x14ac:dyDescent="0.25">
      <c r="A1681" s="1">
        <v>1677</v>
      </c>
      <c r="B1681" s="1" t="str">
        <f t="shared" si="164"/>
        <v>2018-2811</v>
      </c>
      <c r="C1681" s="2" t="s">
        <v>1036</v>
      </c>
      <c r="D1681" s="1" t="s">
        <v>1037</v>
      </c>
      <c r="E1681" s="3" t="str">
        <f>""</f>
        <v/>
      </c>
      <c r="F1681" s="2" t="s">
        <v>27</v>
      </c>
      <c r="G1681" s="2" t="str">
        <f t="shared" si="165"/>
        <v>MESSER CROATIA PLIN  D.O.O., INDUSTRIJSKA 1, 10290 ZAPREŠIĆ, OIB: 32179081874</v>
      </c>
      <c r="H1681" s="4"/>
      <c r="I1681" s="1" t="s">
        <v>475</v>
      </c>
      <c r="J1681" s="1" t="s">
        <v>37</v>
      </c>
      <c r="K1681" s="6" t="str">
        <f>"3.434,00"</f>
        <v>3.434,00</v>
      </c>
      <c r="L1681" s="6" t="str">
        <f>"858,50"</f>
        <v>858,50</v>
      </c>
      <c r="M1681" s="6" t="str">
        <f>"4.292,50"</f>
        <v>4.292,50</v>
      </c>
      <c r="N1681" s="5">
        <v>43607</v>
      </c>
      <c r="O1681" s="7"/>
      <c r="P1681" s="6" t="str">
        <f>"4.292,50"</f>
        <v>4.292,50</v>
      </c>
      <c r="Q1681" s="7"/>
      <c r="R1681" s="1"/>
      <c r="S1681" s="1" t="str">
        <f>"3-19/NOS-8/18"</f>
        <v>3-19/NOS-8/18</v>
      </c>
      <c r="T1681" s="2" t="s">
        <v>33</v>
      </c>
    </row>
    <row r="1682" spans="1:20" ht="25.5" x14ac:dyDescent="0.25">
      <c r="A1682" s="1">
        <v>1678</v>
      </c>
      <c r="B1682" s="1" t="str">
        <f t="shared" si="164"/>
        <v>2018-2811</v>
      </c>
      <c r="C1682" s="2" t="s">
        <v>1036</v>
      </c>
      <c r="D1682" s="1" t="s">
        <v>1037</v>
      </c>
      <c r="E1682" s="3" t="str">
        <f>""</f>
        <v/>
      </c>
      <c r="F1682" s="2" t="s">
        <v>27</v>
      </c>
      <c r="G1682" s="2" t="str">
        <f t="shared" si="165"/>
        <v>MESSER CROATIA PLIN  D.O.O., INDUSTRIJSKA 1, 10290 ZAPREŠIĆ, OIB: 32179081874</v>
      </c>
      <c r="H1682" s="4"/>
      <c r="I1682" s="1" t="s">
        <v>269</v>
      </c>
      <c r="J1682" s="1" t="s">
        <v>404</v>
      </c>
      <c r="K1682" s="6" t="str">
        <f>"6.873,00"</f>
        <v>6.873,00</v>
      </c>
      <c r="L1682" s="6" t="str">
        <f>"1.718,25"</f>
        <v>1.718,25</v>
      </c>
      <c r="M1682" s="6" t="str">
        <f>"8.591,25"</f>
        <v>8.591,25</v>
      </c>
      <c r="N1682" s="5">
        <v>43710</v>
      </c>
      <c r="O1682" s="7"/>
      <c r="P1682" s="6" t="str">
        <f>"4.439,25"</f>
        <v>4.439,25</v>
      </c>
      <c r="Q1682" s="7"/>
      <c r="R1682" s="1"/>
      <c r="S1682" s="1" t="str">
        <f>"5-19/NOS-8/18"</f>
        <v>5-19/NOS-8/18</v>
      </c>
      <c r="T1682" s="2" t="s">
        <v>33</v>
      </c>
    </row>
    <row r="1683" spans="1:20" ht="38.25" x14ac:dyDescent="0.25">
      <c r="A1683" s="1">
        <v>1679</v>
      </c>
      <c r="B1683" s="1" t="str">
        <f t="shared" ref="B1683:B1698" si="166">"2018-1146"</f>
        <v>2018-1146</v>
      </c>
      <c r="C1683" s="2" t="s">
        <v>1040</v>
      </c>
      <c r="D1683" s="1" t="s">
        <v>819</v>
      </c>
      <c r="E1683" s="3" t="str">
        <f>"2018/S 0F2-0011457"</f>
        <v>2018/S 0F2-0011457</v>
      </c>
      <c r="F1683" s="2" t="s">
        <v>23</v>
      </c>
      <c r="G1683" s="2" t="str">
        <f t="shared" ref="G1683:G1698" si="167">CONCATENATE("M-COM USLUGE D.O.O.,"," TRG KREŠIMIRA ĆOSIĆA 10,"," 10000 ZAGREB,"," OIB: 85546467214")</f>
        <v>M-COM USLUGE D.O.O., TRG KREŠIMIRA ĆOSIĆA 10, 10000 ZAGREB, OIB: 85546467214</v>
      </c>
      <c r="H1683" s="4"/>
      <c r="I1683" s="1" t="s">
        <v>1041</v>
      </c>
      <c r="J1683" s="1" t="s">
        <v>1042</v>
      </c>
      <c r="K1683" s="6" t="str">
        <f>"2.400.000,00"</f>
        <v>2.400.000,00</v>
      </c>
      <c r="L1683" s="6" t="str">
        <f>"600.000,00"</f>
        <v>600.000,00</v>
      </c>
      <c r="M1683" s="6" t="str">
        <f>"3.000.000,00"</f>
        <v>3.000.000,00</v>
      </c>
      <c r="N1683" s="7"/>
      <c r="O1683" s="7"/>
      <c r="P1683" s="6" t="str">
        <f>""</f>
        <v/>
      </c>
      <c r="Q1683" s="7"/>
      <c r="R1683" s="1"/>
      <c r="S1683" s="1" t="str">
        <f>"NOS-9-A/18"</f>
        <v>NOS-9-A/18</v>
      </c>
      <c r="T1683" s="2" t="s">
        <v>65</v>
      </c>
    </row>
    <row r="1684" spans="1:20" ht="38.25" x14ac:dyDescent="0.25">
      <c r="A1684" s="1">
        <v>1680</v>
      </c>
      <c r="B1684" s="1" t="str">
        <f t="shared" si="166"/>
        <v>2018-1146</v>
      </c>
      <c r="C1684" s="2" t="s">
        <v>1040</v>
      </c>
      <c r="D1684" s="4"/>
      <c r="E1684" s="3" t="str">
        <f>""</f>
        <v/>
      </c>
      <c r="F1684" s="2" t="s">
        <v>27</v>
      </c>
      <c r="G1684" s="2" t="str">
        <f t="shared" si="167"/>
        <v>M-COM USLUGE D.O.O., TRG KREŠIMIRA ĆOSIĆA 10, 10000 ZAGREB, OIB: 85546467214</v>
      </c>
      <c r="H1684" s="4"/>
      <c r="I1684" s="1" t="s">
        <v>630</v>
      </c>
      <c r="J1684" s="1" t="s">
        <v>284</v>
      </c>
      <c r="K1684" s="6" t="str">
        <f>"284.000,00"</f>
        <v>284.000,00</v>
      </c>
      <c r="L1684" s="6" t="str">
        <f>"71.000,00"</f>
        <v>71.000,00</v>
      </c>
      <c r="M1684" s="6" t="str">
        <f>"355.000,00"</f>
        <v>355.000,00</v>
      </c>
      <c r="N1684" s="5">
        <v>43650</v>
      </c>
      <c r="O1684" s="7"/>
      <c r="P1684" s="6" t="str">
        <f>"340.475,00"</f>
        <v>340.475,00</v>
      </c>
      <c r="Q1684" s="7"/>
      <c r="R1684" s="1"/>
      <c r="S1684" s="1" t="str">
        <f>"3-18/NOS-9-A/18"</f>
        <v>3-18/NOS-9-A/18</v>
      </c>
      <c r="T1684" s="2" t="s">
        <v>65</v>
      </c>
    </row>
    <row r="1685" spans="1:20" ht="38.25" x14ac:dyDescent="0.25">
      <c r="A1685" s="1">
        <v>1681</v>
      </c>
      <c r="B1685" s="1" t="str">
        <f t="shared" si="166"/>
        <v>2018-1146</v>
      </c>
      <c r="C1685" s="2" t="s">
        <v>1040</v>
      </c>
      <c r="D1685" s="1" t="s">
        <v>819</v>
      </c>
      <c r="E1685" s="3" t="str">
        <f>""</f>
        <v/>
      </c>
      <c r="F1685" s="2" t="s">
        <v>27</v>
      </c>
      <c r="G1685" s="2" t="str">
        <f t="shared" si="167"/>
        <v>M-COM USLUGE D.O.O., TRG KREŠIMIRA ĆOSIĆA 10, 10000 ZAGREB, OIB: 85546467214</v>
      </c>
      <c r="H1685" s="4"/>
      <c r="I1685" s="1" t="s">
        <v>254</v>
      </c>
      <c r="J1685" s="1" t="s">
        <v>588</v>
      </c>
      <c r="K1685" s="6" t="str">
        <f>"6.030,00"</f>
        <v>6.030,00</v>
      </c>
      <c r="L1685" s="6" t="str">
        <f>"1.507,50"</f>
        <v>1.507,50</v>
      </c>
      <c r="M1685" s="6" t="str">
        <f>"7.537,50"</f>
        <v>7.537,50</v>
      </c>
      <c r="N1685" s="5">
        <v>43521</v>
      </c>
      <c r="O1685" s="7"/>
      <c r="P1685" s="6" t="str">
        <f>"7.537,50"</f>
        <v>7.537,50</v>
      </c>
      <c r="Q1685" s="7"/>
      <c r="R1685" s="1"/>
      <c r="S1685" s="1" t="str">
        <f>"1-19/NOS-9-A/18"</f>
        <v>1-19/NOS-9-A/18</v>
      </c>
      <c r="T1685" s="2" t="s">
        <v>65</v>
      </c>
    </row>
    <row r="1686" spans="1:20" ht="38.25" x14ac:dyDescent="0.25">
      <c r="A1686" s="1">
        <v>1682</v>
      </c>
      <c r="B1686" s="1" t="str">
        <f t="shared" si="166"/>
        <v>2018-1146</v>
      </c>
      <c r="C1686" s="2" t="s">
        <v>1040</v>
      </c>
      <c r="D1686" s="1" t="s">
        <v>819</v>
      </c>
      <c r="E1686" s="3" t="str">
        <f>""</f>
        <v/>
      </c>
      <c r="F1686" s="2" t="s">
        <v>27</v>
      </c>
      <c r="G1686" s="2" t="str">
        <f t="shared" si="167"/>
        <v>M-COM USLUGE D.O.O., TRG KREŠIMIRA ĆOSIĆA 10, 10000 ZAGREB, OIB: 85546467214</v>
      </c>
      <c r="H1686" s="4"/>
      <c r="I1686" s="1" t="s">
        <v>423</v>
      </c>
      <c r="J1686" s="1" t="s">
        <v>589</v>
      </c>
      <c r="K1686" s="6" t="str">
        <f>"5.155,00"</f>
        <v>5.155,00</v>
      </c>
      <c r="L1686" s="6" t="str">
        <f>"1.288,75"</f>
        <v>1.288,75</v>
      </c>
      <c r="M1686" s="6" t="str">
        <f>"6.443,75"</f>
        <v>6.443,75</v>
      </c>
      <c r="N1686" s="5">
        <v>43539</v>
      </c>
      <c r="O1686" s="7"/>
      <c r="P1686" s="6" t="str">
        <f>"6.443,75"</f>
        <v>6.443,75</v>
      </c>
      <c r="Q1686" s="7"/>
      <c r="R1686" s="1"/>
      <c r="S1686" s="1" t="str">
        <f>"2-19/NOS-9-A/18"</f>
        <v>2-19/NOS-9-A/18</v>
      </c>
      <c r="T1686" s="2" t="s">
        <v>65</v>
      </c>
    </row>
    <row r="1687" spans="1:20" ht="38.25" x14ac:dyDescent="0.25">
      <c r="A1687" s="1">
        <v>1683</v>
      </c>
      <c r="B1687" s="1" t="str">
        <f t="shared" si="166"/>
        <v>2018-1146</v>
      </c>
      <c r="C1687" s="2" t="s">
        <v>1040</v>
      </c>
      <c r="D1687" s="1" t="s">
        <v>819</v>
      </c>
      <c r="E1687" s="3" t="str">
        <f>""</f>
        <v/>
      </c>
      <c r="F1687" s="2" t="s">
        <v>27</v>
      </c>
      <c r="G1687" s="2" t="str">
        <f t="shared" si="167"/>
        <v>M-COM USLUGE D.O.O., TRG KREŠIMIRA ĆOSIĆA 10, 10000 ZAGREB, OIB: 85546467214</v>
      </c>
      <c r="H1687" s="4"/>
      <c r="I1687" s="1" t="s">
        <v>498</v>
      </c>
      <c r="J1687" s="1" t="s">
        <v>588</v>
      </c>
      <c r="K1687" s="6" t="str">
        <f>"8.738,00"</f>
        <v>8.738,00</v>
      </c>
      <c r="L1687" s="6" t="str">
        <f>"2.184,50"</f>
        <v>2.184,50</v>
      </c>
      <c r="M1687" s="6" t="str">
        <f>"10.922,50"</f>
        <v>10.922,50</v>
      </c>
      <c r="N1687" s="5">
        <v>43566</v>
      </c>
      <c r="O1687" s="7"/>
      <c r="P1687" s="6" t="str">
        <f>"10.922,50"</f>
        <v>10.922,50</v>
      </c>
      <c r="Q1687" s="7"/>
      <c r="R1687" s="1"/>
      <c r="S1687" s="1" t="str">
        <f>"3-19/NOS-9-A/18"</f>
        <v>3-19/NOS-9-A/18</v>
      </c>
      <c r="T1687" s="2" t="s">
        <v>65</v>
      </c>
    </row>
    <row r="1688" spans="1:20" ht="38.25" x14ac:dyDescent="0.25">
      <c r="A1688" s="1">
        <v>1684</v>
      </c>
      <c r="B1688" s="1" t="str">
        <f t="shared" si="166"/>
        <v>2018-1146</v>
      </c>
      <c r="C1688" s="2" t="s">
        <v>1040</v>
      </c>
      <c r="D1688" s="1" t="s">
        <v>819</v>
      </c>
      <c r="E1688" s="3" t="str">
        <f>""</f>
        <v/>
      </c>
      <c r="F1688" s="2" t="s">
        <v>27</v>
      </c>
      <c r="G1688" s="2" t="str">
        <f t="shared" si="167"/>
        <v>M-COM USLUGE D.O.O., TRG KREŠIMIRA ĆOSIĆA 10, 10000 ZAGREB, OIB: 85546467214</v>
      </c>
      <c r="H1688" s="4"/>
      <c r="I1688" s="1" t="s">
        <v>32</v>
      </c>
      <c r="J1688" s="1" t="s">
        <v>121</v>
      </c>
      <c r="K1688" s="6" t="str">
        <f>"4.000,00"</f>
        <v>4.000,00</v>
      </c>
      <c r="L1688" s="6" t="str">
        <f>"1.000,00"</f>
        <v>1.000,00</v>
      </c>
      <c r="M1688" s="6" t="str">
        <f>"5.000,00"</f>
        <v>5.000,00</v>
      </c>
      <c r="N1688" s="5">
        <v>43609</v>
      </c>
      <c r="O1688" s="7"/>
      <c r="P1688" s="6" t="str">
        <f>"5.000,00"</f>
        <v>5.000,00</v>
      </c>
      <c r="Q1688" s="7"/>
      <c r="R1688" s="1"/>
      <c r="S1688" s="1" t="str">
        <f>"4-19/NOS-9-A/18"</f>
        <v>4-19/NOS-9-A/18</v>
      </c>
      <c r="T1688" s="2" t="s">
        <v>65</v>
      </c>
    </row>
    <row r="1689" spans="1:20" ht="38.25" x14ac:dyDescent="0.25">
      <c r="A1689" s="1">
        <v>1685</v>
      </c>
      <c r="B1689" s="1" t="str">
        <f t="shared" si="166"/>
        <v>2018-1146</v>
      </c>
      <c r="C1689" s="2" t="s">
        <v>1040</v>
      </c>
      <c r="D1689" s="1" t="s">
        <v>819</v>
      </c>
      <c r="E1689" s="3" t="str">
        <f>""</f>
        <v/>
      </c>
      <c r="F1689" s="2" t="s">
        <v>27</v>
      </c>
      <c r="G1689" s="2" t="str">
        <f t="shared" si="167"/>
        <v>M-COM USLUGE D.O.O., TRG KREŠIMIRA ĆOSIĆA 10, 10000 ZAGREB, OIB: 85546467214</v>
      </c>
      <c r="H1689" s="4"/>
      <c r="I1689" s="1" t="s">
        <v>579</v>
      </c>
      <c r="J1689" s="1" t="s">
        <v>588</v>
      </c>
      <c r="K1689" s="6" t="str">
        <f>"5.805,00"</f>
        <v>5.805,00</v>
      </c>
      <c r="L1689" s="6" t="str">
        <f>"1.451,25"</f>
        <v>1.451,25</v>
      </c>
      <c r="M1689" s="6" t="str">
        <f>"7.256,25"</f>
        <v>7.256,25</v>
      </c>
      <c r="N1689" s="5">
        <v>43629</v>
      </c>
      <c r="O1689" s="7"/>
      <c r="P1689" s="6" t="str">
        <f>"7.256,25"</f>
        <v>7.256,25</v>
      </c>
      <c r="Q1689" s="7"/>
      <c r="R1689" s="1"/>
      <c r="S1689" s="1" t="str">
        <f>"5-19/NOS-9-A/18"</f>
        <v>5-19/NOS-9-A/18</v>
      </c>
      <c r="T1689" s="2" t="s">
        <v>65</v>
      </c>
    </row>
    <row r="1690" spans="1:20" ht="38.25" x14ac:dyDescent="0.25">
      <c r="A1690" s="1">
        <v>1686</v>
      </c>
      <c r="B1690" s="1" t="str">
        <f t="shared" si="166"/>
        <v>2018-1146</v>
      </c>
      <c r="C1690" s="2" t="s">
        <v>1040</v>
      </c>
      <c r="D1690" s="1" t="s">
        <v>819</v>
      </c>
      <c r="E1690" s="3" t="str">
        <f>"2018/S 0F2-0011457"</f>
        <v>2018/S 0F2-0011457</v>
      </c>
      <c r="F1690" s="2" t="s">
        <v>23</v>
      </c>
      <c r="G1690" s="2" t="str">
        <f t="shared" si="167"/>
        <v>M-COM USLUGE D.O.O., TRG KREŠIMIRA ĆOSIĆA 10, 10000 ZAGREB, OIB: 85546467214</v>
      </c>
      <c r="H1690" s="4"/>
      <c r="I1690" s="1" t="s">
        <v>1041</v>
      </c>
      <c r="J1690" s="1" t="s">
        <v>1043</v>
      </c>
      <c r="K1690" s="6" t="str">
        <f>"1.800.000,00"</f>
        <v>1.800.000,00</v>
      </c>
      <c r="L1690" s="6" t="str">
        <f>"450.000,00"</f>
        <v>450.000,00</v>
      </c>
      <c r="M1690" s="6" t="str">
        <f>"2.250.000,00"</f>
        <v>2.250.000,00</v>
      </c>
      <c r="N1690" s="7"/>
      <c r="O1690" s="7"/>
      <c r="P1690" s="6" t="str">
        <f>""</f>
        <v/>
      </c>
      <c r="Q1690" s="7"/>
      <c r="R1690" s="1"/>
      <c r="S1690" s="1" t="str">
        <f>"NOS-9-B/18"</f>
        <v>NOS-9-B/18</v>
      </c>
      <c r="T1690" s="2" t="s">
        <v>65</v>
      </c>
    </row>
    <row r="1691" spans="1:20" ht="38.25" x14ac:dyDescent="0.25">
      <c r="A1691" s="1">
        <v>1687</v>
      </c>
      <c r="B1691" s="1" t="str">
        <f t="shared" si="166"/>
        <v>2018-1146</v>
      </c>
      <c r="C1691" s="2" t="s">
        <v>1040</v>
      </c>
      <c r="D1691" s="4"/>
      <c r="E1691" s="3" t="str">
        <f>""</f>
        <v/>
      </c>
      <c r="F1691" s="2" t="s">
        <v>27</v>
      </c>
      <c r="G1691" s="2" t="str">
        <f t="shared" si="167"/>
        <v>M-COM USLUGE D.O.O., TRG KREŠIMIRA ĆOSIĆA 10, 10000 ZAGREB, OIB: 85546467214</v>
      </c>
      <c r="H1691" s="4"/>
      <c r="I1691" s="1" t="s">
        <v>630</v>
      </c>
      <c r="J1691" s="1" t="s">
        <v>284</v>
      </c>
      <c r="K1691" s="6" t="str">
        <f>"156.790,00"</f>
        <v>156.790,00</v>
      </c>
      <c r="L1691" s="6" t="str">
        <f>"39.197,50"</f>
        <v>39.197,50</v>
      </c>
      <c r="M1691" s="6" t="str">
        <f>"195.987,50"</f>
        <v>195.987,50</v>
      </c>
      <c r="N1691" s="5">
        <v>43650</v>
      </c>
      <c r="O1691" s="7"/>
      <c r="P1691" s="6" t="str">
        <f>"175.797,50"</f>
        <v>175.797,50</v>
      </c>
      <c r="Q1691" s="7"/>
      <c r="R1691" s="1"/>
      <c r="S1691" s="1" t="str">
        <f>"3-18/NOS-9-B/18"</f>
        <v>3-18/NOS-9-B/18</v>
      </c>
      <c r="T1691" s="2" t="s">
        <v>65</v>
      </c>
    </row>
    <row r="1692" spans="1:20" ht="38.25" x14ac:dyDescent="0.25">
      <c r="A1692" s="1">
        <v>1688</v>
      </c>
      <c r="B1692" s="1" t="str">
        <f t="shared" si="166"/>
        <v>2018-1146</v>
      </c>
      <c r="C1692" s="2" t="s">
        <v>1040</v>
      </c>
      <c r="D1692" s="1" t="s">
        <v>819</v>
      </c>
      <c r="E1692" s="3" t="str">
        <f>""</f>
        <v/>
      </c>
      <c r="F1692" s="2" t="s">
        <v>27</v>
      </c>
      <c r="G1692" s="2" t="str">
        <f t="shared" si="167"/>
        <v>M-COM USLUGE D.O.O., TRG KREŠIMIRA ĆOSIĆA 10, 10000 ZAGREB, OIB: 85546467214</v>
      </c>
      <c r="H1692" s="4"/>
      <c r="I1692" s="1" t="s">
        <v>254</v>
      </c>
      <c r="J1692" s="1" t="s">
        <v>588</v>
      </c>
      <c r="K1692" s="6" t="str">
        <f>"701,60"</f>
        <v>701,60</v>
      </c>
      <c r="L1692" s="6" t="str">
        <f>"175,40"</f>
        <v>175,40</v>
      </c>
      <c r="M1692" s="6" t="str">
        <f>"877,00"</f>
        <v>877,00</v>
      </c>
      <c r="N1692" s="5">
        <v>43521</v>
      </c>
      <c r="O1692" s="7"/>
      <c r="P1692" s="6" t="str">
        <f>"877,00"</f>
        <v>877,00</v>
      </c>
      <c r="Q1692" s="7"/>
      <c r="R1692" s="1"/>
      <c r="S1692" s="1" t="str">
        <f>"1-19/NOS-9-B/18"</f>
        <v>1-19/NOS-9-B/18</v>
      </c>
      <c r="T1692" s="2" t="s">
        <v>65</v>
      </c>
    </row>
    <row r="1693" spans="1:20" ht="38.25" x14ac:dyDescent="0.25">
      <c r="A1693" s="1">
        <v>1689</v>
      </c>
      <c r="B1693" s="1" t="str">
        <f t="shared" si="166"/>
        <v>2018-1146</v>
      </c>
      <c r="C1693" s="2" t="s">
        <v>1040</v>
      </c>
      <c r="D1693" s="1" t="s">
        <v>819</v>
      </c>
      <c r="E1693" s="3" t="str">
        <f>""</f>
        <v/>
      </c>
      <c r="F1693" s="2" t="s">
        <v>27</v>
      </c>
      <c r="G1693" s="2" t="str">
        <f t="shared" si="167"/>
        <v>M-COM USLUGE D.O.O., TRG KREŠIMIRA ĆOSIĆA 10, 10000 ZAGREB, OIB: 85546467214</v>
      </c>
      <c r="H1693" s="4"/>
      <c r="I1693" s="1" t="s">
        <v>423</v>
      </c>
      <c r="J1693" s="1" t="s">
        <v>589</v>
      </c>
      <c r="K1693" s="6" t="str">
        <f>"3.540,40"</f>
        <v>3.540,40</v>
      </c>
      <c r="L1693" s="6" t="str">
        <f>"885,10"</f>
        <v>885,10</v>
      </c>
      <c r="M1693" s="6" t="str">
        <f>"4.425,50"</f>
        <v>4.425,50</v>
      </c>
      <c r="N1693" s="5">
        <v>43539</v>
      </c>
      <c r="O1693" s="7"/>
      <c r="P1693" s="6" t="str">
        <f>"4.425,50"</f>
        <v>4.425,50</v>
      </c>
      <c r="Q1693" s="7"/>
      <c r="R1693" s="1"/>
      <c r="S1693" s="1" t="str">
        <f>"2-19/NOS-9-B/18"</f>
        <v>2-19/NOS-9-B/18</v>
      </c>
      <c r="T1693" s="2" t="s">
        <v>65</v>
      </c>
    </row>
    <row r="1694" spans="1:20" ht="38.25" x14ac:dyDescent="0.25">
      <c r="A1694" s="1">
        <v>1690</v>
      </c>
      <c r="B1694" s="1" t="str">
        <f t="shared" si="166"/>
        <v>2018-1146</v>
      </c>
      <c r="C1694" s="2" t="s">
        <v>1040</v>
      </c>
      <c r="D1694" s="1" t="s">
        <v>819</v>
      </c>
      <c r="E1694" s="3" t="str">
        <f>""</f>
        <v/>
      </c>
      <c r="F1694" s="2" t="s">
        <v>27</v>
      </c>
      <c r="G1694" s="2" t="str">
        <f t="shared" si="167"/>
        <v>M-COM USLUGE D.O.O., TRG KREŠIMIRA ĆOSIĆA 10, 10000 ZAGREB, OIB: 85546467214</v>
      </c>
      <c r="H1694" s="4"/>
      <c r="I1694" s="1" t="s">
        <v>32</v>
      </c>
      <c r="J1694" s="1" t="s">
        <v>121</v>
      </c>
      <c r="K1694" s="6" t="str">
        <f>"1.050,00"</f>
        <v>1.050,00</v>
      </c>
      <c r="L1694" s="6" t="str">
        <f>"262,50"</f>
        <v>262,50</v>
      </c>
      <c r="M1694" s="6" t="str">
        <f>"1.312,50"</f>
        <v>1.312,50</v>
      </c>
      <c r="N1694" s="5">
        <v>43609</v>
      </c>
      <c r="O1694" s="7"/>
      <c r="P1694" s="6" t="str">
        <f>"1.312,50"</f>
        <v>1.312,50</v>
      </c>
      <c r="Q1694" s="7"/>
      <c r="R1694" s="1"/>
      <c r="S1694" s="1" t="str">
        <f>"3-19/NOS-9-B/18"</f>
        <v>3-19/NOS-9-B/18</v>
      </c>
      <c r="T1694" s="2" t="s">
        <v>65</v>
      </c>
    </row>
    <row r="1695" spans="1:20" ht="38.25" x14ac:dyDescent="0.25">
      <c r="A1695" s="1">
        <v>1691</v>
      </c>
      <c r="B1695" s="1" t="str">
        <f t="shared" si="166"/>
        <v>2018-1146</v>
      </c>
      <c r="C1695" s="2" t="s">
        <v>1040</v>
      </c>
      <c r="D1695" s="1" t="s">
        <v>819</v>
      </c>
      <c r="E1695" s="3" t="str">
        <f>"2018/S 0F2-0011457"</f>
        <v>2018/S 0F2-0011457</v>
      </c>
      <c r="F1695" s="2" t="s">
        <v>23</v>
      </c>
      <c r="G1695" s="2" t="str">
        <f t="shared" si="167"/>
        <v>M-COM USLUGE D.O.O., TRG KREŠIMIRA ĆOSIĆA 10, 10000 ZAGREB, OIB: 85546467214</v>
      </c>
      <c r="H1695" s="4"/>
      <c r="I1695" s="1" t="s">
        <v>1041</v>
      </c>
      <c r="J1695" s="1" t="s">
        <v>1042</v>
      </c>
      <c r="K1695" s="6" t="str">
        <f>"1.000.000,00"</f>
        <v>1.000.000,00</v>
      </c>
      <c r="L1695" s="6" t="str">
        <f>"250.000,00"</f>
        <v>250.000,00</v>
      </c>
      <c r="M1695" s="6" t="str">
        <f>"1.250.000,00"</f>
        <v>1.250.000,00</v>
      </c>
      <c r="N1695" s="7"/>
      <c r="O1695" s="7"/>
      <c r="P1695" s="6" t="str">
        <f>""</f>
        <v/>
      </c>
      <c r="Q1695" s="7"/>
      <c r="R1695" s="1"/>
      <c r="S1695" s="1" t="str">
        <f>"NOS-9-C/18"</f>
        <v>NOS-9-C/18</v>
      </c>
      <c r="T1695" s="2" t="s">
        <v>65</v>
      </c>
    </row>
    <row r="1696" spans="1:20" ht="38.25" x14ac:dyDescent="0.25">
      <c r="A1696" s="1">
        <v>1692</v>
      </c>
      <c r="B1696" s="1" t="str">
        <f t="shared" si="166"/>
        <v>2018-1146</v>
      </c>
      <c r="C1696" s="2" t="s">
        <v>1040</v>
      </c>
      <c r="D1696" s="4"/>
      <c r="E1696" s="3" t="str">
        <f>""</f>
        <v/>
      </c>
      <c r="F1696" s="2" t="s">
        <v>27</v>
      </c>
      <c r="G1696" s="2" t="str">
        <f t="shared" si="167"/>
        <v>M-COM USLUGE D.O.O., TRG KREŠIMIRA ĆOSIĆA 10, 10000 ZAGREB, OIB: 85546467214</v>
      </c>
      <c r="H1696" s="4"/>
      <c r="I1696" s="1" t="s">
        <v>630</v>
      </c>
      <c r="J1696" s="1" t="s">
        <v>284</v>
      </c>
      <c r="K1696" s="6" t="str">
        <f>"126.450,00"</f>
        <v>126.450,00</v>
      </c>
      <c r="L1696" s="6" t="str">
        <f>"31.612,50"</f>
        <v>31.612,50</v>
      </c>
      <c r="M1696" s="6" t="str">
        <f>"158.062,50"</f>
        <v>158.062,50</v>
      </c>
      <c r="N1696" s="5">
        <v>43650</v>
      </c>
      <c r="O1696" s="7"/>
      <c r="P1696" s="6" t="str">
        <f>"155.312,50"</f>
        <v>155.312,50</v>
      </c>
      <c r="Q1696" s="7"/>
      <c r="R1696" s="1"/>
      <c r="S1696" s="1" t="str">
        <f>"3-18/NOS-9-C/18"</f>
        <v>3-18/NOS-9-C/18</v>
      </c>
      <c r="T1696" s="2" t="s">
        <v>65</v>
      </c>
    </row>
    <row r="1697" spans="1:20" ht="38.25" x14ac:dyDescent="0.25">
      <c r="A1697" s="1">
        <v>1693</v>
      </c>
      <c r="B1697" s="1" t="str">
        <f t="shared" si="166"/>
        <v>2018-1146</v>
      </c>
      <c r="C1697" s="2" t="s">
        <v>1040</v>
      </c>
      <c r="D1697" s="1" t="s">
        <v>819</v>
      </c>
      <c r="E1697" s="3" t="str">
        <f>""</f>
        <v/>
      </c>
      <c r="F1697" s="2" t="s">
        <v>27</v>
      </c>
      <c r="G1697" s="2" t="str">
        <f t="shared" si="167"/>
        <v>M-COM USLUGE D.O.O., TRG KREŠIMIRA ĆOSIĆA 10, 10000 ZAGREB, OIB: 85546467214</v>
      </c>
      <c r="H1697" s="4"/>
      <c r="I1697" s="1" t="s">
        <v>254</v>
      </c>
      <c r="J1697" s="1" t="s">
        <v>588</v>
      </c>
      <c r="K1697" s="6" t="str">
        <f>"5.210,00"</f>
        <v>5.210,00</v>
      </c>
      <c r="L1697" s="6" t="str">
        <f>"1.302,50"</f>
        <v>1.302,50</v>
      </c>
      <c r="M1697" s="6" t="str">
        <f>"6.512,50"</f>
        <v>6.512,50</v>
      </c>
      <c r="N1697" s="5">
        <v>43501</v>
      </c>
      <c r="O1697" s="7"/>
      <c r="P1697" s="6" t="str">
        <f>"6.512,50"</f>
        <v>6.512,50</v>
      </c>
      <c r="Q1697" s="7"/>
      <c r="R1697" s="1"/>
      <c r="S1697" s="1" t="str">
        <f>"1-19/NOS-9-C/18"</f>
        <v>1-19/NOS-9-C/18</v>
      </c>
      <c r="T1697" s="2" t="s">
        <v>65</v>
      </c>
    </row>
    <row r="1698" spans="1:20" ht="38.25" x14ac:dyDescent="0.25">
      <c r="A1698" s="1">
        <v>1694</v>
      </c>
      <c r="B1698" s="1" t="str">
        <f t="shared" si="166"/>
        <v>2018-1146</v>
      </c>
      <c r="C1698" s="2" t="s">
        <v>1040</v>
      </c>
      <c r="D1698" s="1" t="s">
        <v>819</v>
      </c>
      <c r="E1698" s="3" t="str">
        <f>""</f>
        <v/>
      </c>
      <c r="F1698" s="2" t="s">
        <v>27</v>
      </c>
      <c r="G1698" s="2" t="str">
        <f t="shared" si="167"/>
        <v>M-COM USLUGE D.O.O., TRG KREŠIMIRA ĆOSIĆA 10, 10000 ZAGREB, OIB: 85546467214</v>
      </c>
      <c r="H1698" s="4"/>
      <c r="I1698" s="1" t="s">
        <v>32</v>
      </c>
      <c r="J1698" s="1" t="s">
        <v>121</v>
      </c>
      <c r="K1698" s="6" t="str">
        <f>"7.002,40"</f>
        <v>7.002,40</v>
      </c>
      <c r="L1698" s="6" t="str">
        <f>"1.750,60"</f>
        <v>1.750,60</v>
      </c>
      <c r="M1698" s="6" t="str">
        <f>"8.753,00"</f>
        <v>8.753,00</v>
      </c>
      <c r="N1698" s="5">
        <v>43609</v>
      </c>
      <c r="O1698" s="7"/>
      <c r="P1698" s="6" t="str">
        <f>"8.753,00"</f>
        <v>8.753,00</v>
      </c>
      <c r="Q1698" s="7"/>
      <c r="R1698" s="1"/>
      <c r="S1698" s="1" t="str">
        <f>"3-19/NOS-9-C/18"</f>
        <v>3-19/NOS-9-C/18</v>
      </c>
      <c r="T1698" s="2" t="s">
        <v>65</v>
      </c>
    </row>
    <row r="1699" spans="1:20" ht="76.5" x14ac:dyDescent="0.25">
      <c r="A1699" s="1">
        <v>1695</v>
      </c>
      <c r="B1699" s="1" t="str">
        <f>"2018-1279"</f>
        <v>2018-1279</v>
      </c>
      <c r="C1699" s="2" t="s">
        <v>1044</v>
      </c>
      <c r="D1699" s="1" t="s">
        <v>1045</v>
      </c>
      <c r="E1699" s="3" t="str">
        <f>"2018/S 0F2-0007477"</f>
        <v>2018/S 0F2-0007477</v>
      </c>
      <c r="F1699" s="2" t="s">
        <v>23</v>
      </c>
      <c r="G1699" s="2" t="str">
        <f>CONCATENATE("FDS-TRGOVINA D.O.O.,"," MAJSTORSKA 1G,"," 10000 ZAGREB,"," OIB: 71814187727",CHAR(10),"VODOSKOK D.D.,"," ČULINEČKA CESTA 221/C,"," 10040 ZAGREB,"," OIB: 34134218058",CHAR(10),"HIDROCOM D.O.O.,"," ANTUNA MIHANOVIĆA 55,"," 33405 PITOMAČA,"," OIB: 707132198")</f>
        <v>FDS-TRGOVINA D.O.O., MAJSTORSKA 1G, 10000 ZAGREB, OIB: 71814187727
VODOSKOK D.D., ČULINEČKA CESTA 221/C, 10040 ZAGREB, OIB: 34134218058
HIDROCOM D.O.O., ANTUNA MIHANOVIĆA 55, 33405 PITOMAČA, OIB: 707132198</v>
      </c>
      <c r="H1699" s="4"/>
      <c r="I1699" s="1" t="s">
        <v>160</v>
      </c>
      <c r="J1699" s="1" t="s">
        <v>1046</v>
      </c>
      <c r="K1699" s="6" t="str">
        <f>"1.000.000,00"</f>
        <v>1.000.000,00</v>
      </c>
      <c r="L1699" s="6" t="str">
        <f>"250.000,00"</f>
        <v>250.000,00</v>
      </c>
      <c r="M1699" s="6" t="str">
        <f>"1.250.000,00"</f>
        <v>1.250.000,00</v>
      </c>
      <c r="N1699" s="7"/>
      <c r="O1699" s="7"/>
      <c r="P1699" s="6" t="str">
        <f>""</f>
        <v/>
      </c>
      <c r="Q1699" s="7"/>
      <c r="R1699" s="1"/>
      <c r="S1699" s="1" t="str">
        <f>"NOS-10/18"</f>
        <v>NOS-10/18</v>
      </c>
      <c r="T1699" s="2" t="s">
        <v>29</v>
      </c>
    </row>
    <row r="1700" spans="1:20" ht="25.5" x14ac:dyDescent="0.25">
      <c r="A1700" s="1">
        <v>1696</v>
      </c>
      <c r="B1700" s="1" t="str">
        <f>"2018-1279"</f>
        <v>2018-1279</v>
      </c>
      <c r="C1700" s="2" t="s">
        <v>1044</v>
      </c>
      <c r="D1700" s="4"/>
      <c r="E1700" s="3" t="str">
        <f>""</f>
        <v/>
      </c>
      <c r="F1700" s="2" t="s">
        <v>27</v>
      </c>
      <c r="G1700" s="2" t="str">
        <f>CONCATENATE("FDS-TRGOVINA D.O.O.,"," MAJSTORSKA 1G,"," 10000 ZAGREB,"," OIB: 71814187727")</f>
        <v>FDS-TRGOVINA D.O.O., MAJSTORSKA 1G, 10000 ZAGREB, OIB: 71814187727</v>
      </c>
      <c r="H1700" s="4"/>
      <c r="I1700" s="1" t="s">
        <v>177</v>
      </c>
      <c r="J1700" s="1" t="s">
        <v>42</v>
      </c>
      <c r="K1700" s="6" t="str">
        <f>"478.055,72"</f>
        <v>478.055,72</v>
      </c>
      <c r="L1700" s="6" t="str">
        <f>"119.513,93"</f>
        <v>119.513,93</v>
      </c>
      <c r="M1700" s="6" t="str">
        <f>"597.569,65"</f>
        <v>597.569,65</v>
      </c>
      <c r="N1700" s="5">
        <v>43565</v>
      </c>
      <c r="O1700" s="7"/>
      <c r="P1700" s="6" t="str">
        <f>"590.957,40"</f>
        <v>590.957,40</v>
      </c>
      <c r="Q1700" s="7"/>
      <c r="R1700" s="1"/>
      <c r="S1700" s="1" t="str">
        <f>"2-18/NOS-10/18"</f>
        <v>2-18/NOS-10/18</v>
      </c>
      <c r="T1700" s="2" t="s">
        <v>29</v>
      </c>
    </row>
    <row r="1701" spans="1:20" ht="25.5" x14ac:dyDescent="0.25">
      <c r="A1701" s="1">
        <v>1697</v>
      </c>
      <c r="B1701" s="1" t="str">
        <f>"2018-1279"</f>
        <v>2018-1279</v>
      </c>
      <c r="C1701" s="2" t="s">
        <v>1044</v>
      </c>
      <c r="D1701" s="1" t="s">
        <v>1045</v>
      </c>
      <c r="E1701" s="3" t="str">
        <f>""</f>
        <v/>
      </c>
      <c r="F1701" s="2" t="s">
        <v>27</v>
      </c>
      <c r="G1701" s="2" t="str">
        <f>CONCATENATE("FDS-TRGOVINA D.O.O.,"," MAJSTORSKA 1G,"," 10000 ZAGREB,"," OIB: 71814187727")</f>
        <v>FDS-TRGOVINA D.O.O., MAJSTORSKA 1G, 10000 ZAGREB, OIB: 71814187727</v>
      </c>
      <c r="H1701" s="4"/>
      <c r="I1701" s="1" t="s">
        <v>402</v>
      </c>
      <c r="J1701" s="1" t="s">
        <v>114</v>
      </c>
      <c r="K1701" s="6" t="str">
        <f>"700,00"</f>
        <v>700,00</v>
      </c>
      <c r="L1701" s="6" t="str">
        <f>"175,00"</f>
        <v>175,00</v>
      </c>
      <c r="M1701" s="6" t="str">
        <f>"875,00"</f>
        <v>875,00</v>
      </c>
      <c r="N1701" s="1" t="s">
        <v>117</v>
      </c>
      <c r="O1701" s="7"/>
      <c r="P1701" s="6" t="str">
        <f>""</f>
        <v/>
      </c>
      <c r="Q1701" s="7"/>
      <c r="R1701" s="1"/>
      <c r="S1701" s="1" t="str">
        <f>"2-19/NOS-10/18"</f>
        <v>2-19/NOS-10/18</v>
      </c>
      <c r="T1701" s="2" t="s">
        <v>29</v>
      </c>
    </row>
    <row r="1702" spans="1:20" ht="38.25" x14ac:dyDescent="0.25">
      <c r="A1702" s="1">
        <v>1698</v>
      </c>
      <c r="B1702" s="1" t="str">
        <f t="shared" ref="B1702:B1707" si="168">"2018-2814"</f>
        <v>2018-2814</v>
      </c>
      <c r="C1702" s="2" t="s">
        <v>1047</v>
      </c>
      <c r="D1702" s="1" t="s">
        <v>1048</v>
      </c>
      <c r="E1702" s="3" t="str">
        <f>"2018/S 0F2-0011463"</f>
        <v>2018/S 0F2-0011463</v>
      </c>
      <c r="F1702" s="2" t="s">
        <v>23</v>
      </c>
      <c r="G1702" s="2" t="str">
        <f t="shared" ref="G1702:G1707" si="169">CONCATENATE("ADELA D.O.O.,"," GROFA JANKA DRAŠKOVIĆA 11,"," 53000 GOSPIĆ,"," OIB: 37289124573")</f>
        <v>ADELA D.O.O., GROFA JANKA DRAŠKOVIĆA 11, 53000 GOSPIĆ, OIB: 37289124573</v>
      </c>
      <c r="H1702" s="4"/>
      <c r="I1702" s="1" t="s">
        <v>1041</v>
      </c>
      <c r="J1702" s="1" t="s">
        <v>1049</v>
      </c>
      <c r="K1702" s="6" t="str">
        <f>"1.794.000,00"</f>
        <v>1.794.000,00</v>
      </c>
      <c r="L1702" s="6" t="str">
        <f>"448.500,00"</f>
        <v>448.500,00</v>
      </c>
      <c r="M1702" s="6" t="str">
        <f>"2.242.500,00"</f>
        <v>2.242.500,00</v>
      </c>
      <c r="N1702" s="7"/>
      <c r="O1702" s="7"/>
      <c r="P1702" s="6" t="str">
        <f>""</f>
        <v/>
      </c>
      <c r="Q1702" s="7"/>
      <c r="R1702" s="1"/>
      <c r="S1702" s="1" t="str">
        <f>"NOS-11/18"</f>
        <v>NOS-11/18</v>
      </c>
      <c r="T1702" s="2" t="s">
        <v>26</v>
      </c>
    </row>
    <row r="1703" spans="1:20" ht="25.5" x14ac:dyDescent="0.25">
      <c r="A1703" s="1">
        <v>1699</v>
      </c>
      <c r="B1703" s="1" t="str">
        <f t="shared" si="168"/>
        <v>2018-2814</v>
      </c>
      <c r="C1703" s="2" t="s">
        <v>1047</v>
      </c>
      <c r="D1703" s="4"/>
      <c r="E1703" s="3" t="str">
        <f>""</f>
        <v/>
      </c>
      <c r="F1703" s="2" t="s">
        <v>27</v>
      </c>
      <c r="G1703" s="2" t="str">
        <f t="shared" si="169"/>
        <v>ADELA D.O.O., GROFA JANKA DRAŠKOVIĆA 11, 53000 GOSPIĆ, OIB: 37289124573</v>
      </c>
      <c r="H1703" s="4"/>
      <c r="I1703" s="1" t="s">
        <v>1050</v>
      </c>
      <c r="J1703" s="1" t="s">
        <v>73</v>
      </c>
      <c r="K1703" s="6" t="str">
        <f>"501.520,00"</f>
        <v>501.520,00</v>
      </c>
      <c r="L1703" s="6" t="str">
        <f>"125.380,00"</f>
        <v>125.380,00</v>
      </c>
      <c r="M1703" s="6" t="str">
        <f>"626.900,00"</f>
        <v>626.900,00</v>
      </c>
      <c r="N1703" s="5">
        <v>43441</v>
      </c>
      <c r="O1703" s="7"/>
      <c r="P1703" s="6" t="str">
        <f>"622.552,50"</f>
        <v>622.552,50</v>
      </c>
      <c r="Q1703" s="7"/>
      <c r="R1703" s="1"/>
      <c r="S1703" s="1" t="str">
        <f>"1-18/NOS-11/18"</f>
        <v>1-18/NOS-11/18</v>
      </c>
      <c r="T1703" s="2" t="s">
        <v>33</v>
      </c>
    </row>
    <row r="1704" spans="1:20" ht="25.5" x14ac:dyDescent="0.25">
      <c r="A1704" s="1">
        <v>1700</v>
      </c>
      <c r="B1704" s="1" t="str">
        <f t="shared" si="168"/>
        <v>2018-2814</v>
      </c>
      <c r="C1704" s="2" t="s">
        <v>1047</v>
      </c>
      <c r="D1704" s="1" t="s">
        <v>1048</v>
      </c>
      <c r="E1704" s="3" t="str">
        <f>""</f>
        <v/>
      </c>
      <c r="F1704" s="2" t="s">
        <v>27</v>
      </c>
      <c r="G1704" s="2" t="str">
        <f t="shared" si="169"/>
        <v>ADELA D.O.O., GROFA JANKA DRAŠKOVIĆA 11, 53000 GOSPIĆ, OIB: 37289124573</v>
      </c>
      <c r="H1704" s="4"/>
      <c r="I1704" s="1" t="s">
        <v>195</v>
      </c>
      <c r="J1704" s="1" t="s">
        <v>45</v>
      </c>
      <c r="K1704" s="6" t="str">
        <f>"544.775,00"</f>
        <v>544.775,00</v>
      </c>
      <c r="L1704" s="6" t="str">
        <f>"136.193,75"</f>
        <v>136.193,75</v>
      </c>
      <c r="M1704" s="6" t="str">
        <f>"680.968,75"</f>
        <v>680.968,75</v>
      </c>
      <c r="N1704" s="5">
        <v>43686</v>
      </c>
      <c r="O1704" s="7"/>
      <c r="P1704" s="6" t="str">
        <f>"628.750,00"</f>
        <v>628.750,00</v>
      </c>
      <c r="Q1704" s="7"/>
      <c r="R1704" s="1"/>
      <c r="S1704" s="1" t="str">
        <f>"1-19/NOS-11/18"</f>
        <v>1-19/NOS-11/18</v>
      </c>
      <c r="T1704" s="2" t="s">
        <v>33</v>
      </c>
    </row>
    <row r="1705" spans="1:20" ht="25.5" x14ac:dyDescent="0.25">
      <c r="A1705" s="1">
        <v>1701</v>
      </c>
      <c r="B1705" s="1" t="str">
        <f t="shared" si="168"/>
        <v>2018-2814</v>
      </c>
      <c r="C1705" s="2" t="s">
        <v>1047</v>
      </c>
      <c r="D1705" s="1" t="s">
        <v>1048</v>
      </c>
      <c r="E1705" s="3" t="str">
        <f>""</f>
        <v/>
      </c>
      <c r="F1705" s="2" t="s">
        <v>27</v>
      </c>
      <c r="G1705" s="2" t="str">
        <f t="shared" si="169"/>
        <v>ADELA D.O.O., GROFA JANKA DRAŠKOVIĆA 11, 53000 GOSPIĆ, OIB: 37289124573</v>
      </c>
      <c r="H1705" s="4"/>
      <c r="I1705" s="1" t="s">
        <v>431</v>
      </c>
      <c r="J1705" s="1" t="s">
        <v>469</v>
      </c>
      <c r="K1705" s="6" t="str">
        <f>"3.200,00"</f>
        <v>3.200,00</v>
      </c>
      <c r="L1705" s="6" t="str">
        <f>"800,00"</f>
        <v>800,00</v>
      </c>
      <c r="M1705" s="6" t="str">
        <f>"4.000,00"</f>
        <v>4.000,00</v>
      </c>
      <c r="N1705" s="5">
        <v>43585</v>
      </c>
      <c r="O1705" s="7"/>
      <c r="P1705" s="6" t="str">
        <f>"4.000,00"</f>
        <v>4.000,00</v>
      </c>
      <c r="Q1705" s="7"/>
      <c r="R1705" s="1"/>
      <c r="S1705" s="1" t="str">
        <f>"2-19/NOS-11/18"</f>
        <v>2-19/NOS-11/18</v>
      </c>
      <c r="T1705" s="2" t="s">
        <v>29</v>
      </c>
    </row>
    <row r="1706" spans="1:20" ht="25.5" x14ac:dyDescent="0.25">
      <c r="A1706" s="1">
        <v>1702</v>
      </c>
      <c r="B1706" s="1" t="str">
        <f t="shared" si="168"/>
        <v>2018-2814</v>
      </c>
      <c r="C1706" s="2" t="s">
        <v>1047</v>
      </c>
      <c r="D1706" s="1" t="s">
        <v>1048</v>
      </c>
      <c r="E1706" s="3" t="str">
        <f>""</f>
        <v/>
      </c>
      <c r="F1706" s="2" t="s">
        <v>27</v>
      </c>
      <c r="G1706" s="2" t="str">
        <f t="shared" si="169"/>
        <v>ADELA D.O.O., GROFA JANKA DRAŠKOVIĆA 11, 53000 GOSPIĆ, OIB: 37289124573</v>
      </c>
      <c r="H1706" s="4"/>
      <c r="I1706" s="1" t="s">
        <v>320</v>
      </c>
      <c r="J1706" s="1" t="s">
        <v>469</v>
      </c>
      <c r="K1706" s="6" t="str">
        <f>"32.000,00"</f>
        <v>32.000,00</v>
      </c>
      <c r="L1706" s="6" t="str">
        <f>"8.000,00"</f>
        <v>8.000,00</v>
      </c>
      <c r="M1706" s="6" t="str">
        <f>"40.000,00"</f>
        <v>40.000,00</v>
      </c>
      <c r="N1706" s="5">
        <v>43621</v>
      </c>
      <c r="O1706" s="7"/>
      <c r="P1706" s="6" t="str">
        <f>"40.000,00"</f>
        <v>40.000,00</v>
      </c>
      <c r="Q1706" s="7"/>
      <c r="R1706" s="1"/>
      <c r="S1706" s="1" t="str">
        <f>"3-19/NOS-11/18"</f>
        <v>3-19/NOS-11/18</v>
      </c>
      <c r="T1706" s="2" t="s">
        <v>33</v>
      </c>
    </row>
    <row r="1707" spans="1:20" ht="25.5" x14ac:dyDescent="0.25">
      <c r="A1707" s="1">
        <v>1703</v>
      </c>
      <c r="B1707" s="1" t="str">
        <f t="shared" si="168"/>
        <v>2018-2814</v>
      </c>
      <c r="C1707" s="2" t="s">
        <v>1047</v>
      </c>
      <c r="D1707" s="1" t="s">
        <v>1048</v>
      </c>
      <c r="E1707" s="3" t="str">
        <f>""</f>
        <v/>
      </c>
      <c r="F1707" s="2" t="s">
        <v>27</v>
      </c>
      <c r="G1707" s="2" t="str">
        <f t="shared" si="169"/>
        <v>ADELA D.O.O., GROFA JANKA DRAŠKOVIĆA 11, 53000 GOSPIĆ, OIB: 37289124573</v>
      </c>
      <c r="H1707" s="4"/>
      <c r="I1707" s="1" t="s">
        <v>640</v>
      </c>
      <c r="J1707" s="1" t="s">
        <v>114</v>
      </c>
      <c r="K1707" s="6" t="str">
        <f>"2.925,00"</f>
        <v>2.925,00</v>
      </c>
      <c r="L1707" s="6" t="str">
        <f>"731,25"</f>
        <v>731,25</v>
      </c>
      <c r="M1707" s="6" t="str">
        <f>"3.656,25"</f>
        <v>3.656,25</v>
      </c>
      <c r="N1707" s="5">
        <v>43662</v>
      </c>
      <c r="O1707" s="7"/>
      <c r="P1707" s="6" t="str">
        <f>"3.656,25"</f>
        <v>3.656,25</v>
      </c>
      <c r="Q1707" s="7"/>
      <c r="R1707" s="1"/>
      <c r="S1707" s="1" t="str">
        <f>"5-19/NOS-11/18"</f>
        <v>5-19/NOS-11/18</v>
      </c>
      <c r="T1707" s="2" t="s">
        <v>29</v>
      </c>
    </row>
    <row r="1708" spans="1:20" ht="38.25" x14ac:dyDescent="0.25">
      <c r="A1708" s="1">
        <v>1704</v>
      </c>
      <c r="B1708" s="1" t="str">
        <f>"2018-1598"</f>
        <v>2018-1598</v>
      </c>
      <c r="C1708" s="2" t="s">
        <v>1051</v>
      </c>
      <c r="D1708" s="1" t="s">
        <v>1052</v>
      </c>
      <c r="E1708" s="3" t="str">
        <f>"2018/S 0F2-0013595"</f>
        <v>2018/S 0F2-0013595</v>
      </c>
      <c r="F1708" s="2" t="s">
        <v>23</v>
      </c>
      <c r="G1708" s="2" t="str">
        <f>CONCATENATE("VAGE D.O.O.,"," KOLEDOVČINA 2A,"," 10000 ZAGREB,"," OIB: 30335873024")</f>
        <v>VAGE D.O.O., KOLEDOVČINA 2A, 10000 ZAGREB, OIB: 30335873024</v>
      </c>
      <c r="H1708" s="4"/>
      <c r="I1708" s="1" t="s">
        <v>1041</v>
      </c>
      <c r="J1708" s="1" t="s">
        <v>1049</v>
      </c>
      <c r="K1708" s="6" t="str">
        <f>"900.000,00"</f>
        <v>900.000,00</v>
      </c>
      <c r="L1708" s="6" t="str">
        <f>"225.000,00"</f>
        <v>225.000,00</v>
      </c>
      <c r="M1708" s="6" t="str">
        <f>"1.125.000,00"</f>
        <v>1.125.000,00</v>
      </c>
      <c r="N1708" s="7"/>
      <c r="O1708" s="7"/>
      <c r="P1708" s="6" t="str">
        <f>""</f>
        <v/>
      </c>
      <c r="Q1708" s="7"/>
      <c r="R1708" s="1"/>
      <c r="S1708" s="1" t="str">
        <f>"NOS-12/18"</f>
        <v>NOS-12/18</v>
      </c>
      <c r="T1708" s="2" t="s">
        <v>33</v>
      </c>
    </row>
    <row r="1709" spans="1:20" ht="25.5" x14ac:dyDescent="0.25">
      <c r="A1709" s="1">
        <v>1705</v>
      </c>
      <c r="B1709" s="1" t="str">
        <f>"2018-1598"</f>
        <v>2018-1598</v>
      </c>
      <c r="C1709" s="2" t="s">
        <v>1051</v>
      </c>
      <c r="D1709" s="1" t="s">
        <v>1052</v>
      </c>
      <c r="E1709" s="3" t="str">
        <f>""</f>
        <v/>
      </c>
      <c r="F1709" s="2" t="s">
        <v>27</v>
      </c>
      <c r="G1709" s="2" t="str">
        <f>CONCATENATE("VAGE D.O.O.,"," KOLEDOVČINA 2A,"," 10000 ZAGREB,"," OIB: 30335873024")</f>
        <v>VAGE D.O.O., KOLEDOVČINA 2A, 10000 ZAGREB, OIB: 30335873024</v>
      </c>
      <c r="H1709" s="4"/>
      <c r="I1709" s="1" t="s">
        <v>301</v>
      </c>
      <c r="J1709" s="1" t="s">
        <v>492</v>
      </c>
      <c r="K1709" s="6" t="str">
        <f>"54.275,00"</f>
        <v>54.275,00</v>
      </c>
      <c r="L1709" s="6" t="str">
        <f>"13.512,50"</f>
        <v>13.512,50</v>
      </c>
      <c r="M1709" s="6" t="str">
        <f>"67.562,50"</f>
        <v>67.562,50</v>
      </c>
      <c r="N1709" s="5">
        <v>43573</v>
      </c>
      <c r="O1709" s="7"/>
      <c r="P1709" s="6" t="str">
        <f>"67.562,50"</f>
        <v>67.562,50</v>
      </c>
      <c r="Q1709" s="7"/>
      <c r="R1709" s="1"/>
      <c r="S1709" s="1" t="str">
        <f>"1-19/NOS-12/18"</f>
        <v>1-19/NOS-12/18</v>
      </c>
      <c r="T1709" s="2" t="s">
        <v>33</v>
      </c>
    </row>
    <row r="1710" spans="1:20" ht="25.5" x14ac:dyDescent="0.25">
      <c r="A1710" s="1">
        <v>1706</v>
      </c>
      <c r="B1710" s="1" t="str">
        <f>"2018-1598"</f>
        <v>2018-1598</v>
      </c>
      <c r="C1710" s="2" t="s">
        <v>1051</v>
      </c>
      <c r="D1710" s="1" t="s">
        <v>1052</v>
      </c>
      <c r="E1710" s="3" t="str">
        <f>""</f>
        <v/>
      </c>
      <c r="F1710" s="2" t="s">
        <v>27</v>
      </c>
      <c r="G1710" s="2" t="str">
        <f>CONCATENATE("VAGE D.O.O.,"," KOLEDOVČINA 2A,"," 10000 ZAGREB,"," OIB: 30335873024")</f>
        <v>VAGE D.O.O., KOLEDOVČINA 2A, 10000 ZAGREB, OIB: 30335873024</v>
      </c>
      <c r="H1710" s="4"/>
      <c r="I1710" s="1" t="s">
        <v>311</v>
      </c>
      <c r="J1710" s="1" t="s">
        <v>31</v>
      </c>
      <c r="K1710" s="6" t="str">
        <f>"102.294,00"</f>
        <v>102.294,00</v>
      </c>
      <c r="L1710" s="6" t="str">
        <f>"16.030,25"</f>
        <v>16.030,25</v>
      </c>
      <c r="M1710" s="6" t="str">
        <f>"80.151,25"</f>
        <v>80.151,25</v>
      </c>
      <c r="N1710" s="5">
        <v>43663</v>
      </c>
      <c r="O1710" s="7"/>
      <c r="P1710" s="6" t="str">
        <f>"80.151,25"</f>
        <v>80.151,25</v>
      </c>
      <c r="Q1710" s="7"/>
      <c r="R1710" s="1"/>
      <c r="S1710" s="1" t="str">
        <f>"2-19/NOS-12/18"</f>
        <v>2-19/NOS-12/18</v>
      </c>
      <c r="T1710" s="2" t="s">
        <v>33</v>
      </c>
    </row>
    <row r="1711" spans="1:20" ht="25.5" x14ac:dyDescent="0.25">
      <c r="A1711" s="1">
        <v>1707</v>
      </c>
      <c r="B1711" s="1" t="str">
        <f>"2018-1598"</f>
        <v>2018-1598</v>
      </c>
      <c r="C1711" s="2" t="s">
        <v>1051</v>
      </c>
      <c r="D1711" s="1" t="s">
        <v>1052</v>
      </c>
      <c r="E1711" s="3" t="str">
        <f>""</f>
        <v/>
      </c>
      <c r="F1711" s="2" t="s">
        <v>27</v>
      </c>
      <c r="G1711" s="2" t="str">
        <f>CONCATENATE("VAGE D.O.O.,"," KOLEDOVČINA 2A,"," 10000 ZAGREB,"," OIB: 30335873024")</f>
        <v>VAGE D.O.O., KOLEDOVČINA 2A, 10000 ZAGREB, OIB: 30335873024</v>
      </c>
      <c r="H1711" s="4"/>
      <c r="I1711" s="1" t="s">
        <v>74</v>
      </c>
      <c r="J1711" s="1" t="s">
        <v>121</v>
      </c>
      <c r="K1711" s="6" t="str">
        <f>"5.325,00"</f>
        <v>5.325,00</v>
      </c>
      <c r="L1711" s="6" t="str">
        <f>"1.331,25"</f>
        <v>1.331,25</v>
      </c>
      <c r="M1711" s="6" t="str">
        <f>"6.656,25"</f>
        <v>6.656,25</v>
      </c>
      <c r="N1711" s="5">
        <v>43643</v>
      </c>
      <c r="O1711" s="7"/>
      <c r="P1711" s="6" t="str">
        <f>"6.656,25"</f>
        <v>6.656,25</v>
      </c>
      <c r="Q1711" s="7"/>
      <c r="R1711" s="1"/>
      <c r="S1711" s="1" t="str">
        <f>"4-19/NOS-12/18"</f>
        <v>4-19/NOS-12/18</v>
      </c>
      <c r="T1711" s="2" t="s">
        <v>33</v>
      </c>
    </row>
    <row r="1712" spans="1:20" ht="38.25" x14ac:dyDescent="0.25">
      <c r="A1712" s="1">
        <v>1708</v>
      </c>
      <c r="B1712" s="1" t="str">
        <f>"2018-2842"</f>
        <v>2018-2842</v>
      </c>
      <c r="C1712" s="2" t="s">
        <v>1053</v>
      </c>
      <c r="D1712" s="1" t="s">
        <v>1054</v>
      </c>
      <c r="E1712" s="3" t="str">
        <f>"2018/S 0F2-0014786"</f>
        <v>2018/S 0F2-0014786</v>
      </c>
      <c r="F1712" s="2" t="s">
        <v>23</v>
      </c>
      <c r="G1712" s="2" t="str">
        <f>CONCATENATE("ZAGREL RITTMEYER D.O.O.,"," KRALJICE JELENE 6,"," 10000 ZAGREB,"," OIB: 00100837674")</f>
        <v>ZAGREL RITTMEYER D.O.O., KRALJICE JELENE 6, 10000 ZAGREB, OIB: 00100837674</v>
      </c>
      <c r="H1712" s="4"/>
      <c r="I1712" s="1" t="s">
        <v>1055</v>
      </c>
      <c r="J1712" s="1" t="s">
        <v>1056</v>
      </c>
      <c r="K1712" s="6" t="str">
        <f>"700.000,00"</f>
        <v>700.000,00</v>
      </c>
      <c r="L1712" s="6" t="str">
        <f>"175.000,00"</f>
        <v>175.000,00</v>
      </c>
      <c r="M1712" s="6" t="str">
        <f>"875.000,00"</f>
        <v>875.000,00</v>
      </c>
      <c r="N1712" s="7"/>
      <c r="O1712" s="7"/>
      <c r="P1712" s="6" t="str">
        <f>""</f>
        <v/>
      </c>
      <c r="Q1712" s="7"/>
      <c r="R1712" s="1"/>
      <c r="S1712" s="1" t="str">
        <f>"NOS-13/18"</f>
        <v>NOS-13/18</v>
      </c>
      <c r="T1712" s="2" t="s">
        <v>29</v>
      </c>
    </row>
    <row r="1713" spans="1:20" ht="25.5" x14ac:dyDescent="0.25">
      <c r="A1713" s="1">
        <v>1709</v>
      </c>
      <c r="B1713" s="1" t="str">
        <f>"2018-2842"</f>
        <v>2018-2842</v>
      </c>
      <c r="C1713" s="2" t="s">
        <v>1053</v>
      </c>
      <c r="D1713" s="1" t="s">
        <v>1054</v>
      </c>
      <c r="E1713" s="3" t="str">
        <f>""</f>
        <v/>
      </c>
      <c r="F1713" s="2" t="s">
        <v>27</v>
      </c>
      <c r="G1713" s="2" t="str">
        <f>CONCATENATE("ZAGREL RITTMEYER D.O.O.,"," KRALJICE JELENE 6,"," 10000 ZAGREB,"," OIB: 00100837674")</f>
        <v>ZAGREL RITTMEYER D.O.O., KRALJICE JELENE 6, 10000 ZAGREB, OIB: 00100837674</v>
      </c>
      <c r="H1713" s="4"/>
      <c r="I1713" s="1" t="s">
        <v>475</v>
      </c>
      <c r="J1713" s="1" t="s">
        <v>469</v>
      </c>
      <c r="K1713" s="6" t="str">
        <f>"415.040,00"</f>
        <v>415.040,00</v>
      </c>
      <c r="L1713" s="6" t="str">
        <f>"40.887,50"</f>
        <v>40.887,50</v>
      </c>
      <c r="M1713" s="6" t="str">
        <f>"204.437,50"</f>
        <v>204.437,50</v>
      </c>
      <c r="N1713" s="5">
        <v>43707</v>
      </c>
      <c r="O1713" s="7"/>
      <c r="P1713" s="6" t="str">
        <f>"204.437,50"</f>
        <v>204.437,50</v>
      </c>
      <c r="Q1713" s="7"/>
      <c r="R1713" s="1"/>
      <c r="S1713" s="1" t="str">
        <f>"1-19/NOS-13/18"</f>
        <v>1-19/NOS-13/18</v>
      </c>
      <c r="T1713" s="2" t="s">
        <v>29</v>
      </c>
    </row>
    <row r="1714" spans="1:20" ht="38.25" x14ac:dyDescent="0.25">
      <c r="A1714" s="1">
        <v>1710</v>
      </c>
      <c r="B1714" s="1" t="str">
        <f>"2018-2804"</f>
        <v>2018-2804</v>
      </c>
      <c r="C1714" s="2" t="s">
        <v>1057</v>
      </c>
      <c r="D1714" s="1" t="s">
        <v>1058</v>
      </c>
      <c r="E1714" s="3" t="str">
        <f>"2018/S 0F2-0014248"</f>
        <v>2018/S 0F2-0014248</v>
      </c>
      <c r="F1714" s="2" t="s">
        <v>23</v>
      </c>
      <c r="G1714" s="2" t="str">
        <f>CONCATENATE("GEOGIS D.O.O.,"," 2. MAKSIMIRSKO NASELJE 3,"," 10 000 ZAGREB,"," OIB: 6304681775")</f>
        <v>GEOGIS D.O.O., 2. MAKSIMIRSKO NASELJE 3, 10 000 ZAGREB, OIB: 6304681775</v>
      </c>
      <c r="H1714" s="4"/>
      <c r="I1714" s="1" t="s">
        <v>1055</v>
      </c>
      <c r="J1714" s="1" t="s">
        <v>1056</v>
      </c>
      <c r="K1714" s="6" t="str">
        <f>"600.000,00"</f>
        <v>600.000,00</v>
      </c>
      <c r="L1714" s="6" t="str">
        <f>"150.000,00"</f>
        <v>150.000,00</v>
      </c>
      <c r="M1714" s="6" t="str">
        <f>"750.000,00"</f>
        <v>750.000,00</v>
      </c>
      <c r="N1714" s="7"/>
      <c r="O1714" s="7"/>
      <c r="P1714" s="6" t="str">
        <f>""</f>
        <v/>
      </c>
      <c r="Q1714" s="7"/>
      <c r="R1714" s="1"/>
      <c r="S1714" s="1" t="str">
        <f>"NOS-14/18"</f>
        <v>NOS-14/18</v>
      </c>
      <c r="T1714" s="2" t="s">
        <v>33</v>
      </c>
    </row>
    <row r="1715" spans="1:20" ht="38.25" x14ac:dyDescent="0.25">
      <c r="A1715" s="1">
        <v>1711</v>
      </c>
      <c r="B1715" s="1" t="str">
        <f>"2018-2967"</f>
        <v>2018-2967</v>
      </c>
      <c r="C1715" s="2" t="s">
        <v>947</v>
      </c>
      <c r="D1715" s="1" t="s">
        <v>948</v>
      </c>
      <c r="E1715" s="3" t="str">
        <f>"2018/S 0F2-0015814"</f>
        <v>2018/S 0F2-0015814</v>
      </c>
      <c r="F1715" s="2" t="s">
        <v>23</v>
      </c>
      <c r="G1715" s="2" t="str">
        <f>CONCATENATE("AUTO BENUSSI D.O.O.,"," INDUSTRIJSKA 2D,"," 52100 PULA,"," OIB: 96262119913")</f>
        <v>AUTO BENUSSI D.O.O., INDUSTRIJSKA 2D, 52100 PULA, OIB: 96262119913</v>
      </c>
      <c r="H1715" s="4"/>
      <c r="I1715" s="1" t="s">
        <v>1059</v>
      </c>
      <c r="J1715" s="1" t="s">
        <v>1060</v>
      </c>
      <c r="K1715" s="6" t="str">
        <f>"700.000,00"</f>
        <v>700.000,00</v>
      </c>
      <c r="L1715" s="6" t="str">
        <f>"175.000,00"</f>
        <v>175.000,00</v>
      </c>
      <c r="M1715" s="6" t="str">
        <f>"875.000,00"</f>
        <v>875.000,00</v>
      </c>
      <c r="N1715" s="7"/>
      <c r="O1715" s="7"/>
      <c r="P1715" s="6" t="str">
        <f>""</f>
        <v/>
      </c>
      <c r="Q1715" s="7"/>
      <c r="R1715" s="1"/>
      <c r="S1715" s="1" t="str">
        <f>"NOS-15/18"</f>
        <v>NOS-15/18</v>
      </c>
      <c r="T1715" s="2" t="s">
        <v>33</v>
      </c>
    </row>
    <row r="1716" spans="1:20" ht="25.5" x14ac:dyDescent="0.25">
      <c r="A1716" s="1">
        <v>1712</v>
      </c>
      <c r="B1716" s="1" t="str">
        <f>"2018-2967"</f>
        <v>2018-2967</v>
      </c>
      <c r="C1716" s="2" t="s">
        <v>947</v>
      </c>
      <c r="D1716" s="4"/>
      <c r="E1716" s="3" t="str">
        <f>""</f>
        <v/>
      </c>
      <c r="F1716" s="2" t="s">
        <v>27</v>
      </c>
      <c r="G1716" s="2" t="str">
        <f>CONCATENATE("AUTO BENUSSI D.O.O.,"," INDUSTRIJSKA 2D,"," 52100 PULA,"," OIB: 96262119913")</f>
        <v>AUTO BENUSSI D.O.O., INDUSTRIJSKA 2D, 52100 PULA, OIB: 96262119913</v>
      </c>
      <c r="H1716" s="4"/>
      <c r="I1716" s="1" t="s">
        <v>254</v>
      </c>
      <c r="J1716" s="1" t="s">
        <v>45</v>
      </c>
      <c r="K1716" s="6" t="str">
        <f>"120.074,40"</f>
        <v>120.074,40</v>
      </c>
      <c r="L1716" s="6" t="str">
        <f>"30.018,60"</f>
        <v>30.018,60</v>
      </c>
      <c r="M1716" s="6" t="str">
        <f>"150.093,00"</f>
        <v>150.093,00</v>
      </c>
      <c r="N1716" s="1" t="s">
        <v>117</v>
      </c>
      <c r="O1716" s="7"/>
      <c r="P1716" s="6" t="str">
        <f>""</f>
        <v/>
      </c>
      <c r="Q1716" s="7"/>
      <c r="R1716" s="1"/>
      <c r="S1716" s="1" t="str">
        <f>"1-19/NOS-15/18"</f>
        <v>1-19/NOS-15/18</v>
      </c>
      <c r="T1716" s="2" t="s">
        <v>33</v>
      </c>
    </row>
    <row r="1717" spans="1:20" ht="38.25" x14ac:dyDescent="0.25">
      <c r="A1717" s="1">
        <v>1713</v>
      </c>
      <c r="B1717" s="1" t="str">
        <f>"2018-1454"</f>
        <v>2018-1454</v>
      </c>
      <c r="C1717" s="2" t="s">
        <v>1061</v>
      </c>
      <c r="D1717" s="1" t="s">
        <v>223</v>
      </c>
      <c r="E1717" s="3" t="str">
        <f>"2018/S 0F2-0012554"</f>
        <v>2018/S 0F2-0012554</v>
      </c>
      <c r="F1717" s="2" t="s">
        <v>23</v>
      </c>
      <c r="G1717" s="2" t="str">
        <f>CONCATENATE("ISD INFORMACIJSKI SUSTAVI D.O.O.,"," GORIČKI ODVOJAK 18,"," 10000 ZAGREB,"," OIB: 15390872174")</f>
        <v>ISD INFORMACIJSKI SUSTAVI D.O.O., GORIČKI ODVOJAK 18, 10000 ZAGREB, OIB: 15390872174</v>
      </c>
      <c r="H1717" s="4"/>
      <c r="I1717" s="1" t="s">
        <v>1028</v>
      </c>
      <c r="J1717" s="1" t="s">
        <v>1062</v>
      </c>
      <c r="K1717" s="6" t="str">
        <f>"300.000,00"</f>
        <v>300.000,00</v>
      </c>
      <c r="L1717" s="6" t="str">
        <f>"75.000,00"</f>
        <v>75.000,00</v>
      </c>
      <c r="M1717" s="6" t="str">
        <f>"375.000,00"</f>
        <v>375.000,00</v>
      </c>
      <c r="N1717" s="7"/>
      <c r="O1717" s="7"/>
      <c r="P1717" s="6" t="str">
        <f>""</f>
        <v/>
      </c>
      <c r="Q1717" s="7"/>
      <c r="R1717" s="1"/>
      <c r="S1717" s="1" t="str">
        <f>"NOS-16/18"</f>
        <v>NOS-16/18</v>
      </c>
      <c r="T1717" s="2" t="s">
        <v>29</v>
      </c>
    </row>
    <row r="1718" spans="1:20" ht="38.25" x14ac:dyDescent="0.25">
      <c r="A1718" s="1">
        <v>1714</v>
      </c>
      <c r="B1718" s="1" t="str">
        <f>"2018-1454"</f>
        <v>2018-1454</v>
      </c>
      <c r="C1718" s="2" t="s">
        <v>1061</v>
      </c>
      <c r="D1718" s="1" t="s">
        <v>223</v>
      </c>
      <c r="E1718" s="3" t="str">
        <f>""</f>
        <v/>
      </c>
      <c r="F1718" s="2" t="s">
        <v>27</v>
      </c>
      <c r="G1718" s="2" t="str">
        <f>CONCATENATE("ISD INFORMACIJSKI SUSTAVI D.O.O.,"," GORIČKI ODVOJAK 18,"," 10000 ZAGREB,"," OIB: 15390872174")</f>
        <v>ISD INFORMACIJSKI SUSTAVI D.O.O., GORIČKI ODVOJAK 18, 10000 ZAGREB, OIB: 15390872174</v>
      </c>
      <c r="H1718" s="4"/>
      <c r="I1718" s="1" t="s">
        <v>1063</v>
      </c>
      <c r="J1718" s="1" t="s">
        <v>42</v>
      </c>
      <c r="K1718" s="6" t="str">
        <f>"132.000,00"</f>
        <v>132.000,00</v>
      </c>
      <c r="L1718" s="6" t="str">
        <f>"33.000,00"</f>
        <v>33.000,00</v>
      </c>
      <c r="M1718" s="6" t="str">
        <f>"165.000,00"</f>
        <v>165.000,00</v>
      </c>
      <c r="N1718" s="5">
        <v>43524</v>
      </c>
      <c r="O1718" s="7"/>
      <c r="P1718" s="6" t="str">
        <f>"54.375,00"</f>
        <v>54.375,00</v>
      </c>
      <c r="Q1718" s="7"/>
      <c r="R1718" s="1"/>
      <c r="S1718" s="1" t="str">
        <f>"1-18/NOS-16/18"</f>
        <v>1-18/NOS-16/18</v>
      </c>
      <c r="T1718" s="2" t="s">
        <v>29</v>
      </c>
    </row>
    <row r="1719" spans="1:20" ht="38.25" x14ac:dyDescent="0.25">
      <c r="A1719" s="1">
        <v>1715</v>
      </c>
      <c r="B1719" s="1" t="str">
        <f>"2018-1454"</f>
        <v>2018-1454</v>
      </c>
      <c r="C1719" s="2" t="s">
        <v>1061</v>
      </c>
      <c r="D1719" s="1" t="s">
        <v>223</v>
      </c>
      <c r="E1719" s="3" t="str">
        <f>""</f>
        <v/>
      </c>
      <c r="F1719" s="2" t="s">
        <v>27</v>
      </c>
      <c r="G1719" s="2" t="str">
        <f>CONCATENATE("ISD INFORMACIJSKI SUSTAVI D.O.O.,"," GORIČKI ODVOJAK 18,"," 10000 ZAGREB,"," OIB: 15390872174")</f>
        <v>ISD INFORMACIJSKI SUSTAVI D.O.O., GORIČKI ODVOJAK 18, 10000 ZAGREB, OIB: 15390872174</v>
      </c>
      <c r="H1719" s="4"/>
      <c r="I1719" s="1" t="s">
        <v>494</v>
      </c>
      <c r="J1719" s="1" t="s">
        <v>469</v>
      </c>
      <c r="K1719" s="6" t="str">
        <f>"17.400,00"</f>
        <v>17.400,00</v>
      </c>
      <c r="L1719" s="6" t="str">
        <f>"4.350,00"</f>
        <v>4.350,00</v>
      </c>
      <c r="M1719" s="6" t="str">
        <f>"21.750,00"</f>
        <v>21.750,00</v>
      </c>
      <c r="N1719" s="5">
        <v>43616</v>
      </c>
      <c r="O1719" s="7"/>
      <c r="P1719" s="6" t="str">
        <f>"21.750,00"</f>
        <v>21.750,00</v>
      </c>
      <c r="Q1719" s="7"/>
      <c r="R1719" s="1"/>
      <c r="S1719" s="1" t="str">
        <f>"1-19/NOS-16/18"</f>
        <v>1-19/NOS-16/18</v>
      </c>
      <c r="T1719" s="2" t="s">
        <v>29</v>
      </c>
    </row>
    <row r="1720" spans="1:20" ht="38.25" x14ac:dyDescent="0.25">
      <c r="A1720" s="1">
        <v>1716</v>
      </c>
      <c r="B1720" s="1" t="str">
        <f>"2018-1454"</f>
        <v>2018-1454</v>
      </c>
      <c r="C1720" s="2" t="s">
        <v>1061</v>
      </c>
      <c r="D1720" s="1" t="s">
        <v>223</v>
      </c>
      <c r="E1720" s="3" t="str">
        <f>""</f>
        <v/>
      </c>
      <c r="F1720" s="2" t="s">
        <v>27</v>
      </c>
      <c r="G1720" s="2" t="str">
        <f>CONCATENATE("ISD INFORMACIJSKI SUSTAVI D.O.O.,"," GORIČKI ODVOJAK 18,"," 10000 ZAGREB,"," OIB: 15390872174")</f>
        <v>ISD INFORMACIJSKI SUSTAVI D.O.O., GORIČKI ODVOJAK 18, 10000 ZAGREB, OIB: 15390872174</v>
      </c>
      <c r="H1720" s="4"/>
      <c r="I1720" s="1" t="s">
        <v>639</v>
      </c>
      <c r="J1720" s="1" t="s">
        <v>469</v>
      </c>
      <c r="K1720" s="6" t="str">
        <f>"17.400,00"</f>
        <v>17.400,00</v>
      </c>
      <c r="L1720" s="6" t="str">
        <f>"4.350,00"</f>
        <v>4.350,00</v>
      </c>
      <c r="M1720" s="6" t="str">
        <f>"21.750,00"</f>
        <v>21.750,00</v>
      </c>
      <c r="N1720" s="5">
        <v>43677</v>
      </c>
      <c r="O1720" s="7"/>
      <c r="P1720" s="6" t="str">
        <f>"21.750,00"</f>
        <v>21.750,00</v>
      </c>
      <c r="Q1720" s="7"/>
      <c r="R1720" s="1"/>
      <c r="S1720" s="1" t="str">
        <f>"2-19/NOS-16/18"</f>
        <v>2-19/NOS-16/18</v>
      </c>
      <c r="T1720" s="2" t="s">
        <v>29</v>
      </c>
    </row>
    <row r="1721" spans="1:20" ht="76.5" x14ac:dyDescent="0.25">
      <c r="A1721" s="1">
        <v>1717</v>
      </c>
      <c r="B1721" s="1" t="str">
        <f t="shared" ref="B1721:B1726" si="170">"2018-2807"</f>
        <v>2018-2807</v>
      </c>
      <c r="C1721" s="2" t="s">
        <v>1064</v>
      </c>
      <c r="D1721" s="1" t="s">
        <v>1065</v>
      </c>
      <c r="E1721" s="3" t="str">
        <f>"2018/S 0F2-0009623"</f>
        <v>2018/S 0F2-0009623</v>
      </c>
      <c r="F1721" s="2" t="s">
        <v>23</v>
      </c>
      <c r="G1721" s="2" t="str">
        <f>CONCATENATE("SMIT-COMMERCE D.O.O.,"," GORNJOSTUPNIČKA 9B,"," 10255 GORNJI STUPNIK,"," OIB: 95243482140",CHAR(10),"ELEKTROCENTAR PETEK D.O.O.,"," ETANSKA CESTA 8,"," 10310 IVANIĆ-GRAD,"," OIB: 17491977848")</f>
        <v>SMIT-COMMERCE D.O.O., GORNJOSTUPNIČKA 9B, 10255 GORNJI STUPNIK, OIB: 95243482140
ELEKTROCENTAR PETEK D.O.O., ETANSKA CESTA 8, 10310 IVANIĆ-GRAD, OIB: 17491977848</v>
      </c>
      <c r="H1721" s="4"/>
      <c r="I1721" s="1" t="s">
        <v>150</v>
      </c>
      <c r="J1721" s="1" t="s">
        <v>1066</v>
      </c>
      <c r="K1721" s="6" t="str">
        <f>"340.000,00"</f>
        <v>340.000,00</v>
      </c>
      <c r="L1721" s="6" t="str">
        <f>"85.000,00"</f>
        <v>85.000,00</v>
      </c>
      <c r="M1721" s="6" t="str">
        <f>"425.000,00"</f>
        <v>425.000,00</v>
      </c>
      <c r="N1721" s="7"/>
      <c r="O1721" s="7"/>
      <c r="P1721" s="6" t="str">
        <f>""</f>
        <v/>
      </c>
      <c r="Q1721" s="7"/>
      <c r="R1721" s="1"/>
      <c r="S1721" s="1" t="str">
        <f>"NOS-17/18"</f>
        <v>NOS-17/18</v>
      </c>
      <c r="T1721" s="2" t="s">
        <v>26</v>
      </c>
    </row>
    <row r="1722" spans="1:20" ht="38.25" x14ac:dyDescent="0.25">
      <c r="A1722" s="1">
        <v>1718</v>
      </c>
      <c r="B1722" s="1" t="str">
        <f t="shared" si="170"/>
        <v>2018-2807</v>
      </c>
      <c r="C1722" s="2" t="s">
        <v>1064</v>
      </c>
      <c r="D1722" s="1" t="s">
        <v>1065</v>
      </c>
      <c r="E1722" s="3" t="str">
        <f>""</f>
        <v/>
      </c>
      <c r="F1722" s="2" t="s">
        <v>27</v>
      </c>
      <c r="G1722" s="2" t="str">
        <f>CONCATENATE("SMIT-COMMERCE D.O.O.,"," GORNJOSTUPNIČKA 9B,"," 10255 GORNJI STUPNIK,"," OIB: 9524348214")</f>
        <v>SMIT-COMMERCE D.O.O., GORNJOSTUPNIČKA 9B, 10255 GORNJI STUPNIK, OIB: 9524348214</v>
      </c>
      <c r="H1722" s="4"/>
      <c r="I1722" s="1" t="s">
        <v>668</v>
      </c>
      <c r="J1722" s="1" t="s">
        <v>64</v>
      </c>
      <c r="K1722" s="6" t="str">
        <f>"20.594,52"</f>
        <v>20.594,52</v>
      </c>
      <c r="L1722" s="6" t="str">
        <f>"5.148,63"</f>
        <v>5.148,63</v>
      </c>
      <c r="M1722" s="6" t="str">
        <f>"25.743,15"</f>
        <v>25.743,15</v>
      </c>
      <c r="N1722" s="5">
        <v>43629</v>
      </c>
      <c r="O1722" s="7"/>
      <c r="P1722" s="6" t="str">
        <f>"9.595,72"</f>
        <v>9.595,72</v>
      </c>
      <c r="Q1722" s="7"/>
      <c r="R1722" s="1"/>
      <c r="S1722" s="1" t="str">
        <f>"3-18/NOS-17/18"</f>
        <v>3-18/NOS-17/18</v>
      </c>
      <c r="T1722" s="2" t="s">
        <v>33</v>
      </c>
    </row>
    <row r="1723" spans="1:20" ht="38.25" x14ac:dyDescent="0.25">
      <c r="A1723" s="1">
        <v>1719</v>
      </c>
      <c r="B1723" s="1" t="str">
        <f t="shared" si="170"/>
        <v>2018-2807</v>
      </c>
      <c r="C1723" s="2" t="s">
        <v>1064</v>
      </c>
      <c r="D1723" s="1" t="s">
        <v>1065</v>
      </c>
      <c r="E1723" s="3" t="str">
        <f>""</f>
        <v/>
      </c>
      <c r="F1723" s="2" t="s">
        <v>27</v>
      </c>
      <c r="G1723" s="2" t="str">
        <f>CONCATENATE("SMIT-COMMERCE D.O.O.,"," GORNJOSTUPNIČKA 9B,"," 10255 GORNJI STUPNIK,"," OIB: 9524348214")</f>
        <v>SMIT-COMMERCE D.O.O., GORNJOSTUPNIČKA 9B, 10255 GORNJI STUPNIK, OIB: 9524348214</v>
      </c>
      <c r="H1723" s="4"/>
      <c r="I1723" s="1" t="s">
        <v>308</v>
      </c>
      <c r="J1723" s="1" t="s">
        <v>251</v>
      </c>
      <c r="K1723" s="6" t="str">
        <f>"3.008,50"</f>
        <v>3.008,50</v>
      </c>
      <c r="L1723" s="6" t="str">
        <f>"752,13"</f>
        <v>752,13</v>
      </c>
      <c r="M1723" s="6" t="str">
        <f>"3.760,63"</f>
        <v>3.760,63</v>
      </c>
      <c r="N1723" s="5">
        <v>43578</v>
      </c>
      <c r="O1723" s="7"/>
      <c r="P1723" s="6" t="str">
        <f>"3.760,62"</f>
        <v>3.760,62</v>
      </c>
      <c r="Q1723" s="7"/>
      <c r="R1723" s="1"/>
      <c r="S1723" s="1" t="str">
        <f>"1-19/NOS-17/18"</f>
        <v>1-19/NOS-17/18</v>
      </c>
      <c r="T1723" s="2" t="s">
        <v>33</v>
      </c>
    </row>
    <row r="1724" spans="1:20" ht="38.25" x14ac:dyDescent="0.25">
      <c r="A1724" s="1">
        <v>1720</v>
      </c>
      <c r="B1724" s="1" t="str">
        <f t="shared" si="170"/>
        <v>2018-2807</v>
      </c>
      <c r="C1724" s="2" t="s">
        <v>1064</v>
      </c>
      <c r="D1724" s="1" t="s">
        <v>1065</v>
      </c>
      <c r="E1724" s="3" t="str">
        <f>""</f>
        <v/>
      </c>
      <c r="F1724" s="2" t="s">
        <v>27</v>
      </c>
      <c r="G1724" s="2" t="str">
        <f>CONCATENATE("SMIT-COMMERCE D.O.O.,"," GORNJOSTUPNIČKA 9B,"," 10255 GORNJI STUPNIK,"," OIB: 9524348214")</f>
        <v>SMIT-COMMERCE D.O.O., GORNJOSTUPNIČKA 9B, 10255 GORNJI STUPNIK, OIB: 9524348214</v>
      </c>
      <c r="H1724" s="4"/>
      <c r="I1724" s="1" t="s">
        <v>329</v>
      </c>
      <c r="J1724" s="1" t="s">
        <v>251</v>
      </c>
      <c r="K1724" s="6" t="str">
        <f>"5.700,08"</f>
        <v>5.700,08</v>
      </c>
      <c r="L1724" s="6" t="str">
        <f>"1.425,02"</f>
        <v>1.425,02</v>
      </c>
      <c r="M1724" s="6" t="str">
        <f>"7.125,10"</f>
        <v>7.125,10</v>
      </c>
      <c r="N1724" s="5">
        <v>43601</v>
      </c>
      <c r="O1724" s="7"/>
      <c r="P1724" s="6" t="str">
        <f>"7.125,10"</f>
        <v>7.125,10</v>
      </c>
      <c r="Q1724" s="7"/>
      <c r="R1724" s="1"/>
      <c r="S1724" s="1" t="str">
        <f>"2-19/NOS-17/18"</f>
        <v>2-19/NOS-17/18</v>
      </c>
      <c r="T1724" s="2" t="s">
        <v>33</v>
      </c>
    </row>
    <row r="1725" spans="1:20" ht="38.25" x14ac:dyDescent="0.25">
      <c r="A1725" s="1">
        <v>1721</v>
      </c>
      <c r="B1725" s="1" t="str">
        <f t="shared" si="170"/>
        <v>2018-2807</v>
      </c>
      <c r="C1725" s="2" t="s">
        <v>1064</v>
      </c>
      <c r="D1725" s="1" t="s">
        <v>1065</v>
      </c>
      <c r="E1725" s="3" t="str">
        <f>""</f>
        <v/>
      </c>
      <c r="F1725" s="2" t="s">
        <v>27</v>
      </c>
      <c r="G1725" s="2" t="str">
        <f>CONCATENATE("ELEKTROCENTAR PETEK D.O.O.,"," ETANSKA CESTA 8,"," 10310 IVANIĆ-GRAD,"," OIB: 17491977848")</f>
        <v>ELEKTROCENTAR PETEK D.O.O., ETANSKA CESTA 8, 10310 IVANIĆ-GRAD, OIB: 17491977848</v>
      </c>
      <c r="H1725" s="4"/>
      <c r="I1725" s="1" t="s">
        <v>440</v>
      </c>
      <c r="J1725" s="1" t="s">
        <v>251</v>
      </c>
      <c r="K1725" s="6" t="str">
        <f>"13.350,00"</f>
        <v>13.350,00</v>
      </c>
      <c r="L1725" s="6" t="str">
        <f>"337,50"</f>
        <v>337,50</v>
      </c>
      <c r="M1725" s="6" t="str">
        <f>"1.687,50"</f>
        <v>1.687,50</v>
      </c>
      <c r="N1725" s="5">
        <v>43648</v>
      </c>
      <c r="O1725" s="7"/>
      <c r="P1725" s="6" t="str">
        <f>"1.687,50"</f>
        <v>1.687,50</v>
      </c>
      <c r="Q1725" s="7"/>
      <c r="R1725" s="1"/>
      <c r="S1725" s="1" t="str">
        <f>"3-19/NOS-17/18"</f>
        <v>3-19/NOS-17/18</v>
      </c>
      <c r="T1725" s="2" t="s">
        <v>33</v>
      </c>
    </row>
    <row r="1726" spans="1:20" ht="38.25" x14ac:dyDescent="0.25">
      <c r="A1726" s="1">
        <v>1722</v>
      </c>
      <c r="B1726" s="1" t="str">
        <f t="shared" si="170"/>
        <v>2018-2807</v>
      </c>
      <c r="C1726" s="2" t="s">
        <v>1064</v>
      </c>
      <c r="D1726" s="1" t="s">
        <v>1065</v>
      </c>
      <c r="E1726" s="3" t="str">
        <f>""</f>
        <v/>
      </c>
      <c r="F1726" s="2" t="s">
        <v>27</v>
      </c>
      <c r="G1726" s="2" t="str">
        <f>CONCATENATE("SMIT-COMMERCE D.O.O.,"," GORNJOSTUPNIČKA 9B,"," 10255 GORNJI STUPNIK,"," OIB: 9524348214")</f>
        <v>SMIT-COMMERCE D.O.O., GORNJOSTUPNIČKA 9B, 10255 GORNJI STUPNIK, OIB: 9524348214</v>
      </c>
      <c r="H1726" s="4"/>
      <c r="I1726" s="1" t="s">
        <v>474</v>
      </c>
      <c r="J1726" s="1" t="s">
        <v>140</v>
      </c>
      <c r="K1726" s="6" t="str">
        <f>"682,22"</f>
        <v>682,22</v>
      </c>
      <c r="L1726" s="6" t="str">
        <f>"170,56"</f>
        <v>170,56</v>
      </c>
      <c r="M1726" s="6" t="str">
        <f>"852,78"</f>
        <v>852,78</v>
      </c>
      <c r="N1726" s="5">
        <v>43487</v>
      </c>
      <c r="O1726" s="7"/>
      <c r="P1726" s="6" t="str">
        <f>"852,78"</f>
        <v>852,78</v>
      </c>
      <c r="Q1726" s="7"/>
      <c r="R1726" s="1"/>
      <c r="S1726" s="1" t="str">
        <f>"5-18/NOS-17/18"</f>
        <v>5-18/NOS-17/18</v>
      </c>
      <c r="T1726" s="2" t="s">
        <v>33</v>
      </c>
    </row>
    <row r="1727" spans="1:20" ht="76.5" x14ac:dyDescent="0.25">
      <c r="A1727" s="1">
        <v>1723</v>
      </c>
      <c r="B1727" s="1" t="str">
        <f t="shared" ref="B1727:B1758" si="171">"2018-2920"</f>
        <v>2018-2920</v>
      </c>
      <c r="C1727" s="2" t="s">
        <v>709</v>
      </c>
      <c r="D1727" s="1" t="s">
        <v>119</v>
      </c>
      <c r="E1727" s="3" t="str">
        <f>"2018/S 0F2-0013058"</f>
        <v>2018/S 0F2-0013058</v>
      </c>
      <c r="F1727" s="2" t="s">
        <v>23</v>
      </c>
      <c r="G1727" s="2" t="str">
        <f>CONCATENATE("MONTEL D.O.O.,"," HORVATOVA 48/B,"," 10000 ZAGREB,"," OIB: 12595351308",CHAR(10),"M.SOLDO D.O.O.,"," DEBANIĆEVA 39,"," 10000 ZAGREB,"," OIB: 58353605637",CHAR(10),"TELEFONVOD D.O.O.,"," MESTINJSKI PUT 22,"," 10000 ZAGREB,"," OIB: 24048532686")</f>
        <v>MONTEL D.O.O., HORVATOVA 48/B, 10000 ZAGREB, OIB: 12595351308
M.SOLDO D.O.O., DEBANIĆEVA 39, 10000 ZAGREB, OIB: 58353605637
TELEFONVOD D.O.O., MESTINJSKI PUT 22, 10000 ZAGREB, OIB: 24048532686</v>
      </c>
      <c r="H1727" s="4"/>
      <c r="I1727" s="1" t="s">
        <v>1050</v>
      </c>
      <c r="J1727" s="1" t="s">
        <v>1067</v>
      </c>
      <c r="K1727" s="6" t="str">
        <f>"3.000.000,00"</f>
        <v>3.000.000,00</v>
      </c>
      <c r="L1727" s="6" t="str">
        <f>"750.000,00"</f>
        <v>750.000,00</v>
      </c>
      <c r="M1727" s="6" t="str">
        <f>"3.750.000,00"</f>
        <v>3.750.000,00</v>
      </c>
      <c r="N1727" s="7"/>
      <c r="O1727" s="7"/>
      <c r="P1727" s="6" t="str">
        <f>""</f>
        <v/>
      </c>
      <c r="Q1727" s="7"/>
      <c r="R1727" s="1"/>
      <c r="S1727" s="1" t="str">
        <f>"NOS-18/18"</f>
        <v>NOS-18/18</v>
      </c>
      <c r="T1727" s="2" t="s">
        <v>33</v>
      </c>
    </row>
    <row r="1728" spans="1:20" ht="38.25" x14ac:dyDescent="0.25">
      <c r="A1728" s="1">
        <v>1724</v>
      </c>
      <c r="B1728" s="1" t="str">
        <f t="shared" si="171"/>
        <v>2018-2920</v>
      </c>
      <c r="C1728" s="2" t="s">
        <v>709</v>
      </c>
      <c r="D1728" s="1" t="s">
        <v>119</v>
      </c>
      <c r="E1728" s="3" t="str">
        <f>""</f>
        <v/>
      </c>
      <c r="F1728" s="2" t="s">
        <v>27</v>
      </c>
      <c r="G1728" s="2" t="str">
        <f t="shared" ref="G1728:G1759" si="172">CONCATENATE("M.SOLDO D.O.O.,"," DEBANIĆEVA 39,"," 10000 ZAGREB,"," OIB: 58353605637")</f>
        <v>M.SOLDO D.O.O., DEBANIĆEVA 39, 10000 ZAGREB, OIB: 58353605637</v>
      </c>
      <c r="H1728" s="4"/>
      <c r="I1728" s="1" t="s">
        <v>462</v>
      </c>
      <c r="J1728" s="1" t="s">
        <v>47</v>
      </c>
      <c r="K1728" s="6" t="str">
        <f>"800,00"</f>
        <v>800,00</v>
      </c>
      <c r="L1728" s="6" t="str">
        <f>"200,00"</f>
        <v>200,00</v>
      </c>
      <c r="M1728" s="6" t="str">
        <f>"1.000,00"</f>
        <v>1.000,00</v>
      </c>
      <c r="N1728" s="5">
        <v>43517</v>
      </c>
      <c r="O1728" s="7"/>
      <c r="P1728" s="6" t="str">
        <f>"1.000,00"</f>
        <v>1.000,00</v>
      </c>
      <c r="Q1728" s="7"/>
      <c r="R1728" s="1"/>
      <c r="S1728" s="1" t="str">
        <f>"1-19/NOS-18/18"</f>
        <v>1-19/NOS-18/18</v>
      </c>
      <c r="T1728" s="2" t="s">
        <v>33</v>
      </c>
    </row>
    <row r="1729" spans="1:20" ht="38.25" x14ac:dyDescent="0.25">
      <c r="A1729" s="1">
        <v>1725</v>
      </c>
      <c r="B1729" s="1" t="str">
        <f t="shared" si="171"/>
        <v>2018-2920</v>
      </c>
      <c r="C1729" s="2" t="s">
        <v>709</v>
      </c>
      <c r="D1729" s="1" t="s">
        <v>119</v>
      </c>
      <c r="E1729" s="3" t="str">
        <f>""</f>
        <v/>
      </c>
      <c r="F1729" s="2" t="s">
        <v>27</v>
      </c>
      <c r="G1729" s="2" t="str">
        <f t="shared" si="172"/>
        <v>M.SOLDO D.O.O., DEBANIĆEVA 39, 10000 ZAGREB, OIB: 58353605637</v>
      </c>
      <c r="H1729" s="4"/>
      <c r="I1729" s="1" t="s">
        <v>462</v>
      </c>
      <c r="J1729" s="1" t="s">
        <v>47</v>
      </c>
      <c r="K1729" s="6" t="str">
        <f>"800,00"</f>
        <v>800,00</v>
      </c>
      <c r="L1729" s="6" t="str">
        <f>"200,00"</f>
        <v>200,00</v>
      </c>
      <c r="M1729" s="6" t="str">
        <f>"1.000,00"</f>
        <v>1.000,00</v>
      </c>
      <c r="N1729" s="5">
        <v>43517</v>
      </c>
      <c r="O1729" s="7"/>
      <c r="P1729" s="6" t="str">
        <f>"1.000,00"</f>
        <v>1.000,00</v>
      </c>
      <c r="Q1729" s="7"/>
      <c r="R1729" s="1"/>
      <c r="S1729" s="1" t="str">
        <f>"2-19/NOS-18/18"</f>
        <v>2-19/NOS-18/18</v>
      </c>
      <c r="T1729" s="2" t="s">
        <v>33</v>
      </c>
    </row>
    <row r="1730" spans="1:20" ht="38.25" x14ac:dyDescent="0.25">
      <c r="A1730" s="1">
        <v>1726</v>
      </c>
      <c r="B1730" s="1" t="str">
        <f t="shared" si="171"/>
        <v>2018-2920</v>
      </c>
      <c r="C1730" s="2" t="s">
        <v>709</v>
      </c>
      <c r="D1730" s="1" t="s">
        <v>119</v>
      </c>
      <c r="E1730" s="3" t="str">
        <f>""</f>
        <v/>
      </c>
      <c r="F1730" s="2" t="s">
        <v>27</v>
      </c>
      <c r="G1730" s="2" t="str">
        <f t="shared" si="172"/>
        <v>M.SOLDO D.O.O., DEBANIĆEVA 39, 10000 ZAGREB, OIB: 58353605637</v>
      </c>
      <c r="H1730" s="4"/>
      <c r="I1730" s="1" t="s">
        <v>462</v>
      </c>
      <c r="J1730" s="1" t="s">
        <v>47</v>
      </c>
      <c r="K1730" s="6" t="str">
        <f>"400,00"</f>
        <v>400,00</v>
      </c>
      <c r="L1730" s="6" t="str">
        <f>"100,00"</f>
        <v>100,00</v>
      </c>
      <c r="M1730" s="6" t="str">
        <f>"500,00"</f>
        <v>500,00</v>
      </c>
      <c r="N1730" s="5">
        <v>43517</v>
      </c>
      <c r="O1730" s="7"/>
      <c r="P1730" s="6" t="str">
        <f>"500,00"</f>
        <v>500,00</v>
      </c>
      <c r="Q1730" s="7"/>
      <c r="R1730" s="1"/>
      <c r="S1730" s="1" t="str">
        <f>"3-19/NOS-18/18"</f>
        <v>3-19/NOS-18/18</v>
      </c>
      <c r="T1730" s="2" t="s">
        <v>33</v>
      </c>
    </row>
    <row r="1731" spans="1:20" ht="38.25" x14ac:dyDescent="0.25">
      <c r="A1731" s="1">
        <v>1727</v>
      </c>
      <c r="B1731" s="1" t="str">
        <f t="shared" si="171"/>
        <v>2018-2920</v>
      </c>
      <c r="C1731" s="2" t="s">
        <v>709</v>
      </c>
      <c r="D1731" s="1" t="s">
        <v>119</v>
      </c>
      <c r="E1731" s="3" t="str">
        <f>""</f>
        <v/>
      </c>
      <c r="F1731" s="2" t="s">
        <v>27</v>
      </c>
      <c r="G1731" s="2" t="str">
        <f t="shared" si="172"/>
        <v>M.SOLDO D.O.O., DEBANIĆEVA 39, 10000 ZAGREB, OIB: 58353605637</v>
      </c>
      <c r="H1731" s="4"/>
      <c r="I1731" s="1" t="s">
        <v>462</v>
      </c>
      <c r="J1731" s="1" t="s">
        <v>47</v>
      </c>
      <c r="K1731" s="6" t="str">
        <f>"3.000,00"</f>
        <v>3.000,00</v>
      </c>
      <c r="L1731" s="6" t="str">
        <f>"750,00"</f>
        <v>750,00</v>
      </c>
      <c r="M1731" s="6" t="str">
        <f>"3.750,00"</f>
        <v>3.750,00</v>
      </c>
      <c r="N1731" s="5">
        <v>43517</v>
      </c>
      <c r="O1731" s="7"/>
      <c r="P1731" s="6" t="str">
        <f>"3.750,00"</f>
        <v>3.750,00</v>
      </c>
      <c r="Q1731" s="7"/>
      <c r="R1731" s="1"/>
      <c r="S1731" s="1" t="str">
        <f>"4-19/NOS-18/18"</f>
        <v>4-19/NOS-18/18</v>
      </c>
      <c r="T1731" s="2" t="s">
        <v>33</v>
      </c>
    </row>
    <row r="1732" spans="1:20" ht="38.25" x14ac:dyDescent="0.25">
      <c r="A1732" s="1">
        <v>1728</v>
      </c>
      <c r="B1732" s="1" t="str">
        <f t="shared" si="171"/>
        <v>2018-2920</v>
      </c>
      <c r="C1732" s="2" t="s">
        <v>709</v>
      </c>
      <c r="D1732" s="1" t="s">
        <v>119</v>
      </c>
      <c r="E1732" s="3" t="str">
        <f>""</f>
        <v/>
      </c>
      <c r="F1732" s="2" t="s">
        <v>27</v>
      </c>
      <c r="G1732" s="2" t="str">
        <f t="shared" si="172"/>
        <v>M.SOLDO D.O.O., DEBANIĆEVA 39, 10000 ZAGREB, OIB: 58353605637</v>
      </c>
      <c r="H1732" s="4"/>
      <c r="I1732" s="1" t="s">
        <v>462</v>
      </c>
      <c r="J1732" s="1" t="s">
        <v>47</v>
      </c>
      <c r="K1732" s="6" t="str">
        <f>"5.000,00"</f>
        <v>5.000,00</v>
      </c>
      <c r="L1732" s="6" t="str">
        <f>"1.250,00"</f>
        <v>1.250,00</v>
      </c>
      <c r="M1732" s="6" t="str">
        <f>"6.250,00"</f>
        <v>6.250,00</v>
      </c>
      <c r="N1732" s="5">
        <v>43517</v>
      </c>
      <c r="O1732" s="7"/>
      <c r="P1732" s="6" t="str">
        <f>"6.250,00"</f>
        <v>6.250,00</v>
      </c>
      <c r="Q1732" s="7"/>
      <c r="R1732" s="1"/>
      <c r="S1732" s="1" t="str">
        <f>"5-19/NOS-18/18"</f>
        <v>5-19/NOS-18/18</v>
      </c>
      <c r="T1732" s="2" t="s">
        <v>33</v>
      </c>
    </row>
    <row r="1733" spans="1:20" ht="38.25" x14ac:dyDescent="0.25">
      <c r="A1733" s="1">
        <v>1729</v>
      </c>
      <c r="B1733" s="1" t="str">
        <f t="shared" si="171"/>
        <v>2018-2920</v>
      </c>
      <c r="C1733" s="2" t="s">
        <v>709</v>
      </c>
      <c r="D1733" s="1" t="s">
        <v>119</v>
      </c>
      <c r="E1733" s="3" t="str">
        <f>""</f>
        <v/>
      </c>
      <c r="F1733" s="2" t="s">
        <v>27</v>
      </c>
      <c r="G1733" s="2" t="str">
        <f t="shared" si="172"/>
        <v>M.SOLDO D.O.O., DEBANIĆEVA 39, 10000 ZAGREB, OIB: 58353605637</v>
      </c>
      <c r="H1733" s="4"/>
      <c r="I1733" s="1" t="s">
        <v>462</v>
      </c>
      <c r="J1733" s="1" t="s">
        <v>47</v>
      </c>
      <c r="K1733" s="6" t="str">
        <f>"5.000,00"</f>
        <v>5.000,00</v>
      </c>
      <c r="L1733" s="6" t="str">
        <f>"1.250,00"</f>
        <v>1.250,00</v>
      </c>
      <c r="M1733" s="6" t="str">
        <f>"6.250,00"</f>
        <v>6.250,00</v>
      </c>
      <c r="N1733" s="5">
        <v>43517</v>
      </c>
      <c r="O1733" s="7"/>
      <c r="P1733" s="6" t="str">
        <f>"6.250,00"</f>
        <v>6.250,00</v>
      </c>
      <c r="Q1733" s="7"/>
      <c r="R1733" s="1"/>
      <c r="S1733" s="1" t="str">
        <f>"6-19/NOS-18/18"</f>
        <v>6-19/NOS-18/18</v>
      </c>
      <c r="T1733" s="2" t="s">
        <v>33</v>
      </c>
    </row>
    <row r="1734" spans="1:20" ht="38.25" x14ac:dyDescent="0.25">
      <c r="A1734" s="1">
        <v>1730</v>
      </c>
      <c r="B1734" s="1" t="str">
        <f t="shared" si="171"/>
        <v>2018-2920</v>
      </c>
      <c r="C1734" s="2" t="s">
        <v>709</v>
      </c>
      <c r="D1734" s="1" t="s">
        <v>119</v>
      </c>
      <c r="E1734" s="3" t="str">
        <f>""</f>
        <v/>
      </c>
      <c r="F1734" s="2" t="s">
        <v>27</v>
      </c>
      <c r="G1734" s="2" t="str">
        <f t="shared" si="172"/>
        <v>M.SOLDO D.O.O., DEBANIĆEVA 39, 10000 ZAGREB, OIB: 58353605637</v>
      </c>
      <c r="H1734" s="4"/>
      <c r="I1734" s="1" t="s">
        <v>462</v>
      </c>
      <c r="J1734" s="1" t="s">
        <v>47</v>
      </c>
      <c r="K1734" s="6" t="str">
        <f>"3.000,00"</f>
        <v>3.000,00</v>
      </c>
      <c r="L1734" s="6" t="str">
        <f>"750,00"</f>
        <v>750,00</v>
      </c>
      <c r="M1734" s="6" t="str">
        <f>"3.750,00"</f>
        <v>3.750,00</v>
      </c>
      <c r="N1734" s="5">
        <v>43517</v>
      </c>
      <c r="O1734" s="7"/>
      <c r="P1734" s="6" t="str">
        <f>"3.750,00"</f>
        <v>3.750,00</v>
      </c>
      <c r="Q1734" s="7"/>
      <c r="R1734" s="1"/>
      <c r="S1734" s="1" t="str">
        <f>"7-19/NOS-18/18"</f>
        <v>7-19/NOS-18/18</v>
      </c>
      <c r="T1734" s="2" t="s">
        <v>33</v>
      </c>
    </row>
    <row r="1735" spans="1:20" ht="38.25" x14ac:dyDescent="0.25">
      <c r="A1735" s="1">
        <v>1731</v>
      </c>
      <c r="B1735" s="1" t="str">
        <f t="shared" si="171"/>
        <v>2018-2920</v>
      </c>
      <c r="C1735" s="2" t="s">
        <v>709</v>
      </c>
      <c r="D1735" s="1" t="s">
        <v>119</v>
      </c>
      <c r="E1735" s="3" t="str">
        <f>""</f>
        <v/>
      </c>
      <c r="F1735" s="2" t="s">
        <v>27</v>
      </c>
      <c r="G1735" s="2" t="str">
        <f t="shared" si="172"/>
        <v>M.SOLDO D.O.O., DEBANIĆEVA 39, 10000 ZAGREB, OIB: 58353605637</v>
      </c>
      <c r="H1735" s="4"/>
      <c r="I1735" s="1" t="s">
        <v>462</v>
      </c>
      <c r="J1735" s="1" t="s">
        <v>47</v>
      </c>
      <c r="K1735" s="6" t="str">
        <f>"400,00"</f>
        <v>400,00</v>
      </c>
      <c r="L1735" s="6" t="str">
        <f>"100,00"</f>
        <v>100,00</v>
      </c>
      <c r="M1735" s="6" t="str">
        <f>"500,00"</f>
        <v>500,00</v>
      </c>
      <c r="N1735" s="5">
        <v>43517</v>
      </c>
      <c r="O1735" s="7"/>
      <c r="P1735" s="6" t="str">
        <f>"500,00"</f>
        <v>500,00</v>
      </c>
      <c r="Q1735" s="7"/>
      <c r="R1735" s="1"/>
      <c r="S1735" s="1" t="str">
        <f>"8-19/NOS-18/18"</f>
        <v>8-19/NOS-18/18</v>
      </c>
      <c r="T1735" s="2" t="s">
        <v>33</v>
      </c>
    </row>
    <row r="1736" spans="1:20" ht="38.25" x14ac:dyDescent="0.25">
      <c r="A1736" s="1">
        <v>1732</v>
      </c>
      <c r="B1736" s="1" t="str">
        <f t="shared" si="171"/>
        <v>2018-2920</v>
      </c>
      <c r="C1736" s="2" t="s">
        <v>709</v>
      </c>
      <c r="D1736" s="1" t="s">
        <v>119</v>
      </c>
      <c r="E1736" s="3" t="str">
        <f>""</f>
        <v/>
      </c>
      <c r="F1736" s="2" t="s">
        <v>27</v>
      </c>
      <c r="G1736" s="2" t="str">
        <f t="shared" si="172"/>
        <v>M.SOLDO D.O.O., DEBANIĆEVA 39, 10000 ZAGREB, OIB: 58353605637</v>
      </c>
      <c r="H1736" s="4"/>
      <c r="I1736" s="1" t="s">
        <v>462</v>
      </c>
      <c r="J1736" s="1" t="s">
        <v>47</v>
      </c>
      <c r="K1736" s="6" t="str">
        <f>"3.000,00"</f>
        <v>3.000,00</v>
      </c>
      <c r="L1736" s="6" t="str">
        <f>"750,00"</f>
        <v>750,00</v>
      </c>
      <c r="M1736" s="6" t="str">
        <f>"3.750,00"</f>
        <v>3.750,00</v>
      </c>
      <c r="N1736" s="5">
        <v>43517</v>
      </c>
      <c r="O1736" s="7"/>
      <c r="P1736" s="6" t="str">
        <f>"3.750,00"</f>
        <v>3.750,00</v>
      </c>
      <c r="Q1736" s="7"/>
      <c r="R1736" s="1"/>
      <c r="S1736" s="1" t="str">
        <f>"9-19/NOS-18/18"</f>
        <v>9-19/NOS-18/18</v>
      </c>
      <c r="T1736" s="2" t="s">
        <v>33</v>
      </c>
    </row>
    <row r="1737" spans="1:20" ht="38.25" x14ac:dyDescent="0.25">
      <c r="A1737" s="1">
        <v>1733</v>
      </c>
      <c r="B1737" s="1" t="str">
        <f t="shared" si="171"/>
        <v>2018-2920</v>
      </c>
      <c r="C1737" s="2" t="s">
        <v>709</v>
      </c>
      <c r="D1737" s="1" t="s">
        <v>119</v>
      </c>
      <c r="E1737" s="3" t="str">
        <f>""</f>
        <v/>
      </c>
      <c r="F1737" s="2" t="s">
        <v>27</v>
      </c>
      <c r="G1737" s="2" t="str">
        <f t="shared" si="172"/>
        <v>M.SOLDO D.O.O., DEBANIĆEVA 39, 10000 ZAGREB, OIB: 58353605637</v>
      </c>
      <c r="H1737" s="4"/>
      <c r="I1737" s="1" t="s">
        <v>195</v>
      </c>
      <c r="J1737" s="1" t="s">
        <v>47</v>
      </c>
      <c r="K1737" s="6" t="str">
        <f>"2.400,00"</f>
        <v>2.400,00</v>
      </c>
      <c r="L1737" s="6" t="str">
        <f>"600,00"</f>
        <v>600,00</v>
      </c>
      <c r="M1737" s="6" t="str">
        <f>"3.000,00"</f>
        <v>3.000,00</v>
      </c>
      <c r="N1737" s="5">
        <v>43523</v>
      </c>
      <c r="O1737" s="7"/>
      <c r="P1737" s="6" t="str">
        <f>"3.000,00"</f>
        <v>3.000,00</v>
      </c>
      <c r="Q1737" s="7"/>
      <c r="R1737" s="1"/>
      <c r="S1737" s="1" t="str">
        <f>"10-19/NOS-18/18"</f>
        <v>10-19/NOS-18/18</v>
      </c>
      <c r="T1737" s="2" t="s">
        <v>33</v>
      </c>
    </row>
    <row r="1738" spans="1:20" ht="38.25" x14ac:dyDescent="0.25">
      <c r="A1738" s="1">
        <v>1734</v>
      </c>
      <c r="B1738" s="1" t="str">
        <f t="shared" si="171"/>
        <v>2018-2920</v>
      </c>
      <c r="C1738" s="2" t="s">
        <v>709</v>
      </c>
      <c r="D1738" s="1" t="s">
        <v>119</v>
      </c>
      <c r="E1738" s="3" t="str">
        <f>""</f>
        <v/>
      </c>
      <c r="F1738" s="2" t="s">
        <v>27</v>
      </c>
      <c r="G1738" s="2" t="str">
        <f t="shared" si="172"/>
        <v>M.SOLDO D.O.O., DEBANIĆEVA 39, 10000 ZAGREB, OIB: 58353605637</v>
      </c>
      <c r="H1738" s="4"/>
      <c r="I1738" s="1" t="s">
        <v>195</v>
      </c>
      <c r="J1738" s="1" t="s">
        <v>47</v>
      </c>
      <c r="K1738" s="6" t="str">
        <f>"6.600,00"</f>
        <v>6.600,00</v>
      </c>
      <c r="L1738" s="6" t="str">
        <f>"1.650,00"</f>
        <v>1.650,00</v>
      </c>
      <c r="M1738" s="6" t="str">
        <f>"8.250,00"</f>
        <v>8.250,00</v>
      </c>
      <c r="N1738" s="5">
        <v>43523</v>
      </c>
      <c r="O1738" s="7"/>
      <c r="P1738" s="6" t="str">
        <f>"8.250,00"</f>
        <v>8.250,00</v>
      </c>
      <c r="Q1738" s="7"/>
      <c r="R1738" s="1"/>
      <c r="S1738" s="1" t="str">
        <f>"11-19/NOS-18/18"</f>
        <v>11-19/NOS-18/18</v>
      </c>
      <c r="T1738" s="2" t="s">
        <v>33</v>
      </c>
    </row>
    <row r="1739" spans="1:20" ht="38.25" x14ac:dyDescent="0.25">
      <c r="A1739" s="1">
        <v>1735</v>
      </c>
      <c r="B1739" s="1" t="str">
        <f t="shared" si="171"/>
        <v>2018-2920</v>
      </c>
      <c r="C1739" s="2" t="s">
        <v>709</v>
      </c>
      <c r="D1739" s="1" t="s">
        <v>119</v>
      </c>
      <c r="E1739" s="3" t="str">
        <f>""</f>
        <v/>
      </c>
      <c r="F1739" s="2" t="s">
        <v>27</v>
      </c>
      <c r="G1739" s="2" t="str">
        <f t="shared" si="172"/>
        <v>M.SOLDO D.O.O., DEBANIĆEVA 39, 10000 ZAGREB, OIB: 58353605637</v>
      </c>
      <c r="H1739" s="4"/>
      <c r="I1739" s="1" t="s">
        <v>195</v>
      </c>
      <c r="J1739" s="1" t="s">
        <v>47</v>
      </c>
      <c r="K1739" s="6" t="str">
        <f>"3.000,00"</f>
        <v>3.000,00</v>
      </c>
      <c r="L1739" s="6" t="str">
        <f>"750,00"</f>
        <v>750,00</v>
      </c>
      <c r="M1739" s="6" t="str">
        <f>"3.750,00"</f>
        <v>3.750,00</v>
      </c>
      <c r="N1739" s="5">
        <v>43523</v>
      </c>
      <c r="O1739" s="7"/>
      <c r="P1739" s="6" t="str">
        <f>"3.750,00"</f>
        <v>3.750,00</v>
      </c>
      <c r="Q1739" s="7"/>
      <c r="R1739" s="1"/>
      <c r="S1739" s="1" t="str">
        <f>"12-19/NOS-18/18"</f>
        <v>12-19/NOS-18/18</v>
      </c>
      <c r="T1739" s="2" t="s">
        <v>33</v>
      </c>
    </row>
    <row r="1740" spans="1:20" ht="38.25" x14ac:dyDescent="0.25">
      <c r="A1740" s="1">
        <v>1736</v>
      </c>
      <c r="B1740" s="1" t="str">
        <f t="shared" si="171"/>
        <v>2018-2920</v>
      </c>
      <c r="C1740" s="2" t="s">
        <v>709</v>
      </c>
      <c r="D1740" s="1" t="s">
        <v>119</v>
      </c>
      <c r="E1740" s="3" t="str">
        <f>""</f>
        <v/>
      </c>
      <c r="F1740" s="2" t="s">
        <v>27</v>
      </c>
      <c r="G1740" s="2" t="str">
        <f t="shared" si="172"/>
        <v>M.SOLDO D.O.O., DEBANIĆEVA 39, 10000 ZAGREB, OIB: 58353605637</v>
      </c>
      <c r="H1740" s="4"/>
      <c r="I1740" s="1" t="s">
        <v>195</v>
      </c>
      <c r="J1740" s="1" t="s">
        <v>47</v>
      </c>
      <c r="K1740" s="6" t="str">
        <f>"8.315,00"</f>
        <v>8.315,00</v>
      </c>
      <c r="L1740" s="6" t="str">
        <f>"2.078,75"</f>
        <v>2.078,75</v>
      </c>
      <c r="M1740" s="6" t="str">
        <f>"10.393,75"</f>
        <v>10.393,75</v>
      </c>
      <c r="N1740" s="5">
        <v>43523</v>
      </c>
      <c r="O1740" s="7"/>
      <c r="P1740" s="6" t="str">
        <f>"10.393,75"</f>
        <v>10.393,75</v>
      </c>
      <c r="Q1740" s="7"/>
      <c r="R1740" s="1"/>
      <c r="S1740" s="1" t="str">
        <f>"13-19/NOS-18/18"</f>
        <v>13-19/NOS-18/18</v>
      </c>
      <c r="T1740" s="2" t="s">
        <v>33</v>
      </c>
    </row>
    <row r="1741" spans="1:20" ht="38.25" x14ac:dyDescent="0.25">
      <c r="A1741" s="1">
        <v>1737</v>
      </c>
      <c r="B1741" s="1" t="str">
        <f t="shared" si="171"/>
        <v>2018-2920</v>
      </c>
      <c r="C1741" s="2" t="s">
        <v>709</v>
      </c>
      <c r="D1741" s="1" t="s">
        <v>119</v>
      </c>
      <c r="E1741" s="3" t="str">
        <f>""</f>
        <v/>
      </c>
      <c r="F1741" s="2" t="s">
        <v>27</v>
      </c>
      <c r="G1741" s="2" t="str">
        <f t="shared" si="172"/>
        <v>M.SOLDO D.O.O., DEBANIĆEVA 39, 10000 ZAGREB, OIB: 58353605637</v>
      </c>
      <c r="H1741" s="4"/>
      <c r="I1741" s="1" t="s">
        <v>210</v>
      </c>
      <c r="J1741" s="1" t="s">
        <v>47</v>
      </c>
      <c r="K1741" s="6" t="str">
        <f>"1.800,00"</f>
        <v>1.800,00</v>
      </c>
      <c r="L1741" s="6" t="str">
        <f>"450,00"</f>
        <v>450,00</v>
      </c>
      <c r="M1741" s="6" t="str">
        <f>"2.250,00"</f>
        <v>2.250,00</v>
      </c>
      <c r="N1741" s="5">
        <v>43524</v>
      </c>
      <c r="O1741" s="7"/>
      <c r="P1741" s="6" t="str">
        <f>"2.250,00"</f>
        <v>2.250,00</v>
      </c>
      <c r="Q1741" s="7"/>
      <c r="R1741" s="1"/>
      <c r="S1741" s="1" t="str">
        <f>"14-19/NOS-18/18"</f>
        <v>14-19/NOS-18/18</v>
      </c>
      <c r="T1741" s="2" t="s">
        <v>33</v>
      </c>
    </row>
    <row r="1742" spans="1:20" ht="38.25" x14ac:dyDescent="0.25">
      <c r="A1742" s="1">
        <v>1738</v>
      </c>
      <c r="B1742" s="1" t="str">
        <f t="shared" si="171"/>
        <v>2018-2920</v>
      </c>
      <c r="C1742" s="2" t="s">
        <v>709</v>
      </c>
      <c r="D1742" s="1" t="s">
        <v>119</v>
      </c>
      <c r="E1742" s="3" t="str">
        <f>""</f>
        <v/>
      </c>
      <c r="F1742" s="2" t="s">
        <v>27</v>
      </c>
      <c r="G1742" s="2" t="str">
        <f t="shared" si="172"/>
        <v>M.SOLDO D.O.O., DEBANIĆEVA 39, 10000 ZAGREB, OIB: 58353605637</v>
      </c>
      <c r="H1742" s="4"/>
      <c r="I1742" s="1" t="s">
        <v>1068</v>
      </c>
      <c r="J1742" s="1" t="s">
        <v>47</v>
      </c>
      <c r="K1742" s="6" t="str">
        <f>"14.000,00"</f>
        <v>14.000,00</v>
      </c>
      <c r="L1742" s="6" t="str">
        <f>"3.500,00"</f>
        <v>3.500,00</v>
      </c>
      <c r="M1742" s="6" t="str">
        <f>"17.500,00"</f>
        <v>17.500,00</v>
      </c>
      <c r="N1742" s="5">
        <v>43543</v>
      </c>
      <c r="O1742" s="7"/>
      <c r="P1742" s="6" t="str">
        <f>"17.500,00"</f>
        <v>17.500,00</v>
      </c>
      <c r="Q1742" s="7"/>
      <c r="R1742" s="1"/>
      <c r="S1742" s="1" t="str">
        <f>"15-19/NOS-18/18"</f>
        <v>15-19/NOS-18/18</v>
      </c>
      <c r="T1742" s="2" t="s">
        <v>33</v>
      </c>
    </row>
    <row r="1743" spans="1:20" ht="38.25" x14ac:dyDescent="0.25">
      <c r="A1743" s="1">
        <v>1739</v>
      </c>
      <c r="B1743" s="1" t="str">
        <f t="shared" si="171"/>
        <v>2018-2920</v>
      </c>
      <c r="C1743" s="2" t="s">
        <v>709</v>
      </c>
      <c r="D1743" s="1" t="s">
        <v>119</v>
      </c>
      <c r="E1743" s="3" t="str">
        <f>""</f>
        <v/>
      </c>
      <c r="F1743" s="2" t="s">
        <v>27</v>
      </c>
      <c r="G1743" s="2" t="str">
        <f t="shared" si="172"/>
        <v>M.SOLDO D.O.O., DEBANIĆEVA 39, 10000 ZAGREB, OIB: 58353605637</v>
      </c>
      <c r="H1743" s="4"/>
      <c r="I1743" s="1" t="s">
        <v>351</v>
      </c>
      <c r="J1743" s="1" t="s">
        <v>47</v>
      </c>
      <c r="K1743" s="6" t="str">
        <f>"4.800,00"</f>
        <v>4.800,00</v>
      </c>
      <c r="L1743" s="6" t="str">
        <f>"1.200,00"</f>
        <v>1.200,00</v>
      </c>
      <c r="M1743" s="6" t="str">
        <f>"6.000,00"</f>
        <v>6.000,00</v>
      </c>
      <c r="N1743" s="5">
        <v>43543</v>
      </c>
      <c r="O1743" s="7"/>
      <c r="P1743" s="6" t="str">
        <f>"6.000,00"</f>
        <v>6.000,00</v>
      </c>
      <c r="Q1743" s="7"/>
      <c r="R1743" s="1"/>
      <c r="S1743" s="1" t="str">
        <f>"16-19/NOS-18/18"</f>
        <v>16-19/NOS-18/18</v>
      </c>
      <c r="T1743" s="2" t="s">
        <v>33</v>
      </c>
    </row>
    <row r="1744" spans="1:20" ht="38.25" x14ac:dyDescent="0.25">
      <c r="A1744" s="1">
        <v>1740</v>
      </c>
      <c r="B1744" s="1" t="str">
        <f t="shared" si="171"/>
        <v>2018-2920</v>
      </c>
      <c r="C1744" s="2" t="s">
        <v>709</v>
      </c>
      <c r="D1744" s="1" t="s">
        <v>119</v>
      </c>
      <c r="E1744" s="3" t="str">
        <f>""</f>
        <v/>
      </c>
      <c r="F1744" s="2" t="s">
        <v>27</v>
      </c>
      <c r="G1744" s="2" t="str">
        <f t="shared" si="172"/>
        <v>M.SOLDO D.O.O., DEBANIĆEVA 39, 10000 ZAGREB, OIB: 58353605637</v>
      </c>
      <c r="H1744" s="4"/>
      <c r="I1744" s="1" t="s">
        <v>240</v>
      </c>
      <c r="J1744" s="1" t="s">
        <v>47</v>
      </c>
      <c r="K1744" s="6" t="str">
        <f>"6.000,00"</f>
        <v>6.000,00</v>
      </c>
      <c r="L1744" s="6" t="str">
        <f>"1.500,00"</f>
        <v>1.500,00</v>
      </c>
      <c r="M1744" s="6" t="str">
        <f>"7.500,00"</f>
        <v>7.500,00</v>
      </c>
      <c r="N1744" s="5">
        <v>43549</v>
      </c>
      <c r="O1744" s="7"/>
      <c r="P1744" s="6" t="str">
        <f>"7.500,00"</f>
        <v>7.500,00</v>
      </c>
      <c r="Q1744" s="7"/>
      <c r="R1744" s="1"/>
      <c r="S1744" s="1" t="str">
        <f>"17-19/NOS-18/18"</f>
        <v>17-19/NOS-18/18</v>
      </c>
      <c r="T1744" s="2" t="s">
        <v>33</v>
      </c>
    </row>
    <row r="1745" spans="1:20" ht="38.25" x14ac:dyDescent="0.25">
      <c r="A1745" s="1">
        <v>1741</v>
      </c>
      <c r="B1745" s="1" t="str">
        <f t="shared" si="171"/>
        <v>2018-2920</v>
      </c>
      <c r="C1745" s="2" t="s">
        <v>709</v>
      </c>
      <c r="D1745" s="1" t="s">
        <v>119</v>
      </c>
      <c r="E1745" s="3" t="str">
        <f>""</f>
        <v/>
      </c>
      <c r="F1745" s="2" t="s">
        <v>27</v>
      </c>
      <c r="G1745" s="2" t="str">
        <f t="shared" si="172"/>
        <v>M.SOLDO D.O.O., DEBANIĆEVA 39, 10000 ZAGREB, OIB: 58353605637</v>
      </c>
      <c r="H1745" s="4"/>
      <c r="I1745" s="1" t="s">
        <v>277</v>
      </c>
      <c r="J1745" s="1" t="s">
        <v>47</v>
      </c>
      <c r="K1745" s="6" t="str">
        <f>"1.800,00"</f>
        <v>1.800,00</v>
      </c>
      <c r="L1745" s="6" t="str">
        <f>"450,00"</f>
        <v>450,00</v>
      </c>
      <c r="M1745" s="6" t="str">
        <f>"2.250,00"</f>
        <v>2.250,00</v>
      </c>
      <c r="N1745" s="5">
        <v>43544</v>
      </c>
      <c r="O1745" s="7"/>
      <c r="P1745" s="6" t="str">
        <f>"2.250,00"</f>
        <v>2.250,00</v>
      </c>
      <c r="Q1745" s="7"/>
      <c r="R1745" s="1"/>
      <c r="S1745" s="1" t="str">
        <f>"18-19/NOS-18/18"</f>
        <v>18-19/NOS-18/18</v>
      </c>
      <c r="T1745" s="2" t="s">
        <v>33</v>
      </c>
    </row>
    <row r="1746" spans="1:20" ht="38.25" x14ac:dyDescent="0.25">
      <c r="A1746" s="1">
        <v>1742</v>
      </c>
      <c r="B1746" s="1" t="str">
        <f t="shared" si="171"/>
        <v>2018-2920</v>
      </c>
      <c r="C1746" s="2" t="s">
        <v>709</v>
      </c>
      <c r="D1746" s="1" t="s">
        <v>119</v>
      </c>
      <c r="E1746" s="3" t="str">
        <f>""</f>
        <v/>
      </c>
      <c r="F1746" s="2" t="s">
        <v>27</v>
      </c>
      <c r="G1746" s="2" t="str">
        <f t="shared" si="172"/>
        <v>M.SOLDO D.O.O., DEBANIĆEVA 39, 10000 ZAGREB, OIB: 58353605637</v>
      </c>
      <c r="H1746" s="4"/>
      <c r="I1746" s="1" t="s">
        <v>277</v>
      </c>
      <c r="J1746" s="1" t="s">
        <v>47</v>
      </c>
      <c r="K1746" s="6" t="str">
        <f>"800,00"</f>
        <v>800,00</v>
      </c>
      <c r="L1746" s="6" t="str">
        <f>"200,00"</f>
        <v>200,00</v>
      </c>
      <c r="M1746" s="6" t="str">
        <f>"1.000,00"</f>
        <v>1.000,00</v>
      </c>
      <c r="N1746" s="5">
        <v>43544</v>
      </c>
      <c r="O1746" s="7"/>
      <c r="P1746" s="6" t="str">
        <f>"1.000,00"</f>
        <v>1.000,00</v>
      </c>
      <c r="Q1746" s="7"/>
      <c r="R1746" s="1"/>
      <c r="S1746" s="1" t="str">
        <f>"19-19/NOS-18/18"</f>
        <v>19-19/NOS-18/18</v>
      </c>
      <c r="T1746" s="2" t="s">
        <v>33</v>
      </c>
    </row>
    <row r="1747" spans="1:20" ht="38.25" x14ac:dyDescent="0.25">
      <c r="A1747" s="1">
        <v>1743</v>
      </c>
      <c r="B1747" s="1" t="str">
        <f t="shared" si="171"/>
        <v>2018-2920</v>
      </c>
      <c r="C1747" s="2" t="s">
        <v>709</v>
      </c>
      <c r="D1747" s="1" t="s">
        <v>119</v>
      </c>
      <c r="E1747" s="3" t="str">
        <f>""</f>
        <v/>
      </c>
      <c r="F1747" s="2" t="s">
        <v>27</v>
      </c>
      <c r="G1747" s="2" t="str">
        <f t="shared" si="172"/>
        <v>M.SOLDO D.O.O., DEBANIĆEVA 39, 10000 ZAGREB, OIB: 58353605637</v>
      </c>
      <c r="H1747" s="4"/>
      <c r="I1747" s="1" t="s">
        <v>277</v>
      </c>
      <c r="J1747" s="1" t="s">
        <v>47</v>
      </c>
      <c r="K1747" s="6" t="str">
        <f>"600,00"</f>
        <v>600,00</v>
      </c>
      <c r="L1747" s="6" t="str">
        <f>"150,00"</f>
        <v>150,00</v>
      </c>
      <c r="M1747" s="6" t="str">
        <f>"750,00"</f>
        <v>750,00</v>
      </c>
      <c r="N1747" s="5">
        <v>43544</v>
      </c>
      <c r="O1747" s="7"/>
      <c r="P1747" s="6" t="str">
        <f>"750,00"</f>
        <v>750,00</v>
      </c>
      <c r="Q1747" s="7"/>
      <c r="R1747" s="1"/>
      <c r="S1747" s="1" t="str">
        <f>"20-19/NOS-18/18"</f>
        <v>20-19/NOS-18/18</v>
      </c>
      <c r="T1747" s="2" t="s">
        <v>33</v>
      </c>
    </row>
    <row r="1748" spans="1:20" ht="38.25" x14ac:dyDescent="0.25">
      <c r="A1748" s="1">
        <v>1744</v>
      </c>
      <c r="B1748" s="1" t="str">
        <f t="shared" si="171"/>
        <v>2018-2920</v>
      </c>
      <c r="C1748" s="2" t="s">
        <v>709</v>
      </c>
      <c r="D1748" s="1" t="s">
        <v>119</v>
      </c>
      <c r="E1748" s="3" t="str">
        <f>""</f>
        <v/>
      </c>
      <c r="F1748" s="2" t="s">
        <v>27</v>
      </c>
      <c r="G1748" s="2" t="str">
        <f t="shared" si="172"/>
        <v>M.SOLDO D.O.O., DEBANIĆEVA 39, 10000 ZAGREB, OIB: 58353605637</v>
      </c>
      <c r="H1748" s="4"/>
      <c r="I1748" s="1" t="s">
        <v>44</v>
      </c>
      <c r="J1748" s="1" t="s">
        <v>47</v>
      </c>
      <c r="K1748" s="6" t="str">
        <f>"1.800,00"</f>
        <v>1.800,00</v>
      </c>
      <c r="L1748" s="6" t="str">
        <f>"450,00"</f>
        <v>450,00</v>
      </c>
      <c r="M1748" s="6" t="str">
        <f>"2.250,00"</f>
        <v>2.250,00</v>
      </c>
      <c r="N1748" s="5">
        <v>43553</v>
      </c>
      <c r="O1748" s="7"/>
      <c r="P1748" s="6" t="str">
        <f>"2.250,00"</f>
        <v>2.250,00</v>
      </c>
      <c r="Q1748" s="7"/>
      <c r="R1748" s="1"/>
      <c r="S1748" s="1" t="str">
        <f>"22-19/NOS-18/18"</f>
        <v>22-19/NOS-18/18</v>
      </c>
      <c r="T1748" s="2" t="s">
        <v>33</v>
      </c>
    </row>
    <row r="1749" spans="1:20" ht="38.25" x14ac:dyDescent="0.25">
      <c r="A1749" s="1">
        <v>1745</v>
      </c>
      <c r="B1749" s="1" t="str">
        <f t="shared" si="171"/>
        <v>2018-2920</v>
      </c>
      <c r="C1749" s="2" t="s">
        <v>709</v>
      </c>
      <c r="D1749" s="1" t="s">
        <v>119</v>
      </c>
      <c r="E1749" s="3" t="str">
        <f>""</f>
        <v/>
      </c>
      <c r="F1749" s="2" t="s">
        <v>27</v>
      </c>
      <c r="G1749" s="2" t="str">
        <f t="shared" si="172"/>
        <v>M.SOLDO D.O.O., DEBANIĆEVA 39, 10000 ZAGREB, OIB: 58353605637</v>
      </c>
      <c r="H1749" s="4"/>
      <c r="I1749" s="1" t="s">
        <v>302</v>
      </c>
      <c r="J1749" s="1" t="s">
        <v>47</v>
      </c>
      <c r="K1749" s="6" t="str">
        <f>"4.000,00"</f>
        <v>4.000,00</v>
      </c>
      <c r="L1749" s="6" t="str">
        <f>"1.000,00"</f>
        <v>1.000,00</v>
      </c>
      <c r="M1749" s="6" t="str">
        <f>"5.000,00"</f>
        <v>5.000,00</v>
      </c>
      <c r="N1749" s="5">
        <v>43553</v>
      </c>
      <c r="O1749" s="7"/>
      <c r="P1749" s="6" t="str">
        <f>"5.000,00"</f>
        <v>5.000,00</v>
      </c>
      <c r="Q1749" s="7"/>
      <c r="R1749" s="1"/>
      <c r="S1749" s="1" t="str">
        <f>"23-19/NOS-18/18"</f>
        <v>23-19/NOS-18/18</v>
      </c>
      <c r="T1749" s="2" t="s">
        <v>33</v>
      </c>
    </row>
    <row r="1750" spans="1:20" ht="38.25" x14ac:dyDescent="0.25">
      <c r="A1750" s="1">
        <v>1746</v>
      </c>
      <c r="B1750" s="1" t="str">
        <f t="shared" si="171"/>
        <v>2018-2920</v>
      </c>
      <c r="C1750" s="2" t="s">
        <v>709</v>
      </c>
      <c r="D1750" s="1" t="s">
        <v>119</v>
      </c>
      <c r="E1750" s="3" t="str">
        <f>""</f>
        <v/>
      </c>
      <c r="F1750" s="2" t="s">
        <v>27</v>
      </c>
      <c r="G1750" s="2" t="str">
        <f t="shared" si="172"/>
        <v>M.SOLDO D.O.O., DEBANIĆEVA 39, 10000 ZAGREB, OIB: 58353605637</v>
      </c>
      <c r="H1750" s="4"/>
      <c r="I1750" s="1" t="s">
        <v>302</v>
      </c>
      <c r="J1750" s="1" t="s">
        <v>47</v>
      </c>
      <c r="K1750" s="6" t="str">
        <f>"600,00"</f>
        <v>600,00</v>
      </c>
      <c r="L1750" s="6" t="str">
        <f>"150,00"</f>
        <v>150,00</v>
      </c>
      <c r="M1750" s="6" t="str">
        <f>"750,00"</f>
        <v>750,00</v>
      </c>
      <c r="N1750" s="5">
        <v>43553</v>
      </c>
      <c r="O1750" s="7"/>
      <c r="P1750" s="6" t="str">
        <f>"750,00"</f>
        <v>750,00</v>
      </c>
      <c r="Q1750" s="7"/>
      <c r="R1750" s="1"/>
      <c r="S1750" s="1" t="str">
        <f>"24-19/NOS-18/18"</f>
        <v>24-19/NOS-18/18</v>
      </c>
      <c r="T1750" s="2" t="s">
        <v>33</v>
      </c>
    </row>
    <row r="1751" spans="1:20" ht="38.25" x14ac:dyDescent="0.25">
      <c r="A1751" s="1">
        <v>1747</v>
      </c>
      <c r="B1751" s="1" t="str">
        <f t="shared" si="171"/>
        <v>2018-2920</v>
      </c>
      <c r="C1751" s="2" t="s">
        <v>709</v>
      </c>
      <c r="D1751" s="1" t="s">
        <v>119</v>
      </c>
      <c r="E1751" s="3" t="str">
        <f>""</f>
        <v/>
      </c>
      <c r="F1751" s="2" t="s">
        <v>27</v>
      </c>
      <c r="G1751" s="2" t="str">
        <f t="shared" si="172"/>
        <v>M.SOLDO D.O.O., DEBANIĆEVA 39, 10000 ZAGREB, OIB: 58353605637</v>
      </c>
      <c r="H1751" s="4"/>
      <c r="I1751" s="1" t="s">
        <v>302</v>
      </c>
      <c r="J1751" s="1" t="s">
        <v>47</v>
      </c>
      <c r="K1751" s="6" t="str">
        <f>"600,00"</f>
        <v>600,00</v>
      </c>
      <c r="L1751" s="6" t="str">
        <f>"150,00"</f>
        <v>150,00</v>
      </c>
      <c r="M1751" s="6" t="str">
        <f>"750,00"</f>
        <v>750,00</v>
      </c>
      <c r="N1751" s="5">
        <v>43553</v>
      </c>
      <c r="O1751" s="7"/>
      <c r="P1751" s="6" t="str">
        <f>"750,00"</f>
        <v>750,00</v>
      </c>
      <c r="Q1751" s="7"/>
      <c r="R1751" s="1"/>
      <c r="S1751" s="1" t="str">
        <f>"25-19/NOS-18/18"</f>
        <v>25-19/NOS-18/18</v>
      </c>
      <c r="T1751" s="2" t="s">
        <v>33</v>
      </c>
    </row>
    <row r="1752" spans="1:20" ht="38.25" x14ac:dyDescent="0.25">
      <c r="A1752" s="1">
        <v>1748</v>
      </c>
      <c r="B1752" s="1" t="str">
        <f t="shared" si="171"/>
        <v>2018-2920</v>
      </c>
      <c r="C1752" s="2" t="s">
        <v>709</v>
      </c>
      <c r="D1752" s="1" t="s">
        <v>119</v>
      </c>
      <c r="E1752" s="3" t="str">
        <f>""</f>
        <v/>
      </c>
      <c r="F1752" s="2" t="s">
        <v>27</v>
      </c>
      <c r="G1752" s="2" t="str">
        <f t="shared" si="172"/>
        <v>M.SOLDO D.O.O., DEBANIĆEVA 39, 10000 ZAGREB, OIB: 58353605637</v>
      </c>
      <c r="H1752" s="4"/>
      <c r="I1752" s="1" t="s">
        <v>302</v>
      </c>
      <c r="J1752" s="1" t="s">
        <v>47</v>
      </c>
      <c r="K1752" s="6" t="str">
        <f>"600,00"</f>
        <v>600,00</v>
      </c>
      <c r="L1752" s="6" t="str">
        <f>"150,00"</f>
        <v>150,00</v>
      </c>
      <c r="M1752" s="6" t="str">
        <f>"750,00"</f>
        <v>750,00</v>
      </c>
      <c r="N1752" s="5">
        <v>43553</v>
      </c>
      <c r="O1752" s="7"/>
      <c r="P1752" s="6" t="str">
        <f>"750,00"</f>
        <v>750,00</v>
      </c>
      <c r="Q1752" s="7"/>
      <c r="R1752" s="1"/>
      <c r="S1752" s="1" t="str">
        <f>"26-19/NOS-18/18"</f>
        <v>26-19/NOS-18/18</v>
      </c>
      <c r="T1752" s="2" t="s">
        <v>33</v>
      </c>
    </row>
    <row r="1753" spans="1:20" ht="38.25" x14ac:dyDescent="0.25">
      <c r="A1753" s="1">
        <v>1749</v>
      </c>
      <c r="B1753" s="1" t="str">
        <f t="shared" si="171"/>
        <v>2018-2920</v>
      </c>
      <c r="C1753" s="2" t="s">
        <v>709</v>
      </c>
      <c r="D1753" s="1" t="s">
        <v>119</v>
      </c>
      <c r="E1753" s="3" t="str">
        <f>""</f>
        <v/>
      </c>
      <c r="F1753" s="2" t="s">
        <v>27</v>
      </c>
      <c r="G1753" s="2" t="str">
        <f t="shared" si="172"/>
        <v>M.SOLDO D.O.O., DEBANIĆEVA 39, 10000 ZAGREB, OIB: 58353605637</v>
      </c>
      <c r="H1753" s="4"/>
      <c r="I1753" s="1" t="s">
        <v>302</v>
      </c>
      <c r="J1753" s="1" t="s">
        <v>47</v>
      </c>
      <c r="K1753" s="6" t="str">
        <f>"600,00"</f>
        <v>600,00</v>
      </c>
      <c r="L1753" s="6" t="str">
        <f>"150,00"</f>
        <v>150,00</v>
      </c>
      <c r="M1753" s="6" t="str">
        <f>"750,00"</f>
        <v>750,00</v>
      </c>
      <c r="N1753" s="5">
        <v>43553</v>
      </c>
      <c r="O1753" s="7"/>
      <c r="P1753" s="6" t="str">
        <f>"750,00"</f>
        <v>750,00</v>
      </c>
      <c r="Q1753" s="7"/>
      <c r="R1753" s="1"/>
      <c r="S1753" s="1" t="str">
        <f>"27-19/NOS-18/18"</f>
        <v>27-19/NOS-18/18</v>
      </c>
      <c r="T1753" s="2" t="s">
        <v>33</v>
      </c>
    </row>
    <row r="1754" spans="1:20" ht="38.25" x14ac:dyDescent="0.25">
      <c r="A1754" s="1">
        <v>1750</v>
      </c>
      <c r="B1754" s="1" t="str">
        <f t="shared" si="171"/>
        <v>2018-2920</v>
      </c>
      <c r="C1754" s="2" t="s">
        <v>709</v>
      </c>
      <c r="D1754" s="1" t="s">
        <v>119</v>
      </c>
      <c r="E1754" s="3" t="str">
        <f>""</f>
        <v/>
      </c>
      <c r="F1754" s="2" t="s">
        <v>27</v>
      </c>
      <c r="G1754" s="2" t="str">
        <f t="shared" si="172"/>
        <v>M.SOLDO D.O.O., DEBANIĆEVA 39, 10000 ZAGREB, OIB: 58353605637</v>
      </c>
      <c r="H1754" s="4"/>
      <c r="I1754" s="1" t="s">
        <v>302</v>
      </c>
      <c r="J1754" s="1" t="s">
        <v>47</v>
      </c>
      <c r="K1754" s="6" t="str">
        <f>"3.600,00"</f>
        <v>3.600,00</v>
      </c>
      <c r="L1754" s="6" t="str">
        <f>"900,00"</f>
        <v>900,00</v>
      </c>
      <c r="M1754" s="6" t="str">
        <f>"4.500,00"</f>
        <v>4.500,00</v>
      </c>
      <c r="N1754" s="5">
        <v>43553</v>
      </c>
      <c r="O1754" s="7"/>
      <c r="P1754" s="6" t="str">
        <f>"4.500,00"</f>
        <v>4.500,00</v>
      </c>
      <c r="Q1754" s="7"/>
      <c r="R1754" s="1"/>
      <c r="S1754" s="1" t="str">
        <f>"28-19/NOS-18/18"</f>
        <v>28-19/NOS-18/18</v>
      </c>
      <c r="T1754" s="2" t="s">
        <v>33</v>
      </c>
    </row>
    <row r="1755" spans="1:20" ht="38.25" x14ac:dyDescent="0.25">
      <c r="A1755" s="1">
        <v>1751</v>
      </c>
      <c r="B1755" s="1" t="str">
        <f t="shared" si="171"/>
        <v>2018-2920</v>
      </c>
      <c r="C1755" s="2" t="s">
        <v>709</v>
      </c>
      <c r="D1755" s="1" t="s">
        <v>119</v>
      </c>
      <c r="E1755" s="3" t="str">
        <f>""</f>
        <v/>
      </c>
      <c r="F1755" s="2" t="s">
        <v>27</v>
      </c>
      <c r="G1755" s="2" t="str">
        <f t="shared" si="172"/>
        <v>M.SOLDO D.O.O., DEBANIĆEVA 39, 10000 ZAGREB, OIB: 58353605637</v>
      </c>
      <c r="H1755" s="4"/>
      <c r="I1755" s="1" t="s">
        <v>498</v>
      </c>
      <c r="J1755" s="1" t="s">
        <v>47</v>
      </c>
      <c r="K1755" s="6" t="str">
        <f>"800,00"</f>
        <v>800,00</v>
      </c>
      <c r="L1755" s="6" t="str">
        <f>"200,00"</f>
        <v>200,00</v>
      </c>
      <c r="M1755" s="6" t="str">
        <f>"1.000,00"</f>
        <v>1.000,00</v>
      </c>
      <c r="N1755" s="5">
        <v>43566</v>
      </c>
      <c r="O1755" s="7"/>
      <c r="P1755" s="6" t="str">
        <f>"1.000,00"</f>
        <v>1.000,00</v>
      </c>
      <c r="Q1755" s="7"/>
      <c r="R1755" s="1"/>
      <c r="S1755" s="1" t="str">
        <f>"29-19/NOS-18/18"</f>
        <v>29-19/NOS-18/18</v>
      </c>
      <c r="T1755" s="2" t="s">
        <v>33</v>
      </c>
    </row>
    <row r="1756" spans="1:20" ht="38.25" x14ac:dyDescent="0.25">
      <c r="A1756" s="1">
        <v>1752</v>
      </c>
      <c r="B1756" s="1" t="str">
        <f t="shared" si="171"/>
        <v>2018-2920</v>
      </c>
      <c r="C1756" s="2" t="s">
        <v>709</v>
      </c>
      <c r="D1756" s="1" t="s">
        <v>119</v>
      </c>
      <c r="E1756" s="3" t="str">
        <f>""</f>
        <v/>
      </c>
      <c r="F1756" s="2" t="s">
        <v>27</v>
      </c>
      <c r="G1756" s="2" t="str">
        <f t="shared" si="172"/>
        <v>M.SOLDO D.O.O., DEBANIĆEVA 39, 10000 ZAGREB, OIB: 58353605637</v>
      </c>
      <c r="H1756" s="4"/>
      <c r="I1756" s="1" t="s">
        <v>498</v>
      </c>
      <c r="J1756" s="1" t="s">
        <v>47</v>
      </c>
      <c r="K1756" s="6" t="str">
        <f>"4.400,00"</f>
        <v>4.400,00</v>
      </c>
      <c r="L1756" s="6" t="str">
        <f>"1.100,00"</f>
        <v>1.100,00</v>
      </c>
      <c r="M1756" s="6" t="str">
        <f>"5.500,00"</f>
        <v>5.500,00</v>
      </c>
      <c r="N1756" s="5">
        <v>43579</v>
      </c>
      <c r="O1756" s="7"/>
      <c r="P1756" s="6" t="str">
        <f>"5.500,00"</f>
        <v>5.500,00</v>
      </c>
      <c r="Q1756" s="7"/>
      <c r="R1756" s="1"/>
      <c r="S1756" s="1" t="str">
        <f>"30-19/NOS-18/18"</f>
        <v>30-19/NOS-18/18</v>
      </c>
      <c r="T1756" s="2" t="s">
        <v>33</v>
      </c>
    </row>
    <row r="1757" spans="1:20" ht="38.25" x14ac:dyDescent="0.25">
      <c r="A1757" s="1">
        <v>1753</v>
      </c>
      <c r="B1757" s="1" t="str">
        <f t="shared" si="171"/>
        <v>2018-2920</v>
      </c>
      <c r="C1757" s="2" t="s">
        <v>709</v>
      </c>
      <c r="D1757" s="1" t="s">
        <v>119</v>
      </c>
      <c r="E1757" s="3" t="str">
        <f>""</f>
        <v/>
      </c>
      <c r="F1757" s="2" t="s">
        <v>27</v>
      </c>
      <c r="G1757" s="2" t="str">
        <f t="shared" si="172"/>
        <v>M.SOLDO D.O.O., DEBANIĆEVA 39, 10000 ZAGREB, OIB: 58353605637</v>
      </c>
      <c r="H1757" s="4"/>
      <c r="I1757" s="1" t="s">
        <v>30</v>
      </c>
      <c r="J1757" s="1" t="s">
        <v>47</v>
      </c>
      <c r="K1757" s="6" t="str">
        <f>"4.000,00"</f>
        <v>4.000,00</v>
      </c>
      <c r="L1757" s="6" t="str">
        <f>"1.000,00"</f>
        <v>1.000,00</v>
      </c>
      <c r="M1757" s="6" t="str">
        <f>"5.000,00"</f>
        <v>5.000,00</v>
      </c>
      <c r="N1757" s="5">
        <v>43579</v>
      </c>
      <c r="O1757" s="7"/>
      <c r="P1757" s="6" t="str">
        <f>"5.000,00"</f>
        <v>5.000,00</v>
      </c>
      <c r="Q1757" s="7"/>
      <c r="R1757" s="1"/>
      <c r="S1757" s="1" t="str">
        <f>"31-19/NOS-18/18"</f>
        <v>31-19/NOS-18/18</v>
      </c>
      <c r="T1757" s="2" t="s">
        <v>33</v>
      </c>
    </row>
    <row r="1758" spans="1:20" ht="38.25" x14ac:dyDescent="0.25">
      <c r="A1758" s="1">
        <v>1754</v>
      </c>
      <c r="B1758" s="1" t="str">
        <f t="shared" si="171"/>
        <v>2018-2920</v>
      </c>
      <c r="C1758" s="2" t="s">
        <v>709</v>
      </c>
      <c r="D1758" s="1" t="s">
        <v>119</v>
      </c>
      <c r="E1758" s="3" t="str">
        <f>""</f>
        <v/>
      </c>
      <c r="F1758" s="2" t="s">
        <v>27</v>
      </c>
      <c r="G1758" s="2" t="str">
        <f t="shared" si="172"/>
        <v>M.SOLDO D.O.O., DEBANIĆEVA 39, 10000 ZAGREB, OIB: 58353605637</v>
      </c>
      <c r="H1758" s="4"/>
      <c r="I1758" s="1" t="s">
        <v>344</v>
      </c>
      <c r="J1758" s="1" t="s">
        <v>47</v>
      </c>
      <c r="K1758" s="6" t="str">
        <f>"1.800,00"</f>
        <v>1.800,00</v>
      </c>
      <c r="L1758" s="6" t="str">
        <f>"450,00"</f>
        <v>450,00</v>
      </c>
      <c r="M1758" s="6" t="str">
        <f>"2.250,00"</f>
        <v>2.250,00</v>
      </c>
      <c r="N1758" s="5">
        <v>43579</v>
      </c>
      <c r="O1758" s="7"/>
      <c r="P1758" s="6" t="str">
        <f>"2.250,00"</f>
        <v>2.250,00</v>
      </c>
      <c r="Q1758" s="7"/>
      <c r="R1758" s="1"/>
      <c r="S1758" s="1" t="str">
        <f>"32-19/NOS-18/18"</f>
        <v>32-19/NOS-18/18</v>
      </c>
      <c r="T1758" s="2" t="s">
        <v>33</v>
      </c>
    </row>
    <row r="1759" spans="1:20" ht="38.25" x14ac:dyDescent="0.25">
      <c r="A1759" s="1">
        <v>1755</v>
      </c>
      <c r="B1759" s="1" t="str">
        <f t="shared" ref="B1759:B1779" si="173">"2018-2920"</f>
        <v>2018-2920</v>
      </c>
      <c r="C1759" s="2" t="s">
        <v>709</v>
      </c>
      <c r="D1759" s="1" t="s">
        <v>119</v>
      </c>
      <c r="E1759" s="3" t="str">
        <f>""</f>
        <v/>
      </c>
      <c r="F1759" s="2" t="s">
        <v>27</v>
      </c>
      <c r="G1759" s="2" t="str">
        <f t="shared" si="172"/>
        <v>M.SOLDO D.O.O., DEBANIĆEVA 39, 10000 ZAGREB, OIB: 58353605637</v>
      </c>
      <c r="H1759" s="4"/>
      <c r="I1759" s="1" t="s">
        <v>344</v>
      </c>
      <c r="J1759" s="1" t="s">
        <v>47</v>
      </c>
      <c r="K1759" s="6" t="str">
        <f>"3.000,00"</f>
        <v>3.000,00</v>
      </c>
      <c r="L1759" s="6" t="str">
        <f>"750,00"</f>
        <v>750,00</v>
      </c>
      <c r="M1759" s="6" t="str">
        <f>"3.750,00"</f>
        <v>3.750,00</v>
      </c>
      <c r="N1759" s="5">
        <v>43579</v>
      </c>
      <c r="O1759" s="7"/>
      <c r="P1759" s="6" t="str">
        <f>"3.750,00"</f>
        <v>3.750,00</v>
      </c>
      <c r="Q1759" s="7"/>
      <c r="R1759" s="1"/>
      <c r="S1759" s="1" t="str">
        <f>"33-19/NOS-18/18"</f>
        <v>33-19/NOS-18/18</v>
      </c>
      <c r="T1759" s="2" t="s">
        <v>33</v>
      </c>
    </row>
    <row r="1760" spans="1:20" ht="38.25" x14ac:dyDescent="0.25">
      <c r="A1760" s="1">
        <v>1756</v>
      </c>
      <c r="B1760" s="1" t="str">
        <f t="shared" si="173"/>
        <v>2018-2920</v>
      </c>
      <c r="C1760" s="2" t="s">
        <v>709</v>
      </c>
      <c r="D1760" s="1" t="s">
        <v>119</v>
      </c>
      <c r="E1760" s="3" t="str">
        <f>""</f>
        <v/>
      </c>
      <c r="F1760" s="2" t="s">
        <v>27</v>
      </c>
      <c r="G1760" s="2" t="str">
        <f t="shared" ref="G1760:G1779" si="174">CONCATENATE("M.SOLDO D.O.O.,"," DEBANIĆEVA 39,"," 10000 ZAGREB,"," OIB: 58353605637")</f>
        <v>M.SOLDO D.O.O., DEBANIĆEVA 39, 10000 ZAGREB, OIB: 58353605637</v>
      </c>
      <c r="H1760" s="4"/>
      <c r="I1760" s="1" t="s">
        <v>344</v>
      </c>
      <c r="J1760" s="1" t="s">
        <v>47</v>
      </c>
      <c r="K1760" s="6" t="str">
        <f>"600,00"</f>
        <v>600,00</v>
      </c>
      <c r="L1760" s="6" t="str">
        <f>"150,00"</f>
        <v>150,00</v>
      </c>
      <c r="M1760" s="6" t="str">
        <f>"750,00"</f>
        <v>750,00</v>
      </c>
      <c r="N1760" s="5">
        <v>43579</v>
      </c>
      <c r="O1760" s="7"/>
      <c r="P1760" s="6" t="str">
        <f>"750,00"</f>
        <v>750,00</v>
      </c>
      <c r="Q1760" s="7"/>
      <c r="R1760" s="1"/>
      <c r="S1760" s="1" t="str">
        <f>"34-19/NOS-18/18"</f>
        <v>34-19/NOS-18/18</v>
      </c>
      <c r="T1760" s="2" t="s">
        <v>33</v>
      </c>
    </row>
    <row r="1761" spans="1:20" ht="38.25" x14ac:dyDescent="0.25">
      <c r="A1761" s="1">
        <v>1757</v>
      </c>
      <c r="B1761" s="1" t="str">
        <f t="shared" si="173"/>
        <v>2018-2920</v>
      </c>
      <c r="C1761" s="2" t="s">
        <v>709</v>
      </c>
      <c r="D1761" s="1" t="s">
        <v>119</v>
      </c>
      <c r="E1761" s="3" t="str">
        <f>""</f>
        <v/>
      </c>
      <c r="F1761" s="2" t="s">
        <v>27</v>
      </c>
      <c r="G1761" s="2" t="str">
        <f t="shared" si="174"/>
        <v>M.SOLDO D.O.O., DEBANIĆEVA 39, 10000 ZAGREB, OIB: 58353605637</v>
      </c>
      <c r="H1761" s="4"/>
      <c r="I1761" s="1" t="s">
        <v>321</v>
      </c>
      <c r="J1761" s="1" t="s">
        <v>47</v>
      </c>
      <c r="K1761" s="6" t="str">
        <f>"800,00"</f>
        <v>800,00</v>
      </c>
      <c r="L1761" s="6" t="str">
        <f>"200,00"</f>
        <v>200,00</v>
      </c>
      <c r="M1761" s="6" t="str">
        <f>"1.000,00"</f>
        <v>1.000,00</v>
      </c>
      <c r="N1761" s="5">
        <v>43600</v>
      </c>
      <c r="O1761" s="7"/>
      <c r="P1761" s="6" t="str">
        <f>"1.000,00"</f>
        <v>1.000,00</v>
      </c>
      <c r="Q1761" s="7"/>
      <c r="R1761" s="1"/>
      <c r="S1761" s="1" t="str">
        <f>"35-19/NOS-18/18"</f>
        <v>35-19/NOS-18/18</v>
      </c>
      <c r="T1761" s="2" t="s">
        <v>33</v>
      </c>
    </row>
    <row r="1762" spans="1:20" ht="38.25" x14ac:dyDescent="0.25">
      <c r="A1762" s="1">
        <v>1758</v>
      </c>
      <c r="B1762" s="1" t="str">
        <f t="shared" si="173"/>
        <v>2018-2920</v>
      </c>
      <c r="C1762" s="2" t="s">
        <v>709</v>
      </c>
      <c r="D1762" s="1" t="s">
        <v>119</v>
      </c>
      <c r="E1762" s="3" t="str">
        <f>""</f>
        <v/>
      </c>
      <c r="F1762" s="2" t="s">
        <v>27</v>
      </c>
      <c r="G1762" s="2" t="str">
        <f t="shared" si="174"/>
        <v>M.SOLDO D.O.O., DEBANIĆEVA 39, 10000 ZAGREB, OIB: 58353605637</v>
      </c>
      <c r="H1762" s="4"/>
      <c r="I1762" s="1" t="s">
        <v>321</v>
      </c>
      <c r="J1762" s="1" t="s">
        <v>47</v>
      </c>
      <c r="K1762" s="6" t="str">
        <f>"3.000,00"</f>
        <v>3.000,00</v>
      </c>
      <c r="L1762" s="6" t="str">
        <f>"750,00"</f>
        <v>750,00</v>
      </c>
      <c r="M1762" s="6" t="str">
        <f>"3.750,00"</f>
        <v>3.750,00</v>
      </c>
      <c r="N1762" s="5">
        <v>43600</v>
      </c>
      <c r="O1762" s="7"/>
      <c r="P1762" s="6" t="str">
        <f>"3.750,00"</f>
        <v>3.750,00</v>
      </c>
      <c r="Q1762" s="7"/>
      <c r="R1762" s="1"/>
      <c r="S1762" s="1" t="str">
        <f>"36-19/NOS-18/18"</f>
        <v>36-19/NOS-18/18</v>
      </c>
      <c r="T1762" s="2" t="s">
        <v>33</v>
      </c>
    </row>
    <row r="1763" spans="1:20" ht="38.25" x14ac:dyDescent="0.25">
      <c r="A1763" s="1">
        <v>1759</v>
      </c>
      <c r="B1763" s="1" t="str">
        <f t="shared" si="173"/>
        <v>2018-2920</v>
      </c>
      <c r="C1763" s="2" t="s">
        <v>709</v>
      </c>
      <c r="D1763" s="1" t="s">
        <v>119</v>
      </c>
      <c r="E1763" s="3" t="str">
        <f>""</f>
        <v/>
      </c>
      <c r="F1763" s="2" t="s">
        <v>27</v>
      </c>
      <c r="G1763" s="2" t="str">
        <f t="shared" si="174"/>
        <v>M.SOLDO D.O.O., DEBANIĆEVA 39, 10000 ZAGREB, OIB: 58353605637</v>
      </c>
      <c r="H1763" s="4"/>
      <c r="I1763" s="1" t="s">
        <v>321</v>
      </c>
      <c r="J1763" s="1" t="s">
        <v>47</v>
      </c>
      <c r="K1763" s="6" t="str">
        <f>"600,00"</f>
        <v>600,00</v>
      </c>
      <c r="L1763" s="6" t="str">
        <f>"150,00"</f>
        <v>150,00</v>
      </c>
      <c r="M1763" s="6" t="str">
        <f>"750,00"</f>
        <v>750,00</v>
      </c>
      <c r="N1763" s="5">
        <v>43600</v>
      </c>
      <c r="O1763" s="7"/>
      <c r="P1763" s="6" t="str">
        <f>"750,00"</f>
        <v>750,00</v>
      </c>
      <c r="Q1763" s="7"/>
      <c r="R1763" s="1"/>
      <c r="S1763" s="1" t="str">
        <f>"37-19/NOS-18/18"</f>
        <v>37-19/NOS-18/18</v>
      </c>
      <c r="T1763" s="2" t="s">
        <v>33</v>
      </c>
    </row>
    <row r="1764" spans="1:20" ht="38.25" x14ac:dyDescent="0.25">
      <c r="A1764" s="1">
        <v>1760</v>
      </c>
      <c r="B1764" s="1" t="str">
        <f t="shared" si="173"/>
        <v>2018-2920</v>
      </c>
      <c r="C1764" s="2" t="s">
        <v>709</v>
      </c>
      <c r="D1764" s="1" t="s">
        <v>119</v>
      </c>
      <c r="E1764" s="3" t="str">
        <f>""</f>
        <v/>
      </c>
      <c r="F1764" s="2" t="s">
        <v>27</v>
      </c>
      <c r="G1764" s="2" t="str">
        <f t="shared" si="174"/>
        <v>M.SOLDO D.O.O., DEBANIĆEVA 39, 10000 ZAGREB, OIB: 58353605637</v>
      </c>
      <c r="H1764" s="4"/>
      <c r="I1764" s="1" t="s">
        <v>321</v>
      </c>
      <c r="J1764" s="1" t="s">
        <v>47</v>
      </c>
      <c r="K1764" s="6" t="str">
        <f>"5.600,00"</f>
        <v>5.600,00</v>
      </c>
      <c r="L1764" s="6" t="str">
        <f>"1.400,00"</f>
        <v>1.400,00</v>
      </c>
      <c r="M1764" s="6" t="str">
        <f>"7.000,00"</f>
        <v>7.000,00</v>
      </c>
      <c r="N1764" s="5">
        <v>43600</v>
      </c>
      <c r="O1764" s="7"/>
      <c r="P1764" s="6" t="str">
        <f>"7.000,00"</f>
        <v>7.000,00</v>
      </c>
      <c r="Q1764" s="7"/>
      <c r="R1764" s="1"/>
      <c r="S1764" s="1" t="str">
        <f>"38-19/NOS-18/18"</f>
        <v>38-19/NOS-18/18</v>
      </c>
      <c r="T1764" s="2" t="s">
        <v>33</v>
      </c>
    </row>
    <row r="1765" spans="1:20" ht="38.25" x14ac:dyDescent="0.25">
      <c r="A1765" s="1">
        <v>1761</v>
      </c>
      <c r="B1765" s="1" t="str">
        <f t="shared" si="173"/>
        <v>2018-2920</v>
      </c>
      <c r="C1765" s="2" t="s">
        <v>709</v>
      </c>
      <c r="D1765" s="1" t="s">
        <v>119</v>
      </c>
      <c r="E1765" s="3" t="str">
        <f>""</f>
        <v/>
      </c>
      <c r="F1765" s="2" t="s">
        <v>27</v>
      </c>
      <c r="G1765" s="2" t="str">
        <f t="shared" si="174"/>
        <v>M.SOLDO D.O.O., DEBANIĆEVA 39, 10000 ZAGREB, OIB: 58353605637</v>
      </c>
      <c r="H1765" s="4"/>
      <c r="I1765" s="1" t="s">
        <v>321</v>
      </c>
      <c r="J1765" s="1" t="s">
        <v>47</v>
      </c>
      <c r="K1765" s="6" t="str">
        <f>"10.550,00"</f>
        <v>10.550,00</v>
      </c>
      <c r="L1765" s="6" t="str">
        <f>"2.637,50"</f>
        <v>2.637,50</v>
      </c>
      <c r="M1765" s="6" t="str">
        <f>"13.187,50"</f>
        <v>13.187,50</v>
      </c>
      <c r="N1765" s="5">
        <v>43600</v>
      </c>
      <c r="O1765" s="7"/>
      <c r="P1765" s="6" t="str">
        <f>"13.187,50"</f>
        <v>13.187,50</v>
      </c>
      <c r="Q1765" s="7"/>
      <c r="R1765" s="1"/>
      <c r="S1765" s="1" t="str">
        <f>"39-19/NOS-18/18"</f>
        <v>39-19/NOS-18/18</v>
      </c>
      <c r="T1765" s="2" t="s">
        <v>33</v>
      </c>
    </row>
    <row r="1766" spans="1:20" ht="38.25" x14ac:dyDescent="0.25">
      <c r="A1766" s="1">
        <v>1762</v>
      </c>
      <c r="B1766" s="1" t="str">
        <f t="shared" si="173"/>
        <v>2018-2920</v>
      </c>
      <c r="C1766" s="2" t="s">
        <v>709</v>
      </c>
      <c r="D1766" s="1" t="s">
        <v>119</v>
      </c>
      <c r="E1766" s="3" t="str">
        <f>""</f>
        <v/>
      </c>
      <c r="F1766" s="2" t="s">
        <v>27</v>
      </c>
      <c r="G1766" s="2" t="str">
        <f t="shared" si="174"/>
        <v>M.SOLDO D.O.O., DEBANIĆEVA 39, 10000 ZAGREB, OIB: 58353605637</v>
      </c>
      <c r="H1766" s="4"/>
      <c r="I1766" s="1" t="s">
        <v>401</v>
      </c>
      <c r="J1766" s="1" t="s">
        <v>47</v>
      </c>
      <c r="K1766" s="6" t="str">
        <f>"1.600,00"</f>
        <v>1.600,00</v>
      </c>
      <c r="L1766" s="6" t="str">
        <f>"400,00"</f>
        <v>400,00</v>
      </c>
      <c r="M1766" s="6" t="str">
        <f>"2.000,00"</f>
        <v>2.000,00</v>
      </c>
      <c r="N1766" s="5">
        <v>43600</v>
      </c>
      <c r="O1766" s="7"/>
      <c r="P1766" s="6" t="str">
        <f>"2.000,00"</f>
        <v>2.000,00</v>
      </c>
      <c r="Q1766" s="7"/>
      <c r="R1766" s="1"/>
      <c r="S1766" s="1" t="str">
        <f>"40-19/NOS-18/18"</f>
        <v>40-19/NOS-18/18</v>
      </c>
      <c r="T1766" s="2" t="s">
        <v>33</v>
      </c>
    </row>
    <row r="1767" spans="1:20" ht="38.25" x14ac:dyDescent="0.25">
      <c r="A1767" s="1">
        <v>1763</v>
      </c>
      <c r="B1767" s="1" t="str">
        <f t="shared" si="173"/>
        <v>2018-2920</v>
      </c>
      <c r="C1767" s="2" t="s">
        <v>709</v>
      </c>
      <c r="D1767" s="1" t="s">
        <v>119</v>
      </c>
      <c r="E1767" s="3" t="str">
        <f>""</f>
        <v/>
      </c>
      <c r="F1767" s="2" t="s">
        <v>27</v>
      </c>
      <c r="G1767" s="2" t="str">
        <f t="shared" si="174"/>
        <v>M.SOLDO D.O.O., DEBANIĆEVA 39, 10000 ZAGREB, OIB: 58353605637</v>
      </c>
      <c r="H1767" s="4"/>
      <c r="I1767" s="1" t="s">
        <v>401</v>
      </c>
      <c r="J1767" s="1" t="s">
        <v>47</v>
      </c>
      <c r="K1767" s="6" t="str">
        <f>"3.650,00"</f>
        <v>3.650,00</v>
      </c>
      <c r="L1767" s="6" t="str">
        <f>"912,50"</f>
        <v>912,50</v>
      </c>
      <c r="M1767" s="6" t="str">
        <f>"4.562,50"</f>
        <v>4.562,50</v>
      </c>
      <c r="N1767" s="5">
        <v>43600</v>
      </c>
      <c r="O1767" s="7"/>
      <c r="P1767" s="6" t="str">
        <f>"4.562,50"</f>
        <v>4.562,50</v>
      </c>
      <c r="Q1767" s="7"/>
      <c r="R1767" s="1"/>
      <c r="S1767" s="1" t="str">
        <f>"41-19/NOS-18/18"</f>
        <v>41-19/NOS-18/18</v>
      </c>
      <c r="T1767" s="2" t="s">
        <v>33</v>
      </c>
    </row>
    <row r="1768" spans="1:20" ht="38.25" x14ac:dyDescent="0.25">
      <c r="A1768" s="1">
        <v>1764</v>
      </c>
      <c r="B1768" s="1" t="str">
        <f t="shared" si="173"/>
        <v>2018-2920</v>
      </c>
      <c r="C1768" s="2" t="s">
        <v>709</v>
      </c>
      <c r="D1768" s="1" t="s">
        <v>119</v>
      </c>
      <c r="E1768" s="3" t="str">
        <f>""</f>
        <v/>
      </c>
      <c r="F1768" s="2" t="s">
        <v>27</v>
      </c>
      <c r="G1768" s="2" t="str">
        <f t="shared" si="174"/>
        <v>M.SOLDO D.O.O., DEBANIĆEVA 39, 10000 ZAGREB, OIB: 58353605637</v>
      </c>
      <c r="H1768" s="4"/>
      <c r="I1768" s="1" t="s">
        <v>401</v>
      </c>
      <c r="J1768" s="1" t="s">
        <v>47</v>
      </c>
      <c r="K1768" s="6" t="str">
        <f>"200,00"</f>
        <v>200,00</v>
      </c>
      <c r="L1768" s="6" t="str">
        <f>"50,00"</f>
        <v>50,00</v>
      </c>
      <c r="M1768" s="6" t="str">
        <f>"250,00"</f>
        <v>250,00</v>
      </c>
      <c r="N1768" s="5">
        <v>43600</v>
      </c>
      <c r="O1768" s="7"/>
      <c r="P1768" s="6" t="str">
        <f>"250,00"</f>
        <v>250,00</v>
      </c>
      <c r="Q1768" s="7"/>
      <c r="R1768" s="1"/>
      <c r="S1768" s="1" t="str">
        <f>"42-19/NOS-18/18"</f>
        <v>42-19/NOS-18/18</v>
      </c>
      <c r="T1768" s="2" t="s">
        <v>33</v>
      </c>
    </row>
    <row r="1769" spans="1:20" ht="38.25" x14ac:dyDescent="0.25">
      <c r="A1769" s="1">
        <v>1765</v>
      </c>
      <c r="B1769" s="1" t="str">
        <f t="shared" si="173"/>
        <v>2018-2920</v>
      </c>
      <c r="C1769" s="2" t="s">
        <v>709</v>
      </c>
      <c r="D1769" s="1" t="s">
        <v>119</v>
      </c>
      <c r="E1769" s="3" t="str">
        <f>""</f>
        <v/>
      </c>
      <c r="F1769" s="2" t="s">
        <v>27</v>
      </c>
      <c r="G1769" s="2" t="str">
        <f t="shared" si="174"/>
        <v>M.SOLDO D.O.O., DEBANIĆEVA 39, 10000 ZAGREB, OIB: 58353605637</v>
      </c>
      <c r="H1769" s="4"/>
      <c r="I1769" s="1" t="s">
        <v>401</v>
      </c>
      <c r="J1769" s="1" t="s">
        <v>47</v>
      </c>
      <c r="K1769" s="6" t="str">
        <f>"2.400,00"</f>
        <v>2.400,00</v>
      </c>
      <c r="L1769" s="6" t="str">
        <f>"600,00"</f>
        <v>600,00</v>
      </c>
      <c r="M1769" s="6" t="str">
        <f>"3.000,00"</f>
        <v>3.000,00</v>
      </c>
      <c r="N1769" s="5">
        <v>43600</v>
      </c>
      <c r="O1769" s="7"/>
      <c r="P1769" s="6" t="str">
        <f>"3.000,00"</f>
        <v>3.000,00</v>
      </c>
      <c r="Q1769" s="7"/>
      <c r="R1769" s="1"/>
      <c r="S1769" s="1" t="str">
        <f>"43-19/NOS-18/18"</f>
        <v>43-19/NOS-18/18</v>
      </c>
      <c r="T1769" s="2" t="s">
        <v>33</v>
      </c>
    </row>
    <row r="1770" spans="1:20" ht="38.25" x14ac:dyDescent="0.25">
      <c r="A1770" s="1">
        <v>1766</v>
      </c>
      <c r="B1770" s="1" t="str">
        <f t="shared" si="173"/>
        <v>2018-2920</v>
      </c>
      <c r="C1770" s="2" t="s">
        <v>709</v>
      </c>
      <c r="D1770" s="1" t="s">
        <v>119</v>
      </c>
      <c r="E1770" s="3" t="str">
        <f>""</f>
        <v/>
      </c>
      <c r="F1770" s="2" t="s">
        <v>27</v>
      </c>
      <c r="G1770" s="2" t="str">
        <f t="shared" si="174"/>
        <v>M.SOLDO D.O.O., DEBANIĆEVA 39, 10000 ZAGREB, OIB: 58353605637</v>
      </c>
      <c r="H1770" s="4"/>
      <c r="I1770" s="1" t="s">
        <v>455</v>
      </c>
      <c r="J1770" s="1" t="s">
        <v>47</v>
      </c>
      <c r="K1770" s="6" t="str">
        <f>"1.800,00"</f>
        <v>1.800,00</v>
      </c>
      <c r="L1770" s="6" t="str">
        <f>"450,00"</f>
        <v>450,00</v>
      </c>
      <c r="M1770" s="6" t="str">
        <f>"2.250,00"</f>
        <v>2.250,00</v>
      </c>
      <c r="N1770" s="5">
        <v>43606</v>
      </c>
      <c r="O1770" s="7"/>
      <c r="P1770" s="6" t="str">
        <f>"2.250,00"</f>
        <v>2.250,00</v>
      </c>
      <c r="Q1770" s="7"/>
      <c r="R1770" s="1"/>
      <c r="S1770" s="1" t="str">
        <f>"44-19/NOS-18/18"</f>
        <v>44-19/NOS-18/18</v>
      </c>
      <c r="T1770" s="2" t="s">
        <v>33</v>
      </c>
    </row>
    <row r="1771" spans="1:20" ht="38.25" x14ac:dyDescent="0.25">
      <c r="A1771" s="1">
        <v>1767</v>
      </c>
      <c r="B1771" s="1" t="str">
        <f t="shared" si="173"/>
        <v>2018-2920</v>
      </c>
      <c r="C1771" s="2" t="s">
        <v>709</v>
      </c>
      <c r="D1771" s="1" t="s">
        <v>119</v>
      </c>
      <c r="E1771" s="3" t="str">
        <f>""</f>
        <v/>
      </c>
      <c r="F1771" s="2" t="s">
        <v>27</v>
      </c>
      <c r="G1771" s="2" t="str">
        <f t="shared" si="174"/>
        <v>M.SOLDO D.O.O., DEBANIĆEVA 39, 10000 ZAGREB, OIB: 58353605637</v>
      </c>
      <c r="H1771" s="4"/>
      <c r="I1771" s="1" t="s">
        <v>590</v>
      </c>
      <c r="J1771" s="1" t="s">
        <v>47</v>
      </c>
      <c r="K1771" s="6" t="str">
        <f>"600,00"</f>
        <v>600,00</v>
      </c>
      <c r="L1771" s="6" t="str">
        <f>"150,00"</f>
        <v>150,00</v>
      </c>
      <c r="M1771" s="6" t="str">
        <f>"750,00"</f>
        <v>750,00</v>
      </c>
      <c r="N1771" s="5">
        <v>43606</v>
      </c>
      <c r="O1771" s="7"/>
      <c r="P1771" s="6" t="str">
        <f>"750,00"</f>
        <v>750,00</v>
      </c>
      <c r="Q1771" s="7"/>
      <c r="R1771" s="1"/>
      <c r="S1771" s="1" t="str">
        <f>"45-19/NOS-18/18"</f>
        <v>45-19/NOS-18/18</v>
      </c>
      <c r="T1771" s="2" t="s">
        <v>33</v>
      </c>
    </row>
    <row r="1772" spans="1:20" ht="38.25" x14ac:dyDescent="0.25">
      <c r="A1772" s="1">
        <v>1768</v>
      </c>
      <c r="B1772" s="1" t="str">
        <f t="shared" si="173"/>
        <v>2018-2920</v>
      </c>
      <c r="C1772" s="2" t="s">
        <v>709</v>
      </c>
      <c r="D1772" s="1" t="s">
        <v>119</v>
      </c>
      <c r="E1772" s="3" t="str">
        <f>""</f>
        <v/>
      </c>
      <c r="F1772" s="2" t="s">
        <v>27</v>
      </c>
      <c r="G1772" s="2" t="str">
        <f t="shared" si="174"/>
        <v>M.SOLDO D.O.O., DEBANIĆEVA 39, 10000 ZAGREB, OIB: 58353605637</v>
      </c>
      <c r="H1772" s="4"/>
      <c r="I1772" s="1" t="s">
        <v>32</v>
      </c>
      <c r="J1772" s="1" t="s">
        <v>47</v>
      </c>
      <c r="K1772" s="6" t="str">
        <f>"8.800,00"</f>
        <v>8.800,00</v>
      </c>
      <c r="L1772" s="6" t="str">
        <f>"2.200,00"</f>
        <v>2.200,00</v>
      </c>
      <c r="M1772" s="6" t="str">
        <f>"11.000,00"</f>
        <v>11.000,00</v>
      </c>
      <c r="N1772" s="5">
        <v>43613</v>
      </c>
      <c r="O1772" s="7"/>
      <c r="P1772" s="6" t="str">
        <f>"11.000,00"</f>
        <v>11.000,00</v>
      </c>
      <c r="Q1772" s="7"/>
      <c r="R1772" s="1"/>
      <c r="S1772" s="1" t="str">
        <f>"46-19/NOS-18/18"</f>
        <v>46-19/NOS-18/18</v>
      </c>
      <c r="T1772" s="2" t="s">
        <v>33</v>
      </c>
    </row>
    <row r="1773" spans="1:20" ht="38.25" x14ac:dyDescent="0.25">
      <c r="A1773" s="1">
        <v>1769</v>
      </c>
      <c r="B1773" s="1" t="str">
        <f t="shared" si="173"/>
        <v>2018-2920</v>
      </c>
      <c r="C1773" s="2" t="s">
        <v>709</v>
      </c>
      <c r="D1773" s="1" t="s">
        <v>119</v>
      </c>
      <c r="E1773" s="3" t="str">
        <f>""</f>
        <v/>
      </c>
      <c r="F1773" s="2" t="s">
        <v>27</v>
      </c>
      <c r="G1773" s="2" t="str">
        <f t="shared" si="174"/>
        <v>M.SOLDO D.O.O., DEBANIĆEVA 39, 10000 ZAGREB, OIB: 58353605637</v>
      </c>
      <c r="H1773" s="4"/>
      <c r="I1773" s="1" t="s">
        <v>32</v>
      </c>
      <c r="J1773" s="1" t="s">
        <v>47</v>
      </c>
      <c r="K1773" s="6" t="str">
        <f>"31.900,00"</f>
        <v>31.900,00</v>
      </c>
      <c r="L1773" s="6" t="str">
        <f>"7.975,00"</f>
        <v>7.975,00</v>
      </c>
      <c r="M1773" s="6" t="str">
        <f>"39.875,00"</f>
        <v>39.875,00</v>
      </c>
      <c r="N1773" s="5">
        <v>43613</v>
      </c>
      <c r="O1773" s="7"/>
      <c r="P1773" s="6" t="str">
        <f>"39.875,00"</f>
        <v>39.875,00</v>
      </c>
      <c r="Q1773" s="7"/>
      <c r="R1773" s="1"/>
      <c r="S1773" s="1" t="str">
        <f>"47-19/NOS-18/18"</f>
        <v>47-19/NOS-18/18</v>
      </c>
      <c r="T1773" s="2" t="s">
        <v>33</v>
      </c>
    </row>
    <row r="1774" spans="1:20" ht="38.25" x14ac:dyDescent="0.25">
      <c r="A1774" s="1">
        <v>1770</v>
      </c>
      <c r="B1774" s="1" t="str">
        <f t="shared" si="173"/>
        <v>2018-2920</v>
      </c>
      <c r="C1774" s="2" t="s">
        <v>709</v>
      </c>
      <c r="D1774" s="1" t="s">
        <v>119</v>
      </c>
      <c r="E1774" s="3" t="str">
        <f>""</f>
        <v/>
      </c>
      <c r="F1774" s="2" t="s">
        <v>27</v>
      </c>
      <c r="G1774" s="2" t="str">
        <f t="shared" si="174"/>
        <v>M.SOLDO D.O.O., DEBANIĆEVA 39, 10000 ZAGREB, OIB: 58353605637</v>
      </c>
      <c r="H1774" s="4"/>
      <c r="I1774" s="1" t="s">
        <v>32</v>
      </c>
      <c r="J1774" s="1" t="s">
        <v>47</v>
      </c>
      <c r="K1774" s="6" t="str">
        <f>"3.000,00"</f>
        <v>3.000,00</v>
      </c>
      <c r="L1774" s="6" t="str">
        <f>"750,00"</f>
        <v>750,00</v>
      </c>
      <c r="M1774" s="6" t="str">
        <f>"3.750,00"</f>
        <v>3.750,00</v>
      </c>
      <c r="N1774" s="5">
        <v>43613</v>
      </c>
      <c r="O1774" s="7"/>
      <c r="P1774" s="6" t="str">
        <f>"3.750,00"</f>
        <v>3.750,00</v>
      </c>
      <c r="Q1774" s="7"/>
      <c r="R1774" s="1"/>
      <c r="S1774" s="1" t="str">
        <f>"48-19/NOS-18/18"</f>
        <v>48-19/NOS-18/18</v>
      </c>
      <c r="T1774" s="2" t="s">
        <v>33</v>
      </c>
    </row>
    <row r="1775" spans="1:20" ht="38.25" x14ac:dyDescent="0.25">
      <c r="A1775" s="1">
        <v>1771</v>
      </c>
      <c r="B1775" s="1" t="str">
        <f t="shared" si="173"/>
        <v>2018-2920</v>
      </c>
      <c r="C1775" s="2" t="s">
        <v>709</v>
      </c>
      <c r="D1775" s="1" t="s">
        <v>119</v>
      </c>
      <c r="E1775" s="3" t="str">
        <f>""</f>
        <v/>
      </c>
      <c r="F1775" s="2" t="s">
        <v>27</v>
      </c>
      <c r="G1775" s="2" t="str">
        <f t="shared" si="174"/>
        <v>M.SOLDO D.O.O., DEBANIĆEVA 39, 10000 ZAGREB, OIB: 58353605637</v>
      </c>
      <c r="H1775" s="4"/>
      <c r="I1775" s="1" t="s">
        <v>32</v>
      </c>
      <c r="J1775" s="1" t="s">
        <v>47</v>
      </c>
      <c r="K1775" s="6" t="str">
        <f>"3.200,00"</f>
        <v>3.200,00</v>
      </c>
      <c r="L1775" s="6" t="str">
        <f>"800,00"</f>
        <v>800,00</v>
      </c>
      <c r="M1775" s="6" t="str">
        <f>"4.000,00"</f>
        <v>4.000,00</v>
      </c>
      <c r="N1775" s="5">
        <v>43613</v>
      </c>
      <c r="O1775" s="7"/>
      <c r="P1775" s="6" t="str">
        <f>"4.000,00"</f>
        <v>4.000,00</v>
      </c>
      <c r="Q1775" s="7"/>
      <c r="R1775" s="1"/>
      <c r="S1775" s="1" t="str">
        <f>"49-19/NOS-18/18"</f>
        <v>49-19/NOS-18/18</v>
      </c>
      <c r="T1775" s="2" t="s">
        <v>33</v>
      </c>
    </row>
    <row r="1776" spans="1:20" ht="38.25" x14ac:dyDescent="0.25">
      <c r="A1776" s="1">
        <v>1772</v>
      </c>
      <c r="B1776" s="1" t="str">
        <f t="shared" si="173"/>
        <v>2018-2920</v>
      </c>
      <c r="C1776" s="2" t="s">
        <v>709</v>
      </c>
      <c r="D1776" s="1" t="s">
        <v>119</v>
      </c>
      <c r="E1776" s="3" t="str">
        <f>""</f>
        <v/>
      </c>
      <c r="F1776" s="2" t="s">
        <v>27</v>
      </c>
      <c r="G1776" s="2" t="str">
        <f t="shared" si="174"/>
        <v>M.SOLDO D.O.O., DEBANIĆEVA 39, 10000 ZAGREB, OIB: 58353605637</v>
      </c>
      <c r="H1776" s="4"/>
      <c r="I1776" s="1" t="s">
        <v>73</v>
      </c>
      <c r="J1776" s="1" t="s">
        <v>47</v>
      </c>
      <c r="K1776" s="6" t="str">
        <f>"3.000,00"</f>
        <v>3.000,00</v>
      </c>
      <c r="L1776" s="6" t="str">
        <f>"0,00"</f>
        <v>0,00</v>
      </c>
      <c r="M1776" s="6" t="str">
        <f>"0,00"</f>
        <v>0,00</v>
      </c>
      <c r="N1776" s="1" t="s">
        <v>117</v>
      </c>
      <c r="O1776" s="7"/>
      <c r="P1776" s="6" t="str">
        <f>"0,00"</f>
        <v>0,00</v>
      </c>
      <c r="Q1776" s="7"/>
      <c r="R1776" s="1"/>
      <c r="S1776" s="1" t="str">
        <f>"50-19/NOS-18/18"</f>
        <v>50-19/NOS-18/18</v>
      </c>
      <c r="T1776" s="2" t="s">
        <v>33</v>
      </c>
    </row>
    <row r="1777" spans="1:20" ht="38.25" x14ac:dyDescent="0.25">
      <c r="A1777" s="1">
        <v>1773</v>
      </c>
      <c r="B1777" s="1" t="str">
        <f t="shared" si="173"/>
        <v>2018-2920</v>
      </c>
      <c r="C1777" s="2" t="s">
        <v>709</v>
      </c>
      <c r="D1777" s="1" t="s">
        <v>119</v>
      </c>
      <c r="E1777" s="3" t="str">
        <f>""</f>
        <v/>
      </c>
      <c r="F1777" s="2" t="s">
        <v>27</v>
      </c>
      <c r="G1777" s="2" t="str">
        <f t="shared" si="174"/>
        <v>M.SOLDO D.O.O., DEBANIĆEVA 39, 10000 ZAGREB, OIB: 58353605637</v>
      </c>
      <c r="H1777" s="4"/>
      <c r="I1777" s="1" t="s">
        <v>73</v>
      </c>
      <c r="J1777" s="1" t="s">
        <v>47</v>
      </c>
      <c r="K1777" s="6" t="str">
        <f>"1.000,00"</f>
        <v>1.000,00</v>
      </c>
      <c r="L1777" s="6" t="str">
        <f>"0,00"</f>
        <v>0,00</v>
      </c>
      <c r="M1777" s="6" t="str">
        <f>"0,00"</f>
        <v>0,00</v>
      </c>
      <c r="N1777" s="1" t="s">
        <v>117</v>
      </c>
      <c r="O1777" s="7"/>
      <c r="P1777" s="6" t="str">
        <f>"0,00"</f>
        <v>0,00</v>
      </c>
      <c r="Q1777" s="7"/>
      <c r="R1777" s="1"/>
      <c r="S1777" s="1" t="str">
        <f>"51-19/NOS-18/18"</f>
        <v>51-19/NOS-18/18</v>
      </c>
      <c r="T1777" s="2" t="s">
        <v>33</v>
      </c>
    </row>
    <row r="1778" spans="1:20" ht="38.25" x14ac:dyDescent="0.25">
      <c r="A1778" s="1">
        <v>1774</v>
      </c>
      <c r="B1778" s="1" t="str">
        <f t="shared" si="173"/>
        <v>2018-2920</v>
      </c>
      <c r="C1778" s="2" t="s">
        <v>709</v>
      </c>
      <c r="D1778" s="1" t="s">
        <v>119</v>
      </c>
      <c r="E1778" s="3" t="str">
        <f>""</f>
        <v/>
      </c>
      <c r="F1778" s="2" t="s">
        <v>27</v>
      </c>
      <c r="G1778" s="2" t="str">
        <f t="shared" si="174"/>
        <v>M.SOLDO D.O.O., DEBANIĆEVA 39, 10000 ZAGREB, OIB: 58353605637</v>
      </c>
      <c r="H1778" s="4"/>
      <c r="I1778" s="1" t="s">
        <v>628</v>
      </c>
      <c r="J1778" s="1" t="s">
        <v>47</v>
      </c>
      <c r="K1778" s="6" t="str">
        <f>"800,00"</f>
        <v>800,00</v>
      </c>
      <c r="L1778" s="6" t="str">
        <f>"200,00"</f>
        <v>200,00</v>
      </c>
      <c r="M1778" s="6" t="str">
        <f>"1.000,00"</f>
        <v>1.000,00</v>
      </c>
      <c r="N1778" s="5">
        <v>43635</v>
      </c>
      <c r="O1778" s="7"/>
      <c r="P1778" s="6" t="str">
        <f>"1.000,00"</f>
        <v>1.000,00</v>
      </c>
      <c r="Q1778" s="7"/>
      <c r="R1778" s="1"/>
      <c r="S1778" s="1" t="str">
        <f>"52-19/NOS-18/18"</f>
        <v>52-19/NOS-18/18</v>
      </c>
      <c r="T1778" s="2" t="s">
        <v>33</v>
      </c>
    </row>
    <row r="1779" spans="1:20" ht="38.25" x14ac:dyDescent="0.25">
      <c r="A1779" s="1">
        <v>1775</v>
      </c>
      <c r="B1779" s="1" t="str">
        <f t="shared" si="173"/>
        <v>2018-2920</v>
      </c>
      <c r="C1779" s="2" t="s">
        <v>709</v>
      </c>
      <c r="D1779" s="1" t="s">
        <v>119</v>
      </c>
      <c r="E1779" s="3" t="str">
        <f>""</f>
        <v/>
      </c>
      <c r="F1779" s="2" t="s">
        <v>27</v>
      </c>
      <c r="G1779" s="2" t="str">
        <f t="shared" si="174"/>
        <v>M.SOLDO D.O.O., DEBANIĆEVA 39, 10000 ZAGREB, OIB: 58353605637</v>
      </c>
      <c r="H1779" s="4"/>
      <c r="I1779" s="1" t="s">
        <v>628</v>
      </c>
      <c r="J1779" s="1" t="s">
        <v>47</v>
      </c>
      <c r="K1779" s="6" t="str">
        <f>"3.000,00"</f>
        <v>3.000,00</v>
      </c>
      <c r="L1779" s="6" t="str">
        <f>"750,00"</f>
        <v>750,00</v>
      </c>
      <c r="M1779" s="6" t="str">
        <f>"3.750,00"</f>
        <v>3.750,00</v>
      </c>
      <c r="N1779" s="5">
        <v>43635</v>
      </c>
      <c r="O1779" s="7"/>
      <c r="P1779" s="6" t="str">
        <f>"3.750,00"</f>
        <v>3.750,00</v>
      </c>
      <c r="Q1779" s="7"/>
      <c r="R1779" s="1"/>
      <c r="S1779" s="1" t="str">
        <f>"53-19/NOS-18/18"</f>
        <v>53-19/NOS-18/18</v>
      </c>
      <c r="T1779" s="2" t="s">
        <v>33</v>
      </c>
    </row>
    <row r="1780" spans="1:20" ht="89.25" x14ac:dyDescent="0.25">
      <c r="A1780" s="1">
        <v>1776</v>
      </c>
      <c r="B1780" s="1" t="str">
        <f t="shared" ref="B1780:B1789" si="175">"2018-2237"</f>
        <v>2018-2237</v>
      </c>
      <c r="C1780" s="2" t="s">
        <v>1069</v>
      </c>
      <c r="D1780" s="1" t="s">
        <v>1070</v>
      </c>
      <c r="E1780" s="3" t="str">
        <f>"2018/S F21-0014588"</f>
        <v>2018/S F21-0014588</v>
      </c>
      <c r="F1780" s="2" t="s">
        <v>23</v>
      </c>
      <c r="G1780" s="2" t="str">
        <f t="shared" ref="G1780:G1789" si="176">CONCATENATE("SOKOL D.O.O.,"," OIB: 82812328597")</f>
        <v>SOKOL D.O.O., OIB: 82812328597</v>
      </c>
      <c r="H1780" s="4"/>
      <c r="I1780" s="1" t="s">
        <v>1071</v>
      </c>
      <c r="J1780" s="1" t="s">
        <v>1072</v>
      </c>
      <c r="K1780" s="6" t="str">
        <f>"23.300.000,00"</f>
        <v>23.300.000,00</v>
      </c>
      <c r="L1780" s="6" t="str">
        <f>"5.825.000,00"</f>
        <v>5.825.000,00</v>
      </c>
      <c r="M1780" s="6" t="str">
        <f>"29.125.000,00"</f>
        <v>29.125.000,00</v>
      </c>
      <c r="N1780" s="7"/>
      <c r="O1780" s="7"/>
      <c r="P1780" s="6" t="str">
        <f>""</f>
        <v/>
      </c>
      <c r="Q1780" s="7"/>
      <c r="R1780" s="1"/>
      <c r="S1780" s="1" t="str">
        <f>"NOS-19-B-ZGH/18"</f>
        <v>NOS-19-B-ZGH/18</v>
      </c>
      <c r="T1780" s="2" t="s">
        <v>667</v>
      </c>
    </row>
    <row r="1781" spans="1:20" ht="25.5" x14ac:dyDescent="0.25">
      <c r="A1781" s="1">
        <v>1777</v>
      </c>
      <c r="B1781" s="1" t="str">
        <f t="shared" si="175"/>
        <v>2018-2237</v>
      </c>
      <c r="C1781" s="2" t="s">
        <v>1069</v>
      </c>
      <c r="D1781" s="1" t="s">
        <v>1070</v>
      </c>
      <c r="E1781" s="3" t="str">
        <f>""</f>
        <v/>
      </c>
      <c r="F1781" s="2" t="s">
        <v>27</v>
      </c>
      <c r="G1781" s="2" t="str">
        <f t="shared" si="176"/>
        <v>SOKOL D.O.O., OIB: 82812328597</v>
      </c>
      <c r="H1781" s="4"/>
      <c r="I1781" s="1" t="s">
        <v>83</v>
      </c>
      <c r="J1781" s="1" t="s">
        <v>395</v>
      </c>
      <c r="K1781" s="6" t="str">
        <f>"6.344.930,00"</f>
        <v>6.344.930,00</v>
      </c>
      <c r="L1781" s="6" t="str">
        <f>"1.586.232,50"</f>
        <v>1.586.232,50</v>
      </c>
      <c r="M1781" s="6" t="str">
        <f>"7.931.162,50"</f>
        <v>7.931.162,50</v>
      </c>
      <c r="N1781" s="5">
        <v>43708</v>
      </c>
      <c r="O1781" s="7"/>
      <c r="P1781" s="6" t="str">
        <f>"6.830.676,90"</f>
        <v>6.830.676,90</v>
      </c>
      <c r="Q1781" s="7"/>
      <c r="R1781" s="1"/>
      <c r="S1781" s="1" t="str">
        <f>"2-18/NOS-19-B-ZGH/18"</f>
        <v>2-18/NOS-19-B-ZGH/18</v>
      </c>
      <c r="T1781" s="2" t="s">
        <v>33</v>
      </c>
    </row>
    <row r="1782" spans="1:20" ht="51" x14ac:dyDescent="0.25">
      <c r="A1782" s="1">
        <v>1778</v>
      </c>
      <c r="B1782" s="1" t="str">
        <f t="shared" si="175"/>
        <v>2018-2237</v>
      </c>
      <c r="C1782" s="2" t="s">
        <v>1073</v>
      </c>
      <c r="D1782" s="1" t="s">
        <v>1070</v>
      </c>
      <c r="E1782" s="3" t="str">
        <f>""</f>
        <v/>
      </c>
      <c r="F1782" s="2" t="s">
        <v>52</v>
      </c>
      <c r="G1782" s="2" t="str">
        <f t="shared" si="176"/>
        <v>SOKOL D.O.O., OIB: 82812328597</v>
      </c>
      <c r="H1782" s="4"/>
      <c r="I1782" s="1" t="s">
        <v>463</v>
      </c>
      <c r="J1782" s="1" t="s">
        <v>395</v>
      </c>
      <c r="K1782" s="6" t="str">
        <f>"10.800,00"</f>
        <v>10.800,00</v>
      </c>
      <c r="L1782" s="6" t="str">
        <f>"2.700,00"</f>
        <v>2.700,00</v>
      </c>
      <c r="M1782" s="6" t="str">
        <f>"13.500,00"</f>
        <v>13.500,00</v>
      </c>
      <c r="N1782" s="5">
        <v>43578</v>
      </c>
      <c r="O1782" s="7"/>
      <c r="P1782" s="6" t="str">
        <f>"5.343,75"</f>
        <v>5.343,75</v>
      </c>
      <c r="Q1782" s="7"/>
      <c r="R1782" s="1"/>
      <c r="S1782" s="1" t="str">
        <f>"2-18/NOS-19-B-ZGH/18#1"</f>
        <v>2-18/NOS-19-B-ZGH/18#1</v>
      </c>
      <c r="T1782" s="2" t="s">
        <v>33</v>
      </c>
    </row>
    <row r="1783" spans="1:20" ht="51" x14ac:dyDescent="0.25">
      <c r="A1783" s="1">
        <v>1779</v>
      </c>
      <c r="B1783" s="1" t="str">
        <f t="shared" si="175"/>
        <v>2018-2237</v>
      </c>
      <c r="C1783" s="2" t="s">
        <v>1073</v>
      </c>
      <c r="D1783" s="1" t="s">
        <v>1070</v>
      </c>
      <c r="E1783" s="3" t="str">
        <f>""</f>
        <v/>
      </c>
      <c r="F1783" s="2" t="s">
        <v>52</v>
      </c>
      <c r="G1783" s="2" t="str">
        <f t="shared" si="176"/>
        <v>SOKOL D.O.O., OIB: 82812328597</v>
      </c>
      <c r="H1783" s="4"/>
      <c r="I1783" s="1" t="s">
        <v>597</v>
      </c>
      <c r="J1783" s="1" t="s">
        <v>395</v>
      </c>
      <c r="K1783" s="6" t="str">
        <f>"162.740,00"</f>
        <v>162.740,00</v>
      </c>
      <c r="L1783" s="6" t="str">
        <f>"40.685,00"</f>
        <v>40.685,00</v>
      </c>
      <c r="M1783" s="6" t="str">
        <f>"203.425,00"</f>
        <v>203.425,00</v>
      </c>
      <c r="N1783" s="5">
        <v>43646</v>
      </c>
      <c r="O1783" s="7"/>
      <c r="P1783" s="6" t="str">
        <f>"99.250,00"</f>
        <v>99.250,00</v>
      </c>
      <c r="Q1783" s="7"/>
      <c r="R1783" s="1"/>
      <c r="S1783" s="1" t="str">
        <f>"2-18/NOS-19-B-ZGH/18#2"</f>
        <v>2-18/NOS-19-B-ZGH/18#2</v>
      </c>
      <c r="T1783" s="2" t="s">
        <v>33</v>
      </c>
    </row>
    <row r="1784" spans="1:20" ht="38.25" x14ac:dyDescent="0.25">
      <c r="A1784" s="1">
        <v>1780</v>
      </c>
      <c r="B1784" s="1" t="str">
        <f t="shared" si="175"/>
        <v>2018-2237</v>
      </c>
      <c r="C1784" s="2" t="s">
        <v>1069</v>
      </c>
      <c r="D1784" s="4"/>
      <c r="E1784" s="3" t="str">
        <f>""</f>
        <v/>
      </c>
      <c r="F1784" s="2" t="s">
        <v>27</v>
      </c>
      <c r="G1784" s="2" t="str">
        <f t="shared" si="176"/>
        <v>SOKOL D.O.O., OIB: 82812328597</v>
      </c>
      <c r="H1784" s="4"/>
      <c r="I1784" s="1" t="s">
        <v>59</v>
      </c>
      <c r="J1784" s="1" t="s">
        <v>284</v>
      </c>
      <c r="K1784" s="6" t="str">
        <f>"851.684,00"</f>
        <v>851.684,00</v>
      </c>
      <c r="L1784" s="6" t="str">
        <f>"212.921,00"</f>
        <v>212.921,00</v>
      </c>
      <c r="M1784" s="6" t="str">
        <f>"1.064.605,00"</f>
        <v>1.064.605,00</v>
      </c>
      <c r="N1784" s="5">
        <v>43555</v>
      </c>
      <c r="O1784" s="7"/>
      <c r="P1784" s="6" t="str">
        <f>"521.685,00"</f>
        <v>521.685,00</v>
      </c>
      <c r="Q1784" s="7"/>
      <c r="R1784" s="1"/>
      <c r="S1784" s="1" t="str">
        <f>"5-18/NOS-19-B-ZGH/18"</f>
        <v>5-18/NOS-19-B-ZGH/18</v>
      </c>
      <c r="T1784" s="2" t="s">
        <v>65</v>
      </c>
    </row>
    <row r="1785" spans="1:20" ht="25.5" x14ac:dyDescent="0.25">
      <c r="A1785" s="1">
        <v>1781</v>
      </c>
      <c r="B1785" s="1" t="str">
        <f t="shared" si="175"/>
        <v>2018-2237</v>
      </c>
      <c r="C1785" s="2" t="s">
        <v>1069</v>
      </c>
      <c r="D1785" s="1" t="s">
        <v>1070</v>
      </c>
      <c r="E1785" s="3" t="str">
        <f>""</f>
        <v/>
      </c>
      <c r="F1785" s="2" t="s">
        <v>27</v>
      </c>
      <c r="G1785" s="2" t="str">
        <f t="shared" si="176"/>
        <v>SOKOL D.O.O., OIB: 82812328597</v>
      </c>
      <c r="H1785" s="4"/>
      <c r="I1785" s="1" t="s">
        <v>182</v>
      </c>
      <c r="J1785" s="1" t="s">
        <v>284</v>
      </c>
      <c r="K1785" s="6" t="str">
        <f>"3.309.120,00"</f>
        <v>3.309.120,00</v>
      </c>
      <c r="L1785" s="6" t="str">
        <f>"827.280,00"</f>
        <v>827.280,00</v>
      </c>
      <c r="M1785" s="6" t="str">
        <f>"4.136.400,00"</f>
        <v>4.136.400,00</v>
      </c>
      <c r="N1785" s="5">
        <v>43708</v>
      </c>
      <c r="O1785" s="7"/>
      <c r="P1785" s="6" t="str">
        <f>"3.716.160,00"</f>
        <v>3.716.160,00</v>
      </c>
      <c r="Q1785" s="7"/>
      <c r="R1785" s="1"/>
      <c r="S1785" s="1" t="str">
        <f>"6-18/NOS-19-B-ZGH/18"</f>
        <v>6-18/NOS-19-B-ZGH/18</v>
      </c>
      <c r="T1785" s="2" t="s">
        <v>29</v>
      </c>
    </row>
    <row r="1786" spans="1:20" ht="25.5" x14ac:dyDescent="0.25">
      <c r="A1786" s="1">
        <v>1782</v>
      </c>
      <c r="B1786" s="1" t="str">
        <f t="shared" si="175"/>
        <v>2018-2237</v>
      </c>
      <c r="C1786" s="2" t="s">
        <v>1069</v>
      </c>
      <c r="D1786" s="4"/>
      <c r="E1786" s="3" t="str">
        <f>""</f>
        <v/>
      </c>
      <c r="F1786" s="2" t="s">
        <v>27</v>
      </c>
      <c r="G1786" s="2" t="str">
        <f t="shared" si="176"/>
        <v>SOKOL D.O.O., OIB: 82812328597</v>
      </c>
      <c r="H1786" s="4"/>
      <c r="I1786" s="1" t="s">
        <v>46</v>
      </c>
      <c r="J1786" s="1" t="s">
        <v>221</v>
      </c>
      <c r="K1786" s="6" t="str">
        <f>"3.860.000,00"</f>
        <v>3.860.000,00</v>
      </c>
      <c r="L1786" s="6" t="str">
        <f>"965.000,00"</f>
        <v>965.000,00</v>
      </c>
      <c r="M1786" s="6" t="str">
        <f>"4.825.000,00"</f>
        <v>4.825.000,00</v>
      </c>
      <c r="N1786" s="1" t="s">
        <v>117</v>
      </c>
      <c r="O1786" s="7"/>
      <c r="P1786" s="6" t="str">
        <f>""</f>
        <v/>
      </c>
      <c r="Q1786" s="7"/>
      <c r="R1786" s="1"/>
      <c r="S1786" s="1" t="str">
        <f>"6-19/NOS-19-B-ZGH/18"</f>
        <v>6-19/NOS-19-B-ZGH/18</v>
      </c>
      <c r="T1786" s="2" t="s">
        <v>29</v>
      </c>
    </row>
    <row r="1787" spans="1:20" ht="38.25" x14ac:dyDescent="0.25">
      <c r="A1787" s="1">
        <v>1783</v>
      </c>
      <c r="B1787" s="1" t="str">
        <f t="shared" si="175"/>
        <v>2018-2237</v>
      </c>
      <c r="C1787" s="2" t="s">
        <v>1069</v>
      </c>
      <c r="D1787" s="4"/>
      <c r="E1787" s="3" t="str">
        <f>""</f>
        <v/>
      </c>
      <c r="F1787" s="2" t="s">
        <v>27</v>
      </c>
      <c r="G1787" s="2" t="str">
        <f t="shared" si="176"/>
        <v>SOKOL D.O.O., OIB: 82812328597</v>
      </c>
      <c r="H1787" s="4"/>
      <c r="I1787" s="1" t="s">
        <v>597</v>
      </c>
      <c r="J1787" s="1" t="s">
        <v>817</v>
      </c>
      <c r="K1787" s="6" t="str">
        <f>"651.312,00"</f>
        <v>651.312,00</v>
      </c>
      <c r="L1787" s="6" t="str">
        <f>"162.828,00"</f>
        <v>162.828,00</v>
      </c>
      <c r="M1787" s="6" t="str">
        <f>"814.140,00"</f>
        <v>814.140,00</v>
      </c>
      <c r="N1787" s="5">
        <v>43706</v>
      </c>
      <c r="O1787" s="7"/>
      <c r="P1787" s="6" t="str">
        <f>"240.455,00"</f>
        <v>240.455,00</v>
      </c>
      <c r="Q1787" s="7"/>
      <c r="R1787" s="1"/>
      <c r="S1787" s="1" t="str">
        <f>"7-19/NOS-19-B-ZGH/18"</f>
        <v>7-19/NOS-19-B-ZGH/18</v>
      </c>
      <c r="T1787" s="2" t="s">
        <v>65</v>
      </c>
    </row>
    <row r="1788" spans="1:20" ht="51" x14ac:dyDescent="0.25">
      <c r="A1788" s="1">
        <v>1784</v>
      </c>
      <c r="B1788" s="1" t="str">
        <f t="shared" si="175"/>
        <v>2018-2237</v>
      </c>
      <c r="C1788" s="2" t="s">
        <v>1073</v>
      </c>
      <c r="D1788" s="4"/>
      <c r="E1788" s="3" t="str">
        <f>""</f>
        <v/>
      </c>
      <c r="F1788" s="2" t="s">
        <v>52</v>
      </c>
      <c r="G1788" s="2" t="str">
        <f t="shared" si="176"/>
        <v>SOKOL D.O.O., OIB: 82812328597</v>
      </c>
      <c r="H1788" s="4"/>
      <c r="I1788" s="1" t="s">
        <v>301</v>
      </c>
      <c r="J1788" s="1" t="s">
        <v>284</v>
      </c>
      <c r="K1788" s="6" t="str">
        <f>"227.716,00"</f>
        <v>227.716,00</v>
      </c>
      <c r="L1788" s="6" t="str">
        <f>"56.929,00"</f>
        <v>56.929,00</v>
      </c>
      <c r="M1788" s="6" t="str">
        <f>"284.645,00"</f>
        <v>284.645,00</v>
      </c>
      <c r="N1788" s="5">
        <v>43622</v>
      </c>
      <c r="O1788" s="7"/>
      <c r="P1788" s="6" t="str">
        <f>"146.380,00"</f>
        <v>146.380,00</v>
      </c>
      <c r="Q1788" s="7"/>
      <c r="R1788" s="1"/>
      <c r="S1788" s="1" t="str">
        <f>"5-18/NOS-19-B-ZGH/18#1"</f>
        <v>5-18/NOS-19-B-ZGH/18#1</v>
      </c>
      <c r="T1788" s="2" t="s">
        <v>65</v>
      </c>
    </row>
    <row r="1789" spans="1:20" ht="51" x14ac:dyDescent="0.25">
      <c r="A1789" s="1">
        <v>1785</v>
      </c>
      <c r="B1789" s="1" t="str">
        <f t="shared" si="175"/>
        <v>2018-2237</v>
      </c>
      <c r="C1789" s="2" t="s">
        <v>1073</v>
      </c>
      <c r="D1789" s="4"/>
      <c r="E1789" s="3" t="str">
        <f>""</f>
        <v/>
      </c>
      <c r="F1789" s="2" t="s">
        <v>52</v>
      </c>
      <c r="G1789" s="2" t="str">
        <f t="shared" si="176"/>
        <v>SOKOL D.O.O., OIB: 82812328597</v>
      </c>
      <c r="H1789" s="4"/>
      <c r="I1789" s="1" t="s">
        <v>190</v>
      </c>
      <c r="J1789" s="1" t="s">
        <v>45</v>
      </c>
      <c r="K1789" s="6" t="str">
        <f>"126.812,00"</f>
        <v>126.812,00</v>
      </c>
      <c r="L1789" s="6" t="str">
        <f>"31.703,00"</f>
        <v>31.703,00</v>
      </c>
      <c r="M1789" s="6" t="str">
        <f>"158.515,00"</f>
        <v>158.515,00</v>
      </c>
      <c r="N1789" s="5">
        <v>43616</v>
      </c>
      <c r="O1789" s="7"/>
      <c r="P1789" s="6" t="str">
        <f>"118.440,00"</f>
        <v>118.440,00</v>
      </c>
      <c r="Q1789" s="7"/>
      <c r="R1789" s="1"/>
      <c r="S1789" s="1" t="str">
        <f>"5-18/NOS-19-B-ZGH/18#2"</f>
        <v>5-18/NOS-19-B-ZGH/18#2</v>
      </c>
      <c r="T1789" s="2" t="s">
        <v>33</v>
      </c>
    </row>
    <row r="1790" spans="1:20" ht="38.25" x14ac:dyDescent="0.25">
      <c r="A1790" s="1">
        <v>1786</v>
      </c>
      <c r="B1790" s="1" t="str">
        <f>"2018-2805"</f>
        <v>2018-2805</v>
      </c>
      <c r="C1790" s="2" t="s">
        <v>1074</v>
      </c>
      <c r="D1790" s="1" t="s">
        <v>67</v>
      </c>
      <c r="E1790" s="3" t="str">
        <f>"2018/S 0F2-0017329"</f>
        <v>2018/S 0F2-0017329</v>
      </c>
      <c r="F1790" s="2" t="s">
        <v>23</v>
      </c>
      <c r="G1790" s="2" t="str">
        <f>CONCATENATE("AXIOM d.o.o.,"," BANA JOSIPA JELAČIĆA 22/B,"," 40000 ČAKOVEC,"," OIB: 07795389714")</f>
        <v>AXIOM d.o.o., BANA JOSIPA JELAČIĆA 22/B, 40000 ČAKOVEC, OIB: 07795389714</v>
      </c>
      <c r="H1790" s="4"/>
      <c r="I1790" s="1" t="s">
        <v>1075</v>
      </c>
      <c r="J1790" s="1" t="s">
        <v>1076</v>
      </c>
      <c r="K1790" s="6" t="str">
        <f>"991.580,00"</f>
        <v>991.580,00</v>
      </c>
      <c r="L1790" s="6" t="str">
        <f>"247.895,00"</f>
        <v>247.895,00</v>
      </c>
      <c r="M1790" s="6" t="str">
        <f>"1.239.475,00"</f>
        <v>1.239.475,00</v>
      </c>
      <c r="N1790" s="7"/>
      <c r="O1790" s="7"/>
      <c r="P1790" s="6" t="str">
        <f>""</f>
        <v/>
      </c>
      <c r="Q1790" s="7"/>
      <c r="R1790" s="1"/>
      <c r="S1790" s="1" t="str">
        <f>"NOS-20/18"</f>
        <v>NOS-20/18</v>
      </c>
      <c r="T1790" s="2" t="s">
        <v>33</v>
      </c>
    </row>
    <row r="1791" spans="1:20" ht="38.25" x14ac:dyDescent="0.25">
      <c r="A1791" s="1">
        <v>1787</v>
      </c>
      <c r="B1791" s="1" t="str">
        <f>"2018-2805"</f>
        <v>2018-2805</v>
      </c>
      <c r="C1791" s="2" t="s">
        <v>1074</v>
      </c>
      <c r="D1791" s="1" t="s">
        <v>67</v>
      </c>
      <c r="E1791" s="3" t="str">
        <f>""</f>
        <v/>
      </c>
      <c r="F1791" s="2" t="s">
        <v>27</v>
      </c>
      <c r="G1791" s="2" t="str">
        <f>CONCATENATE("AXIOM d.o.o.,"," BANA JOSIPA JELAČIĆA 22/B,"," 40000 ČAKOVEC,"," OIB: 07795389714")</f>
        <v>AXIOM d.o.o., BANA JOSIPA JELAČIĆA 22/B, 40000 ČAKOVEC, OIB: 07795389714</v>
      </c>
      <c r="H1791" s="4"/>
      <c r="I1791" s="1" t="s">
        <v>59</v>
      </c>
      <c r="J1791" s="1" t="s">
        <v>28</v>
      </c>
      <c r="K1791" s="6" t="str">
        <f>"245.790,00"</f>
        <v>245.790,00</v>
      </c>
      <c r="L1791" s="6" t="str">
        <f>"61.447,50"</f>
        <v>61.447,50</v>
      </c>
      <c r="M1791" s="6" t="str">
        <f>"307.237,50"</f>
        <v>307.237,50</v>
      </c>
      <c r="N1791" s="5">
        <v>43707</v>
      </c>
      <c r="O1791" s="7"/>
      <c r="P1791" s="6" t="str">
        <f>"281.634,38"</f>
        <v>281.634,38</v>
      </c>
      <c r="Q1791" s="7"/>
      <c r="R1791" s="1"/>
      <c r="S1791" s="1" t="str">
        <f>"1-18/NOS-20/18"</f>
        <v>1-18/NOS-20/18</v>
      </c>
      <c r="T1791" s="2" t="s">
        <v>33</v>
      </c>
    </row>
    <row r="1792" spans="1:20" ht="38.25" x14ac:dyDescent="0.25">
      <c r="A1792" s="1">
        <v>1788</v>
      </c>
      <c r="B1792" s="1" t="str">
        <f>"2018-2780"</f>
        <v>2018-2780</v>
      </c>
      <c r="C1792" s="2" t="s">
        <v>1077</v>
      </c>
      <c r="D1792" s="1" t="s">
        <v>509</v>
      </c>
      <c r="E1792" s="3" t="str">
        <f>"2018/S 0F2-0016314"</f>
        <v>2018/S 0F2-0016314</v>
      </c>
      <c r="F1792" s="2" t="s">
        <v>23</v>
      </c>
      <c r="G1792" s="2" t="str">
        <f>CONCATENATE("MAXMAR GRUPA  D.O.O.,"," REPULČEVA 6,"," 10450 KLINČA SELA,"," OIB: 91071817708")</f>
        <v>MAXMAR GRUPA  D.O.O., REPULČEVA 6, 10450 KLINČA SELA, OIB: 91071817708</v>
      </c>
      <c r="H1792" s="4"/>
      <c r="I1792" s="1" t="s">
        <v>1078</v>
      </c>
      <c r="J1792" s="1" t="s">
        <v>1079</v>
      </c>
      <c r="K1792" s="6" t="str">
        <f>"1.000.000,00"</f>
        <v>1.000.000,00</v>
      </c>
      <c r="L1792" s="6" t="str">
        <f>"250.000,00"</f>
        <v>250.000,00</v>
      </c>
      <c r="M1792" s="6" t="str">
        <f>"1.250.000,00"</f>
        <v>1.250.000,00</v>
      </c>
      <c r="N1792" s="7"/>
      <c r="O1792" s="7"/>
      <c r="P1792" s="6" t="str">
        <f>""</f>
        <v/>
      </c>
      <c r="Q1792" s="7"/>
      <c r="R1792" s="1"/>
      <c r="S1792" s="1" t="str">
        <f>"NOS-21-A/18"</f>
        <v>NOS-21-A/18</v>
      </c>
      <c r="T1792" s="2" t="s">
        <v>33</v>
      </c>
    </row>
    <row r="1793" spans="1:20" ht="38.25" x14ac:dyDescent="0.25">
      <c r="A1793" s="1">
        <v>1789</v>
      </c>
      <c r="B1793" s="1" t="str">
        <f>"2018-2780"</f>
        <v>2018-2780</v>
      </c>
      <c r="C1793" s="2" t="s">
        <v>1077</v>
      </c>
      <c r="D1793" s="1" t="s">
        <v>509</v>
      </c>
      <c r="E1793" s="3" t="str">
        <f>"2018/S 0F2-0016314"</f>
        <v>2018/S 0F2-0016314</v>
      </c>
      <c r="F1793" s="2" t="s">
        <v>23</v>
      </c>
      <c r="G1793" s="2" t="str">
        <f>CONCATENATE("MAXMAR GRUPA  D.O.O.,"," REPULČEVA 6,"," 10450 KLINČA SELA,"," OIB: 91071817708")</f>
        <v>MAXMAR GRUPA  D.O.O., REPULČEVA 6, 10450 KLINČA SELA, OIB: 91071817708</v>
      </c>
      <c r="H1793" s="4"/>
      <c r="I1793" s="1" t="s">
        <v>1078</v>
      </c>
      <c r="J1793" s="1" t="s">
        <v>1079</v>
      </c>
      <c r="K1793" s="6" t="str">
        <f>"2.000.000,00"</f>
        <v>2.000.000,00</v>
      </c>
      <c r="L1793" s="6" t="str">
        <f>"500.000,00"</f>
        <v>500.000,00</v>
      </c>
      <c r="M1793" s="6" t="str">
        <f>"2.500.000,00"</f>
        <v>2.500.000,00</v>
      </c>
      <c r="N1793" s="7"/>
      <c r="O1793" s="7"/>
      <c r="P1793" s="6" t="str">
        <f>""</f>
        <v/>
      </c>
      <c r="Q1793" s="7"/>
      <c r="R1793" s="1"/>
      <c r="S1793" s="1" t="str">
        <f>"NOS-21-B/18"</f>
        <v>NOS-21-B/18</v>
      </c>
      <c r="T1793" s="2" t="s">
        <v>33</v>
      </c>
    </row>
    <row r="1794" spans="1:20" ht="25.5" x14ac:dyDescent="0.25">
      <c r="A1794" s="1">
        <v>1790</v>
      </c>
      <c r="B1794" s="1" t="str">
        <f>"2018-2780"</f>
        <v>2018-2780</v>
      </c>
      <c r="C1794" s="2" t="s">
        <v>1077</v>
      </c>
      <c r="D1794" s="1" t="s">
        <v>509</v>
      </c>
      <c r="E1794" s="3" t="str">
        <f>""</f>
        <v/>
      </c>
      <c r="F1794" s="2" t="s">
        <v>27</v>
      </c>
      <c r="G1794" s="2" t="str">
        <f>CONCATENATE("MAXMAR GRUPA  D.O.O.,"," REPULČEVA 6,"," 10450 KLINČA SELA,"," OIB: 91071817708")</f>
        <v>MAXMAR GRUPA  D.O.O., REPULČEVA 6, 10450 KLINČA SELA, OIB: 91071817708</v>
      </c>
      <c r="H1794" s="4"/>
      <c r="I1794" s="1" t="s">
        <v>637</v>
      </c>
      <c r="J1794" s="1" t="s">
        <v>469</v>
      </c>
      <c r="K1794" s="6" t="str">
        <f>"136.200,00"</f>
        <v>136.200,00</v>
      </c>
      <c r="L1794" s="6" t="str">
        <f>"34.020,00"</f>
        <v>34.020,00</v>
      </c>
      <c r="M1794" s="6" t="str">
        <f>"170.100,00"</f>
        <v>170.100,00</v>
      </c>
      <c r="N1794" s="5">
        <v>43544</v>
      </c>
      <c r="O1794" s="7"/>
      <c r="P1794" s="6" t="str">
        <f>"170.100,00"</f>
        <v>170.100,00</v>
      </c>
      <c r="Q1794" s="7"/>
      <c r="R1794" s="1"/>
      <c r="S1794" s="1" t="str">
        <f>"1-19/NOS-21-B/18"</f>
        <v>1-19/NOS-21-B/18</v>
      </c>
      <c r="T1794" s="2" t="s">
        <v>33</v>
      </c>
    </row>
    <row r="1795" spans="1:20" ht="38.25" x14ac:dyDescent="0.25">
      <c r="A1795" s="1">
        <v>1791</v>
      </c>
      <c r="B1795" s="1" t="str">
        <f>"2018-2780"</f>
        <v>2018-2780</v>
      </c>
      <c r="C1795" s="2" t="s">
        <v>1077</v>
      </c>
      <c r="D1795" s="1" t="s">
        <v>509</v>
      </c>
      <c r="E1795" s="3" t="str">
        <f>"2018/S 0F2-0016314"</f>
        <v>2018/S 0F2-0016314</v>
      </c>
      <c r="F1795" s="2" t="s">
        <v>23</v>
      </c>
      <c r="G1795" s="2" t="str">
        <f>CONCATENATE("MAXMAR GRUPA  D.O.O.,"," REPULČEVA 6,"," 10450 KLINČA SELA,"," OIB: 91071817708")</f>
        <v>MAXMAR GRUPA  D.O.O., REPULČEVA 6, 10450 KLINČA SELA, OIB: 91071817708</v>
      </c>
      <c r="H1795" s="4"/>
      <c r="I1795" s="1" t="s">
        <v>1078</v>
      </c>
      <c r="J1795" s="1" t="s">
        <v>1079</v>
      </c>
      <c r="K1795" s="6" t="str">
        <f>"2.000.000,00"</f>
        <v>2.000.000,00</v>
      </c>
      <c r="L1795" s="6" t="str">
        <f>"500.000,00"</f>
        <v>500.000,00</v>
      </c>
      <c r="M1795" s="6" t="str">
        <f>"2.500.000,00"</f>
        <v>2.500.000,00</v>
      </c>
      <c r="N1795" s="7"/>
      <c r="O1795" s="7"/>
      <c r="P1795" s="6" t="str">
        <f>""</f>
        <v/>
      </c>
      <c r="Q1795" s="7"/>
      <c r="R1795" s="1"/>
      <c r="S1795" s="1" t="str">
        <f>"NOS-21-C/18"</f>
        <v>NOS-21-C/18</v>
      </c>
      <c r="T1795" s="2" t="s">
        <v>33</v>
      </c>
    </row>
    <row r="1796" spans="1:20" ht="51" x14ac:dyDescent="0.25">
      <c r="A1796" s="1">
        <v>1792</v>
      </c>
      <c r="B1796" s="1" t="str">
        <f t="shared" ref="B1796:B1827" si="177">"2018-2855"</f>
        <v>2018-2855</v>
      </c>
      <c r="C1796" s="2" t="s">
        <v>1080</v>
      </c>
      <c r="D1796" s="1" t="s">
        <v>582</v>
      </c>
      <c r="E1796" s="3" t="str">
        <f>"2018/S 0F2-0013181"</f>
        <v>2018/S 0F2-0013181</v>
      </c>
      <c r="F1796" s="2" t="s">
        <v>23</v>
      </c>
      <c r="G1796" s="2" t="str">
        <f>CONCATENATE("PAMAJO D.O.O.,"," VRANIČKA 7/A,"," 10000 ZAGREB,"," OIB: 46401136513",CHAR(10),"RANUS D.O.O.,"," STUBIČKA 44,"," 10000 ZAGREB,"," OIB: 65348127386")</f>
        <v>PAMAJO D.O.O., VRANIČKA 7/A, 10000 ZAGREB, OIB: 46401136513
RANUS D.O.O., STUBIČKA 44, 10000 ZAGREB, OIB: 65348127386</v>
      </c>
      <c r="H1796" s="4"/>
      <c r="I1796" s="1" t="s">
        <v>659</v>
      </c>
      <c r="J1796" s="1" t="s">
        <v>1081</v>
      </c>
      <c r="K1796" s="6" t="str">
        <f>"1.615.000,00"</f>
        <v>1.615.000,00</v>
      </c>
      <c r="L1796" s="6" t="str">
        <f>"403.750,00"</f>
        <v>403.750,00</v>
      </c>
      <c r="M1796" s="6" t="str">
        <f>"2.018.750,00"</f>
        <v>2.018.750,00</v>
      </c>
      <c r="N1796" s="7"/>
      <c r="O1796" s="7"/>
      <c r="P1796" s="6" t="str">
        <f>""</f>
        <v/>
      </c>
      <c r="Q1796" s="7"/>
      <c r="R1796" s="1"/>
      <c r="S1796" s="1" t="str">
        <f>"NOS-22-A/18"</f>
        <v>NOS-22-A/18</v>
      </c>
      <c r="T1796" s="2" t="s">
        <v>706</v>
      </c>
    </row>
    <row r="1797" spans="1:20" ht="25.5" x14ac:dyDescent="0.25">
      <c r="A1797" s="1">
        <v>1793</v>
      </c>
      <c r="B1797" s="1" t="str">
        <f t="shared" si="177"/>
        <v>2018-2855</v>
      </c>
      <c r="C1797" s="2" t="s">
        <v>1080</v>
      </c>
      <c r="D1797" s="1" t="s">
        <v>582</v>
      </c>
      <c r="E1797" s="3" t="str">
        <f>""</f>
        <v/>
      </c>
      <c r="F1797" s="2" t="s">
        <v>27</v>
      </c>
      <c r="G1797" s="2" t="str">
        <f t="shared" ref="G1797:G1828" si="178">CONCATENATE("PAMAJO D.O.O.,"," VRANIČKA 7/A,"," 10000 ZAGREB,"," OIB: 46401136513")</f>
        <v>PAMAJO D.O.O., VRANIČKA 7/A, 10000 ZAGREB, OIB: 46401136513</v>
      </c>
      <c r="H1797" s="4"/>
      <c r="I1797" s="1" t="s">
        <v>229</v>
      </c>
      <c r="J1797" s="1" t="s">
        <v>1082</v>
      </c>
      <c r="K1797" s="6" t="str">
        <f>"1.232,68"</f>
        <v>1.232,68</v>
      </c>
      <c r="L1797" s="6" t="str">
        <f>"308,17"</f>
        <v>308,17</v>
      </c>
      <c r="M1797" s="6" t="str">
        <f>"1.540,85"</f>
        <v>1.540,85</v>
      </c>
      <c r="N1797" s="5">
        <v>43504</v>
      </c>
      <c r="O1797" s="7"/>
      <c r="P1797" s="6" t="str">
        <f>"1.540,85"</f>
        <v>1.540,85</v>
      </c>
      <c r="Q1797" s="7"/>
      <c r="R1797" s="1"/>
      <c r="S1797" s="1" t="str">
        <f>"1-19/NOS-22-A/18"</f>
        <v>1-19/NOS-22-A/18</v>
      </c>
      <c r="T1797" s="2" t="s">
        <v>33</v>
      </c>
    </row>
    <row r="1798" spans="1:20" ht="25.5" x14ac:dyDescent="0.25">
      <c r="A1798" s="1">
        <v>1794</v>
      </c>
      <c r="B1798" s="1" t="str">
        <f t="shared" si="177"/>
        <v>2018-2855</v>
      </c>
      <c r="C1798" s="2" t="s">
        <v>1080</v>
      </c>
      <c r="D1798" s="1" t="s">
        <v>582</v>
      </c>
      <c r="E1798" s="3" t="str">
        <f>""</f>
        <v/>
      </c>
      <c r="F1798" s="2" t="s">
        <v>27</v>
      </c>
      <c r="G1798" s="2" t="str">
        <f t="shared" si="178"/>
        <v>PAMAJO D.O.O., VRANIČKA 7/A, 10000 ZAGREB, OIB: 46401136513</v>
      </c>
      <c r="H1798" s="4"/>
      <c r="I1798" s="1" t="s">
        <v>229</v>
      </c>
      <c r="J1798" s="1" t="s">
        <v>251</v>
      </c>
      <c r="K1798" s="6" t="str">
        <f>"3.577,50"</f>
        <v>3.577,50</v>
      </c>
      <c r="L1798" s="6" t="str">
        <f>"894,38"</f>
        <v>894,38</v>
      </c>
      <c r="M1798" s="6" t="str">
        <f>"4.471,88"</f>
        <v>4.471,88</v>
      </c>
      <c r="N1798" s="5">
        <v>43480</v>
      </c>
      <c r="O1798" s="7"/>
      <c r="P1798" s="6" t="str">
        <f>"4.471,88"</f>
        <v>4.471,88</v>
      </c>
      <c r="Q1798" s="7"/>
      <c r="R1798" s="1"/>
      <c r="S1798" s="1" t="str">
        <f>"2-19/NOS-22-A/18"</f>
        <v>2-19/NOS-22-A/18</v>
      </c>
      <c r="T1798" s="2" t="s">
        <v>33</v>
      </c>
    </row>
    <row r="1799" spans="1:20" ht="25.5" x14ac:dyDescent="0.25">
      <c r="A1799" s="1">
        <v>1795</v>
      </c>
      <c r="B1799" s="1" t="str">
        <f t="shared" si="177"/>
        <v>2018-2855</v>
      </c>
      <c r="C1799" s="2" t="s">
        <v>1080</v>
      </c>
      <c r="D1799" s="1" t="s">
        <v>582</v>
      </c>
      <c r="E1799" s="3" t="str">
        <f>""</f>
        <v/>
      </c>
      <c r="F1799" s="2" t="s">
        <v>27</v>
      </c>
      <c r="G1799" s="2" t="str">
        <f t="shared" si="178"/>
        <v>PAMAJO D.O.O., VRANIČKA 7/A, 10000 ZAGREB, OIB: 46401136513</v>
      </c>
      <c r="H1799" s="4"/>
      <c r="I1799" s="1" t="s">
        <v>194</v>
      </c>
      <c r="J1799" s="1" t="s">
        <v>469</v>
      </c>
      <c r="K1799" s="6" t="str">
        <f>"3.606,72"</f>
        <v>3.606,72</v>
      </c>
      <c r="L1799" s="6" t="str">
        <f>"901,50"</f>
        <v>901,50</v>
      </c>
      <c r="M1799" s="6" t="str">
        <f>"4.507,50"</f>
        <v>4.507,50</v>
      </c>
      <c r="N1799" s="5">
        <v>43619</v>
      </c>
      <c r="O1799" s="7"/>
      <c r="P1799" s="6" t="str">
        <f>"4.507,50"</f>
        <v>4.507,50</v>
      </c>
      <c r="Q1799" s="7"/>
      <c r="R1799" s="1"/>
      <c r="S1799" s="1" t="str">
        <f>"3-19/NOS-22-A/18"</f>
        <v>3-19/NOS-22-A/18</v>
      </c>
      <c r="T1799" s="2" t="s">
        <v>33</v>
      </c>
    </row>
    <row r="1800" spans="1:20" ht="25.5" x14ac:dyDescent="0.25">
      <c r="A1800" s="1">
        <v>1796</v>
      </c>
      <c r="B1800" s="1" t="str">
        <f t="shared" si="177"/>
        <v>2018-2855</v>
      </c>
      <c r="C1800" s="2" t="s">
        <v>1080</v>
      </c>
      <c r="D1800" s="1" t="s">
        <v>582</v>
      </c>
      <c r="E1800" s="3" t="str">
        <f>""</f>
        <v/>
      </c>
      <c r="F1800" s="2" t="s">
        <v>27</v>
      </c>
      <c r="G1800" s="2" t="str">
        <f t="shared" si="178"/>
        <v>PAMAJO D.O.O., VRANIČKA 7/A, 10000 ZAGREB, OIB: 46401136513</v>
      </c>
      <c r="H1800" s="4"/>
      <c r="I1800" s="1" t="s">
        <v>596</v>
      </c>
      <c r="J1800" s="1" t="s">
        <v>469</v>
      </c>
      <c r="K1800" s="6" t="str">
        <f>"688,74"</f>
        <v>688,74</v>
      </c>
      <c r="L1800" s="6" t="str">
        <f>"172,19"</f>
        <v>172,19</v>
      </c>
      <c r="M1800" s="6" t="str">
        <f>"860,93"</f>
        <v>860,93</v>
      </c>
      <c r="N1800" s="5">
        <v>43514</v>
      </c>
      <c r="O1800" s="7"/>
      <c r="P1800" s="6" t="str">
        <f>"860,92"</f>
        <v>860,92</v>
      </c>
      <c r="Q1800" s="7"/>
      <c r="R1800" s="1"/>
      <c r="S1800" s="1" t="str">
        <f>"4-19/NOS-22-A/18"</f>
        <v>4-19/NOS-22-A/18</v>
      </c>
      <c r="T1800" s="2" t="s">
        <v>33</v>
      </c>
    </row>
    <row r="1801" spans="1:20" ht="25.5" x14ac:dyDescent="0.25">
      <c r="A1801" s="1">
        <v>1797</v>
      </c>
      <c r="B1801" s="1" t="str">
        <f t="shared" si="177"/>
        <v>2018-2855</v>
      </c>
      <c r="C1801" s="2" t="s">
        <v>1080</v>
      </c>
      <c r="D1801" s="1" t="s">
        <v>582</v>
      </c>
      <c r="E1801" s="3" t="str">
        <f>""</f>
        <v/>
      </c>
      <c r="F1801" s="2" t="s">
        <v>27</v>
      </c>
      <c r="G1801" s="2" t="str">
        <f t="shared" si="178"/>
        <v>PAMAJO D.O.O., VRANIČKA 7/A, 10000 ZAGREB, OIB: 46401136513</v>
      </c>
      <c r="H1801" s="4"/>
      <c r="I1801" s="1" t="s">
        <v>462</v>
      </c>
      <c r="J1801" s="1" t="s">
        <v>121</v>
      </c>
      <c r="K1801" s="6" t="str">
        <f>"1.725,00"</f>
        <v>1.725,00</v>
      </c>
      <c r="L1801" s="6" t="str">
        <f>"431,25"</f>
        <v>431,25</v>
      </c>
      <c r="M1801" s="6" t="str">
        <f>"2.156,25"</f>
        <v>2.156,25</v>
      </c>
      <c r="N1801" s="5">
        <v>43489</v>
      </c>
      <c r="O1801" s="7"/>
      <c r="P1801" s="6" t="str">
        <f>"2.156,25"</f>
        <v>2.156,25</v>
      </c>
      <c r="Q1801" s="7"/>
      <c r="R1801" s="1"/>
      <c r="S1801" s="1" t="str">
        <f>"5-19/NOS-22-A/18"</f>
        <v>5-19/NOS-22-A/18</v>
      </c>
      <c r="T1801" s="2" t="s">
        <v>33</v>
      </c>
    </row>
    <row r="1802" spans="1:20" ht="25.5" x14ac:dyDescent="0.25">
      <c r="A1802" s="1">
        <v>1798</v>
      </c>
      <c r="B1802" s="1" t="str">
        <f t="shared" si="177"/>
        <v>2018-2855</v>
      </c>
      <c r="C1802" s="2" t="s">
        <v>1080</v>
      </c>
      <c r="D1802" s="1" t="s">
        <v>582</v>
      </c>
      <c r="E1802" s="3" t="str">
        <f>""</f>
        <v/>
      </c>
      <c r="F1802" s="2" t="s">
        <v>27</v>
      </c>
      <c r="G1802" s="2" t="str">
        <f t="shared" si="178"/>
        <v>PAMAJO D.O.O., VRANIČKA 7/A, 10000 ZAGREB, OIB: 46401136513</v>
      </c>
      <c r="H1802" s="4"/>
      <c r="I1802" s="1" t="s">
        <v>462</v>
      </c>
      <c r="J1802" s="1" t="s">
        <v>492</v>
      </c>
      <c r="K1802" s="6" t="str">
        <f>"1.959,00"</f>
        <v>1.959,00</v>
      </c>
      <c r="L1802" s="6" t="str">
        <f>"489,75"</f>
        <v>489,75</v>
      </c>
      <c r="M1802" s="6" t="str">
        <f>"2.448,75"</f>
        <v>2.448,75</v>
      </c>
      <c r="N1802" s="5">
        <v>43516</v>
      </c>
      <c r="O1802" s="7"/>
      <c r="P1802" s="6" t="str">
        <f>"2.448,75"</f>
        <v>2.448,75</v>
      </c>
      <c r="Q1802" s="7"/>
      <c r="R1802" s="1"/>
      <c r="S1802" s="1" t="str">
        <f>"6-19/NOS-22-A/18"</f>
        <v>6-19/NOS-22-A/18</v>
      </c>
      <c r="T1802" s="2" t="s">
        <v>33</v>
      </c>
    </row>
    <row r="1803" spans="1:20" ht="25.5" x14ac:dyDescent="0.25">
      <c r="A1803" s="1">
        <v>1799</v>
      </c>
      <c r="B1803" s="1" t="str">
        <f t="shared" si="177"/>
        <v>2018-2855</v>
      </c>
      <c r="C1803" s="2" t="s">
        <v>1080</v>
      </c>
      <c r="D1803" s="1" t="s">
        <v>582</v>
      </c>
      <c r="E1803" s="3" t="str">
        <f>""</f>
        <v/>
      </c>
      <c r="F1803" s="2" t="s">
        <v>27</v>
      </c>
      <c r="G1803" s="2" t="str">
        <f t="shared" si="178"/>
        <v>PAMAJO D.O.O., VRANIČKA 7/A, 10000 ZAGREB, OIB: 46401136513</v>
      </c>
      <c r="H1803" s="4"/>
      <c r="I1803" s="1" t="s">
        <v>254</v>
      </c>
      <c r="J1803" s="1" t="s">
        <v>492</v>
      </c>
      <c r="K1803" s="6" t="str">
        <f>"1.505,43"</f>
        <v>1.505,43</v>
      </c>
      <c r="L1803" s="6" t="str">
        <f>"376,36"</f>
        <v>376,36</v>
      </c>
      <c r="M1803" s="6" t="str">
        <f>"1.881,79"</f>
        <v>1.881,79</v>
      </c>
      <c r="N1803" s="5">
        <v>43516</v>
      </c>
      <c r="O1803" s="7"/>
      <c r="P1803" s="6" t="str">
        <f>"1.881,79"</f>
        <v>1.881,79</v>
      </c>
      <c r="Q1803" s="7"/>
      <c r="R1803" s="1"/>
      <c r="S1803" s="1" t="str">
        <f>"7-19/NOS-22-A/18"</f>
        <v>7-19/NOS-22-A/18</v>
      </c>
      <c r="T1803" s="2" t="s">
        <v>33</v>
      </c>
    </row>
    <row r="1804" spans="1:20" ht="25.5" x14ac:dyDescent="0.25">
      <c r="A1804" s="1">
        <v>1800</v>
      </c>
      <c r="B1804" s="1" t="str">
        <f t="shared" si="177"/>
        <v>2018-2855</v>
      </c>
      <c r="C1804" s="2" t="s">
        <v>1080</v>
      </c>
      <c r="D1804" s="1" t="s">
        <v>582</v>
      </c>
      <c r="E1804" s="3" t="str">
        <f>""</f>
        <v/>
      </c>
      <c r="F1804" s="2" t="s">
        <v>27</v>
      </c>
      <c r="G1804" s="2" t="str">
        <f t="shared" si="178"/>
        <v>PAMAJO D.O.O., VRANIČKA 7/A, 10000 ZAGREB, OIB: 46401136513</v>
      </c>
      <c r="H1804" s="4"/>
      <c r="I1804" s="1" t="s">
        <v>210</v>
      </c>
      <c r="J1804" s="1" t="s">
        <v>492</v>
      </c>
      <c r="K1804" s="6" t="str">
        <f>"1.400,00"</f>
        <v>1.400,00</v>
      </c>
      <c r="L1804" s="6" t="str">
        <f>"350,00"</f>
        <v>350,00</v>
      </c>
      <c r="M1804" s="6" t="str">
        <f>"1.750,00"</f>
        <v>1.750,00</v>
      </c>
      <c r="N1804" s="5">
        <v>43523</v>
      </c>
      <c r="O1804" s="7"/>
      <c r="P1804" s="6" t="str">
        <f>"1.750,00"</f>
        <v>1.750,00</v>
      </c>
      <c r="Q1804" s="7"/>
      <c r="R1804" s="1"/>
      <c r="S1804" s="1" t="str">
        <f>"8-19/NOS-22-A/18"</f>
        <v>8-19/NOS-22-A/18</v>
      </c>
      <c r="T1804" s="2" t="s">
        <v>33</v>
      </c>
    </row>
    <row r="1805" spans="1:20" ht="25.5" x14ac:dyDescent="0.25">
      <c r="A1805" s="1">
        <v>1801</v>
      </c>
      <c r="B1805" s="1" t="str">
        <f t="shared" si="177"/>
        <v>2018-2855</v>
      </c>
      <c r="C1805" s="2" t="s">
        <v>1080</v>
      </c>
      <c r="D1805" s="1" t="s">
        <v>582</v>
      </c>
      <c r="E1805" s="3" t="str">
        <f>""</f>
        <v/>
      </c>
      <c r="F1805" s="2" t="s">
        <v>27</v>
      </c>
      <c r="G1805" s="2" t="str">
        <f t="shared" si="178"/>
        <v>PAMAJO D.O.O., VRANIČKA 7/A, 10000 ZAGREB, OIB: 46401136513</v>
      </c>
      <c r="H1805" s="4"/>
      <c r="I1805" s="1" t="s">
        <v>254</v>
      </c>
      <c r="J1805" s="1" t="s">
        <v>492</v>
      </c>
      <c r="K1805" s="6" t="str">
        <f>"2.205,00"</f>
        <v>2.205,00</v>
      </c>
      <c r="L1805" s="6" t="str">
        <f>"551,25"</f>
        <v>551,25</v>
      </c>
      <c r="M1805" s="6" t="str">
        <f>"2.756,25"</f>
        <v>2.756,25</v>
      </c>
      <c r="N1805" s="5">
        <v>43521</v>
      </c>
      <c r="O1805" s="7"/>
      <c r="P1805" s="6" t="str">
        <f>"2.756,25"</f>
        <v>2.756,25</v>
      </c>
      <c r="Q1805" s="7"/>
      <c r="R1805" s="1"/>
      <c r="S1805" s="1" t="str">
        <f>"9-19/NOS-22-A/18"</f>
        <v>9-19/NOS-22-A/18</v>
      </c>
      <c r="T1805" s="2" t="s">
        <v>33</v>
      </c>
    </row>
    <row r="1806" spans="1:20" ht="25.5" x14ac:dyDescent="0.25">
      <c r="A1806" s="1">
        <v>1802</v>
      </c>
      <c r="B1806" s="1" t="str">
        <f t="shared" si="177"/>
        <v>2018-2855</v>
      </c>
      <c r="C1806" s="2" t="s">
        <v>1080</v>
      </c>
      <c r="D1806" s="1" t="s">
        <v>582</v>
      </c>
      <c r="E1806" s="3" t="str">
        <f>""</f>
        <v/>
      </c>
      <c r="F1806" s="2" t="s">
        <v>27</v>
      </c>
      <c r="G1806" s="2" t="str">
        <f t="shared" si="178"/>
        <v>PAMAJO D.O.O., VRANIČKA 7/A, 10000 ZAGREB, OIB: 46401136513</v>
      </c>
      <c r="H1806" s="4"/>
      <c r="I1806" s="1" t="s">
        <v>254</v>
      </c>
      <c r="J1806" s="1" t="s">
        <v>492</v>
      </c>
      <c r="K1806" s="6" t="str">
        <f>"2.160,00"</f>
        <v>2.160,00</v>
      </c>
      <c r="L1806" s="6" t="str">
        <f>"540,00"</f>
        <v>540,00</v>
      </c>
      <c r="M1806" s="6" t="str">
        <f>"2.700,00"</f>
        <v>2.700,00</v>
      </c>
      <c r="N1806" s="5">
        <v>43521</v>
      </c>
      <c r="O1806" s="7"/>
      <c r="P1806" s="6" t="str">
        <f>"2.700,00"</f>
        <v>2.700,00</v>
      </c>
      <c r="Q1806" s="7"/>
      <c r="R1806" s="1"/>
      <c r="S1806" s="1" t="str">
        <f>"10-19/NOS-22-A/18"</f>
        <v>10-19/NOS-22-A/18</v>
      </c>
      <c r="T1806" s="2" t="s">
        <v>33</v>
      </c>
    </row>
    <row r="1807" spans="1:20" ht="25.5" x14ac:dyDescent="0.25">
      <c r="A1807" s="1">
        <v>1803</v>
      </c>
      <c r="B1807" s="1" t="str">
        <f t="shared" si="177"/>
        <v>2018-2855</v>
      </c>
      <c r="C1807" s="2" t="s">
        <v>1080</v>
      </c>
      <c r="D1807" s="1" t="s">
        <v>582</v>
      </c>
      <c r="E1807" s="3" t="str">
        <f>""</f>
        <v/>
      </c>
      <c r="F1807" s="2" t="s">
        <v>27</v>
      </c>
      <c r="G1807" s="2" t="str">
        <f t="shared" si="178"/>
        <v>PAMAJO D.O.O., VRANIČKA 7/A, 10000 ZAGREB, OIB: 46401136513</v>
      </c>
      <c r="H1807" s="4"/>
      <c r="I1807" s="1" t="s">
        <v>566</v>
      </c>
      <c r="J1807" s="1" t="s">
        <v>121</v>
      </c>
      <c r="K1807" s="6" t="str">
        <f>"5.907,50"</f>
        <v>5.907,50</v>
      </c>
      <c r="L1807" s="6" t="str">
        <f>"1.476,88"</f>
        <v>1.476,88</v>
      </c>
      <c r="M1807" s="6" t="str">
        <f>"7.384,38"</f>
        <v>7.384,38</v>
      </c>
      <c r="N1807" s="5">
        <v>43605</v>
      </c>
      <c r="O1807" s="7"/>
      <c r="P1807" s="6" t="str">
        <f>"7.384,38"</f>
        <v>7.384,38</v>
      </c>
      <c r="Q1807" s="7"/>
      <c r="R1807" s="1"/>
      <c r="S1807" s="1" t="str">
        <f>"11-19/NOS-22-A/18"</f>
        <v>11-19/NOS-22-A/18</v>
      </c>
      <c r="T1807" s="2" t="s">
        <v>33</v>
      </c>
    </row>
    <row r="1808" spans="1:20" ht="25.5" x14ac:dyDescent="0.25">
      <c r="A1808" s="1">
        <v>1804</v>
      </c>
      <c r="B1808" s="1" t="str">
        <f t="shared" si="177"/>
        <v>2018-2855</v>
      </c>
      <c r="C1808" s="2" t="s">
        <v>1080</v>
      </c>
      <c r="D1808" s="1" t="s">
        <v>582</v>
      </c>
      <c r="E1808" s="3" t="str">
        <f>""</f>
        <v/>
      </c>
      <c r="F1808" s="2" t="s">
        <v>27</v>
      </c>
      <c r="G1808" s="2" t="str">
        <f t="shared" si="178"/>
        <v>PAMAJO D.O.O., VRANIČKA 7/A, 10000 ZAGREB, OIB: 46401136513</v>
      </c>
      <c r="H1808" s="4"/>
      <c r="I1808" s="1" t="s">
        <v>254</v>
      </c>
      <c r="J1808" s="1" t="s">
        <v>492</v>
      </c>
      <c r="K1808" s="6" t="str">
        <f>"1.110,00"</f>
        <v>1.110,00</v>
      </c>
      <c r="L1808" s="6" t="str">
        <f>"277,50"</f>
        <v>277,50</v>
      </c>
      <c r="M1808" s="6" t="str">
        <f>"1.387,50"</f>
        <v>1.387,50</v>
      </c>
      <c r="N1808" s="5">
        <v>43521</v>
      </c>
      <c r="O1808" s="7"/>
      <c r="P1808" s="6" t="str">
        <f>"1.387,50"</f>
        <v>1.387,50</v>
      </c>
      <c r="Q1808" s="7"/>
      <c r="R1808" s="1"/>
      <c r="S1808" s="1" t="str">
        <f>"12-19/NOS-22-A/18"</f>
        <v>12-19/NOS-22-A/18</v>
      </c>
      <c r="T1808" s="2" t="s">
        <v>33</v>
      </c>
    </row>
    <row r="1809" spans="1:20" ht="25.5" x14ac:dyDescent="0.25">
      <c r="A1809" s="1">
        <v>1805</v>
      </c>
      <c r="B1809" s="1" t="str">
        <f t="shared" si="177"/>
        <v>2018-2855</v>
      </c>
      <c r="C1809" s="2" t="s">
        <v>1080</v>
      </c>
      <c r="D1809" s="1" t="s">
        <v>582</v>
      </c>
      <c r="E1809" s="3" t="str">
        <f>""</f>
        <v/>
      </c>
      <c r="F1809" s="2" t="s">
        <v>27</v>
      </c>
      <c r="G1809" s="2" t="str">
        <f t="shared" si="178"/>
        <v>PAMAJO D.O.O., VRANIČKA 7/A, 10000 ZAGREB, OIB: 46401136513</v>
      </c>
      <c r="H1809" s="4"/>
      <c r="I1809" s="1" t="s">
        <v>264</v>
      </c>
      <c r="J1809" s="1" t="s">
        <v>492</v>
      </c>
      <c r="K1809" s="6" t="str">
        <f>"2.440,00"</f>
        <v>2.440,00</v>
      </c>
      <c r="L1809" s="6" t="str">
        <f>"610,00"</f>
        <v>610,00</v>
      </c>
      <c r="M1809" s="6" t="str">
        <f>"3.050,00"</f>
        <v>3.050,00</v>
      </c>
      <c r="N1809" s="5">
        <v>43532</v>
      </c>
      <c r="O1809" s="7"/>
      <c r="P1809" s="6" t="str">
        <f>"3.050,00"</f>
        <v>3.050,00</v>
      </c>
      <c r="Q1809" s="7"/>
      <c r="R1809" s="1"/>
      <c r="S1809" s="1" t="str">
        <f>"13-19/NOS-22-A/18"</f>
        <v>13-19/NOS-22-A/18</v>
      </c>
      <c r="T1809" s="2" t="s">
        <v>33</v>
      </c>
    </row>
    <row r="1810" spans="1:20" ht="25.5" x14ac:dyDescent="0.25">
      <c r="A1810" s="1">
        <v>1806</v>
      </c>
      <c r="B1810" s="1" t="str">
        <f t="shared" si="177"/>
        <v>2018-2855</v>
      </c>
      <c r="C1810" s="2" t="s">
        <v>1080</v>
      </c>
      <c r="D1810" s="1" t="s">
        <v>582</v>
      </c>
      <c r="E1810" s="3" t="str">
        <f>""</f>
        <v/>
      </c>
      <c r="F1810" s="2" t="s">
        <v>27</v>
      </c>
      <c r="G1810" s="2" t="str">
        <f t="shared" si="178"/>
        <v>PAMAJO D.O.O., VRANIČKA 7/A, 10000 ZAGREB, OIB: 46401136513</v>
      </c>
      <c r="H1810" s="4"/>
      <c r="I1810" s="1" t="s">
        <v>269</v>
      </c>
      <c r="J1810" s="1" t="s">
        <v>251</v>
      </c>
      <c r="K1810" s="6" t="str">
        <f>"10.413,38"</f>
        <v>10.413,38</v>
      </c>
      <c r="L1810" s="6" t="str">
        <f>"2.603,35"</f>
        <v>2.603,35</v>
      </c>
      <c r="M1810" s="6" t="str">
        <f>"13.016,73"</f>
        <v>13.016,73</v>
      </c>
      <c r="N1810" s="5">
        <v>43603</v>
      </c>
      <c r="O1810" s="7"/>
      <c r="P1810" s="6" t="str">
        <f>"13.016,72"</f>
        <v>13.016,72</v>
      </c>
      <c r="Q1810" s="7"/>
      <c r="R1810" s="1"/>
      <c r="S1810" s="1" t="str">
        <f>"14-19/NOS-22-A/18"</f>
        <v>14-19/NOS-22-A/18</v>
      </c>
      <c r="T1810" s="2" t="s">
        <v>33</v>
      </c>
    </row>
    <row r="1811" spans="1:20" ht="25.5" x14ac:dyDescent="0.25">
      <c r="A1811" s="1">
        <v>1807</v>
      </c>
      <c r="B1811" s="1" t="str">
        <f t="shared" si="177"/>
        <v>2018-2855</v>
      </c>
      <c r="C1811" s="2" t="s">
        <v>1080</v>
      </c>
      <c r="D1811" s="1" t="s">
        <v>582</v>
      </c>
      <c r="E1811" s="3" t="str">
        <f>""</f>
        <v/>
      </c>
      <c r="F1811" s="2" t="s">
        <v>27</v>
      </c>
      <c r="G1811" s="2" t="str">
        <f t="shared" si="178"/>
        <v>PAMAJO D.O.O., VRANIČKA 7/A, 10000 ZAGREB, OIB: 46401136513</v>
      </c>
      <c r="H1811" s="4"/>
      <c r="I1811" s="1" t="s">
        <v>71</v>
      </c>
      <c r="J1811" s="1" t="s">
        <v>492</v>
      </c>
      <c r="K1811" s="6" t="str">
        <f>"1.300,00"</f>
        <v>1.300,00</v>
      </c>
      <c r="L1811" s="6" t="str">
        <f>"325,00"</f>
        <v>325,00</v>
      </c>
      <c r="M1811" s="6" t="str">
        <f>"1.625,00"</f>
        <v>1.625,00</v>
      </c>
      <c r="N1811" s="5">
        <v>43524</v>
      </c>
      <c r="O1811" s="7"/>
      <c r="P1811" s="6" t="str">
        <f>"1.625,00"</f>
        <v>1.625,00</v>
      </c>
      <c r="Q1811" s="7"/>
      <c r="R1811" s="1"/>
      <c r="S1811" s="1" t="str">
        <f>"15-19/NOS-22-A/18"</f>
        <v>15-19/NOS-22-A/18</v>
      </c>
      <c r="T1811" s="2" t="s">
        <v>33</v>
      </c>
    </row>
    <row r="1812" spans="1:20" ht="25.5" x14ac:dyDescent="0.25">
      <c r="A1812" s="1">
        <v>1808</v>
      </c>
      <c r="B1812" s="1" t="str">
        <f t="shared" si="177"/>
        <v>2018-2855</v>
      </c>
      <c r="C1812" s="2" t="s">
        <v>1080</v>
      </c>
      <c r="D1812" s="1" t="s">
        <v>582</v>
      </c>
      <c r="E1812" s="3" t="str">
        <f>""</f>
        <v/>
      </c>
      <c r="F1812" s="2" t="s">
        <v>27</v>
      </c>
      <c r="G1812" s="2" t="str">
        <f t="shared" si="178"/>
        <v>PAMAJO D.O.O., VRANIČKA 7/A, 10000 ZAGREB, OIB: 46401136513</v>
      </c>
      <c r="H1812" s="4"/>
      <c r="I1812" s="1" t="s">
        <v>71</v>
      </c>
      <c r="J1812" s="1" t="s">
        <v>492</v>
      </c>
      <c r="K1812" s="6" t="str">
        <f>"1.440,00"</f>
        <v>1.440,00</v>
      </c>
      <c r="L1812" s="6" t="str">
        <f>"360,00"</f>
        <v>360,00</v>
      </c>
      <c r="M1812" s="6" t="str">
        <f>"1.800,00"</f>
        <v>1.800,00</v>
      </c>
      <c r="N1812" s="5">
        <v>43524</v>
      </c>
      <c r="O1812" s="7"/>
      <c r="P1812" s="6" t="str">
        <f>"1.800,00"</f>
        <v>1.800,00</v>
      </c>
      <c r="Q1812" s="7"/>
      <c r="R1812" s="1"/>
      <c r="S1812" s="1" t="str">
        <f>"16-19/NOS-22-A/18"</f>
        <v>16-19/NOS-22-A/18</v>
      </c>
      <c r="T1812" s="2" t="s">
        <v>33</v>
      </c>
    </row>
    <row r="1813" spans="1:20" ht="25.5" x14ac:dyDescent="0.25">
      <c r="A1813" s="1">
        <v>1809</v>
      </c>
      <c r="B1813" s="1" t="str">
        <f t="shared" si="177"/>
        <v>2018-2855</v>
      </c>
      <c r="C1813" s="2" t="s">
        <v>1080</v>
      </c>
      <c r="D1813" s="1" t="s">
        <v>582</v>
      </c>
      <c r="E1813" s="3" t="str">
        <f>""</f>
        <v/>
      </c>
      <c r="F1813" s="2" t="s">
        <v>27</v>
      </c>
      <c r="G1813" s="2" t="str">
        <f t="shared" si="178"/>
        <v>PAMAJO D.O.O., VRANIČKA 7/A, 10000 ZAGREB, OIB: 46401136513</v>
      </c>
      <c r="H1813" s="4"/>
      <c r="I1813" s="1" t="s">
        <v>71</v>
      </c>
      <c r="J1813" s="1" t="s">
        <v>492</v>
      </c>
      <c r="K1813" s="6" t="str">
        <f>"2.067,70"</f>
        <v>2.067,70</v>
      </c>
      <c r="L1813" s="6" t="str">
        <f>"516,93"</f>
        <v>516,93</v>
      </c>
      <c r="M1813" s="6" t="str">
        <f>"2.584,63"</f>
        <v>2.584,63</v>
      </c>
      <c r="N1813" s="5">
        <v>43521</v>
      </c>
      <c r="O1813" s="7"/>
      <c r="P1813" s="6" t="str">
        <f>"2.584,62"</f>
        <v>2.584,62</v>
      </c>
      <c r="Q1813" s="7"/>
      <c r="R1813" s="1"/>
      <c r="S1813" s="1" t="str">
        <f>"17-19/NOS-22-A/18"</f>
        <v>17-19/NOS-22-A/18</v>
      </c>
      <c r="T1813" s="2" t="s">
        <v>33</v>
      </c>
    </row>
    <row r="1814" spans="1:20" ht="25.5" x14ac:dyDescent="0.25">
      <c r="A1814" s="1">
        <v>1810</v>
      </c>
      <c r="B1814" s="1" t="str">
        <f t="shared" si="177"/>
        <v>2018-2855</v>
      </c>
      <c r="C1814" s="2" t="s">
        <v>1080</v>
      </c>
      <c r="D1814" s="1" t="s">
        <v>582</v>
      </c>
      <c r="E1814" s="3" t="str">
        <f>""</f>
        <v/>
      </c>
      <c r="F1814" s="2" t="s">
        <v>27</v>
      </c>
      <c r="G1814" s="2" t="str">
        <f t="shared" si="178"/>
        <v>PAMAJO D.O.O., VRANIČKA 7/A, 10000 ZAGREB, OIB: 46401136513</v>
      </c>
      <c r="H1814" s="4"/>
      <c r="I1814" s="1" t="s">
        <v>373</v>
      </c>
      <c r="J1814" s="1" t="s">
        <v>492</v>
      </c>
      <c r="K1814" s="6" t="str">
        <f>"577,23"</f>
        <v>577,23</v>
      </c>
      <c r="L1814" s="6" t="str">
        <f>"144,31"</f>
        <v>144,31</v>
      </c>
      <c r="M1814" s="6" t="str">
        <f>"721,54"</f>
        <v>721,54</v>
      </c>
      <c r="N1814" s="5">
        <v>43570</v>
      </c>
      <c r="O1814" s="7"/>
      <c r="P1814" s="6" t="str">
        <f>"721,54"</f>
        <v>721,54</v>
      </c>
      <c r="Q1814" s="7"/>
      <c r="R1814" s="1"/>
      <c r="S1814" s="1" t="str">
        <f>"18-19/NOS-22-A/18"</f>
        <v>18-19/NOS-22-A/18</v>
      </c>
      <c r="T1814" s="2" t="s">
        <v>33</v>
      </c>
    </row>
    <row r="1815" spans="1:20" ht="25.5" x14ac:dyDescent="0.25">
      <c r="A1815" s="1">
        <v>1811</v>
      </c>
      <c r="B1815" s="1" t="str">
        <f t="shared" si="177"/>
        <v>2018-2855</v>
      </c>
      <c r="C1815" s="2" t="s">
        <v>1080</v>
      </c>
      <c r="D1815" s="1" t="s">
        <v>582</v>
      </c>
      <c r="E1815" s="3" t="str">
        <f>""</f>
        <v/>
      </c>
      <c r="F1815" s="2" t="s">
        <v>27</v>
      </c>
      <c r="G1815" s="2" t="str">
        <f t="shared" si="178"/>
        <v>PAMAJO D.O.O., VRANIČKA 7/A, 10000 ZAGREB, OIB: 46401136513</v>
      </c>
      <c r="H1815" s="4"/>
      <c r="I1815" s="1" t="s">
        <v>351</v>
      </c>
      <c r="J1815" s="1" t="s">
        <v>492</v>
      </c>
      <c r="K1815" s="6" t="str">
        <f>"2.205,00"</f>
        <v>2.205,00</v>
      </c>
      <c r="L1815" s="6" t="str">
        <f>"551,25"</f>
        <v>551,25</v>
      </c>
      <c r="M1815" s="6" t="str">
        <f>"2.756,25"</f>
        <v>2.756,25</v>
      </c>
      <c r="N1815" s="5">
        <v>43570</v>
      </c>
      <c r="O1815" s="7"/>
      <c r="P1815" s="6" t="str">
        <f>"2.756,25"</f>
        <v>2.756,25</v>
      </c>
      <c r="Q1815" s="7"/>
      <c r="R1815" s="1"/>
      <c r="S1815" s="1" t="str">
        <f>"19-19/NOS-22-A/18"</f>
        <v>19-19/NOS-22-A/18</v>
      </c>
      <c r="T1815" s="2" t="s">
        <v>33</v>
      </c>
    </row>
    <row r="1816" spans="1:20" ht="25.5" x14ac:dyDescent="0.25">
      <c r="A1816" s="1">
        <v>1812</v>
      </c>
      <c r="B1816" s="1" t="str">
        <f t="shared" si="177"/>
        <v>2018-2855</v>
      </c>
      <c r="C1816" s="2" t="s">
        <v>1080</v>
      </c>
      <c r="D1816" s="1" t="s">
        <v>582</v>
      </c>
      <c r="E1816" s="3" t="str">
        <f>""</f>
        <v/>
      </c>
      <c r="F1816" s="2" t="s">
        <v>27</v>
      </c>
      <c r="G1816" s="2" t="str">
        <f t="shared" si="178"/>
        <v>PAMAJO D.O.O., VRANIČKA 7/A, 10000 ZAGREB, OIB: 46401136513</v>
      </c>
      <c r="H1816" s="4"/>
      <c r="I1816" s="1" t="s">
        <v>210</v>
      </c>
      <c r="J1816" s="1" t="s">
        <v>492</v>
      </c>
      <c r="K1816" s="6" t="str">
        <f>"3.390,94"</f>
        <v>3.390,94</v>
      </c>
      <c r="L1816" s="6" t="str">
        <f>"847,74"</f>
        <v>847,74</v>
      </c>
      <c r="M1816" s="6" t="str">
        <f>"4.238,68"</f>
        <v>4.238,68</v>
      </c>
      <c r="N1816" s="5">
        <v>43523</v>
      </c>
      <c r="O1816" s="7"/>
      <c r="P1816" s="6" t="str">
        <f>"4.238,68"</f>
        <v>4.238,68</v>
      </c>
      <c r="Q1816" s="7"/>
      <c r="R1816" s="1"/>
      <c r="S1816" s="1" t="str">
        <f>"21-19/NOS-22-A/18"</f>
        <v>21-19/NOS-22-A/18</v>
      </c>
      <c r="T1816" s="2" t="s">
        <v>33</v>
      </c>
    </row>
    <row r="1817" spans="1:20" ht="25.5" x14ac:dyDescent="0.25">
      <c r="A1817" s="1">
        <v>1813</v>
      </c>
      <c r="B1817" s="1" t="str">
        <f t="shared" si="177"/>
        <v>2018-2855</v>
      </c>
      <c r="C1817" s="2" t="s">
        <v>1080</v>
      </c>
      <c r="D1817" s="1" t="s">
        <v>582</v>
      </c>
      <c r="E1817" s="3" t="str">
        <f>""</f>
        <v/>
      </c>
      <c r="F1817" s="2" t="s">
        <v>27</v>
      </c>
      <c r="G1817" s="2" t="str">
        <f t="shared" si="178"/>
        <v>PAMAJO D.O.O., VRANIČKA 7/A, 10000 ZAGREB, OIB: 46401136513</v>
      </c>
      <c r="H1817" s="4"/>
      <c r="I1817" s="1" t="s">
        <v>373</v>
      </c>
      <c r="J1817" s="1" t="s">
        <v>492</v>
      </c>
      <c r="K1817" s="6" t="str">
        <f>"1.280,00"</f>
        <v>1.280,00</v>
      </c>
      <c r="L1817" s="6" t="str">
        <f>"320,00"</f>
        <v>320,00</v>
      </c>
      <c r="M1817" s="6" t="str">
        <f>"1.600,00"</f>
        <v>1.600,00</v>
      </c>
      <c r="N1817" s="5">
        <v>43633</v>
      </c>
      <c r="O1817" s="7"/>
      <c r="P1817" s="6" t="str">
        <f>"1.600,00"</f>
        <v>1.600,00</v>
      </c>
      <c r="Q1817" s="7"/>
      <c r="R1817" s="1"/>
      <c r="S1817" s="1" t="str">
        <f>"22-19/NOS-22-A/18"</f>
        <v>22-19/NOS-22-A/18</v>
      </c>
      <c r="T1817" s="2" t="s">
        <v>33</v>
      </c>
    </row>
    <row r="1818" spans="1:20" ht="25.5" x14ac:dyDescent="0.25">
      <c r="A1818" s="1">
        <v>1814</v>
      </c>
      <c r="B1818" s="1" t="str">
        <f t="shared" si="177"/>
        <v>2018-2855</v>
      </c>
      <c r="C1818" s="2" t="s">
        <v>1080</v>
      </c>
      <c r="D1818" s="1" t="s">
        <v>582</v>
      </c>
      <c r="E1818" s="3" t="str">
        <f>""</f>
        <v/>
      </c>
      <c r="F1818" s="2" t="s">
        <v>27</v>
      </c>
      <c r="G1818" s="2" t="str">
        <f t="shared" si="178"/>
        <v>PAMAJO D.O.O., VRANIČKA 7/A, 10000 ZAGREB, OIB: 46401136513</v>
      </c>
      <c r="H1818" s="4"/>
      <c r="I1818" s="1" t="s">
        <v>470</v>
      </c>
      <c r="J1818" s="1" t="s">
        <v>251</v>
      </c>
      <c r="K1818" s="6" t="str">
        <f>"3.219,44"</f>
        <v>3.219,44</v>
      </c>
      <c r="L1818" s="6" t="str">
        <f>"804,86"</f>
        <v>804,86</v>
      </c>
      <c r="M1818" s="6" t="str">
        <f>"4.024,30"</f>
        <v>4.024,30</v>
      </c>
      <c r="N1818" s="5">
        <v>43543</v>
      </c>
      <c r="O1818" s="7"/>
      <c r="P1818" s="6" t="str">
        <f>"4.024,30"</f>
        <v>4.024,30</v>
      </c>
      <c r="Q1818" s="7"/>
      <c r="R1818" s="1"/>
      <c r="S1818" s="1" t="str">
        <f>"23-19/NOS-22-A/18"</f>
        <v>23-19/NOS-22-A/18</v>
      </c>
      <c r="T1818" s="2" t="s">
        <v>33</v>
      </c>
    </row>
    <row r="1819" spans="1:20" ht="25.5" x14ac:dyDescent="0.25">
      <c r="A1819" s="1">
        <v>1815</v>
      </c>
      <c r="B1819" s="1" t="str">
        <f t="shared" si="177"/>
        <v>2018-2855</v>
      </c>
      <c r="C1819" s="2" t="s">
        <v>1080</v>
      </c>
      <c r="D1819" s="1" t="s">
        <v>582</v>
      </c>
      <c r="E1819" s="3" t="str">
        <f>""</f>
        <v/>
      </c>
      <c r="F1819" s="2" t="s">
        <v>27</v>
      </c>
      <c r="G1819" s="2" t="str">
        <f t="shared" si="178"/>
        <v>PAMAJO D.O.O., VRANIČKA 7/A, 10000 ZAGREB, OIB: 46401136513</v>
      </c>
      <c r="H1819" s="4"/>
      <c r="I1819" s="1" t="s">
        <v>670</v>
      </c>
      <c r="J1819" s="1" t="s">
        <v>492</v>
      </c>
      <c r="K1819" s="6" t="str">
        <f>"4.087,50"</f>
        <v>4.087,50</v>
      </c>
      <c r="L1819" s="6" t="str">
        <f>"1.021,88"</f>
        <v>1.021,88</v>
      </c>
      <c r="M1819" s="6" t="str">
        <f>"5.109,38"</f>
        <v>5.109,38</v>
      </c>
      <c r="N1819" s="5">
        <v>43532</v>
      </c>
      <c r="O1819" s="7"/>
      <c r="P1819" s="6" t="str">
        <f>"5.109,38"</f>
        <v>5.109,38</v>
      </c>
      <c r="Q1819" s="7"/>
      <c r="R1819" s="1"/>
      <c r="S1819" s="1" t="str">
        <f>"24-19/NOS-22-A/18"</f>
        <v>24-19/NOS-22-A/18</v>
      </c>
      <c r="T1819" s="2" t="s">
        <v>33</v>
      </c>
    </row>
    <row r="1820" spans="1:20" ht="25.5" x14ac:dyDescent="0.25">
      <c r="A1820" s="1">
        <v>1816</v>
      </c>
      <c r="B1820" s="1" t="str">
        <f t="shared" si="177"/>
        <v>2018-2855</v>
      </c>
      <c r="C1820" s="2" t="s">
        <v>1080</v>
      </c>
      <c r="D1820" s="1" t="s">
        <v>582</v>
      </c>
      <c r="E1820" s="3" t="str">
        <f>""</f>
        <v/>
      </c>
      <c r="F1820" s="2" t="s">
        <v>27</v>
      </c>
      <c r="G1820" s="2" t="str">
        <f t="shared" si="178"/>
        <v>PAMAJO D.O.O., VRANIČKA 7/A, 10000 ZAGREB, OIB: 46401136513</v>
      </c>
      <c r="H1820" s="4"/>
      <c r="I1820" s="1" t="s">
        <v>670</v>
      </c>
      <c r="J1820" s="1" t="s">
        <v>492</v>
      </c>
      <c r="K1820" s="6" t="str">
        <f>"4.186,20"</f>
        <v>4.186,20</v>
      </c>
      <c r="L1820" s="6" t="str">
        <f>"1.046,55"</f>
        <v>1.046,55</v>
      </c>
      <c r="M1820" s="6" t="str">
        <f>"5.232,75"</f>
        <v>5.232,75</v>
      </c>
      <c r="N1820" s="5">
        <v>43532</v>
      </c>
      <c r="O1820" s="7"/>
      <c r="P1820" s="6" t="str">
        <f>"5.232,75"</f>
        <v>5.232,75</v>
      </c>
      <c r="Q1820" s="7"/>
      <c r="R1820" s="1"/>
      <c r="S1820" s="1" t="str">
        <f>"25-19/NOS-22-A/18"</f>
        <v>25-19/NOS-22-A/18</v>
      </c>
      <c r="T1820" s="2" t="s">
        <v>33</v>
      </c>
    </row>
    <row r="1821" spans="1:20" ht="25.5" x14ac:dyDescent="0.25">
      <c r="A1821" s="1">
        <v>1817</v>
      </c>
      <c r="B1821" s="1" t="str">
        <f t="shared" si="177"/>
        <v>2018-2855</v>
      </c>
      <c r="C1821" s="2" t="s">
        <v>1080</v>
      </c>
      <c r="D1821" s="1" t="s">
        <v>582</v>
      </c>
      <c r="E1821" s="3" t="str">
        <f>""</f>
        <v/>
      </c>
      <c r="F1821" s="2" t="s">
        <v>27</v>
      </c>
      <c r="G1821" s="2" t="str">
        <f t="shared" si="178"/>
        <v>PAMAJO D.O.O., VRANIČKA 7/A, 10000 ZAGREB, OIB: 46401136513</v>
      </c>
      <c r="H1821" s="4"/>
      <c r="I1821" s="1" t="s">
        <v>240</v>
      </c>
      <c r="J1821" s="1" t="s">
        <v>492</v>
      </c>
      <c r="K1821" s="6" t="str">
        <f>"620,00"</f>
        <v>620,00</v>
      </c>
      <c r="L1821" s="6" t="str">
        <f>"155,00"</f>
        <v>155,00</v>
      </c>
      <c r="M1821" s="6" t="str">
        <f>"775,00"</f>
        <v>775,00</v>
      </c>
      <c r="N1821" s="5">
        <v>43570</v>
      </c>
      <c r="O1821" s="7"/>
      <c r="P1821" s="6" t="str">
        <f>"775,00"</f>
        <v>775,00</v>
      </c>
      <c r="Q1821" s="7"/>
      <c r="R1821" s="1"/>
      <c r="S1821" s="1" t="str">
        <f>"26-19/NOS-22-A/18"</f>
        <v>26-19/NOS-22-A/18</v>
      </c>
      <c r="T1821" s="2" t="s">
        <v>33</v>
      </c>
    </row>
    <row r="1822" spans="1:20" ht="25.5" x14ac:dyDescent="0.25">
      <c r="A1822" s="1">
        <v>1818</v>
      </c>
      <c r="B1822" s="1" t="str">
        <f t="shared" si="177"/>
        <v>2018-2855</v>
      </c>
      <c r="C1822" s="2" t="s">
        <v>1080</v>
      </c>
      <c r="D1822" s="1" t="s">
        <v>582</v>
      </c>
      <c r="E1822" s="3" t="str">
        <f>""</f>
        <v/>
      </c>
      <c r="F1822" s="2" t="s">
        <v>27</v>
      </c>
      <c r="G1822" s="2" t="str">
        <f t="shared" si="178"/>
        <v>PAMAJO D.O.O., VRANIČKA 7/A, 10000 ZAGREB, OIB: 46401136513</v>
      </c>
      <c r="H1822" s="4"/>
      <c r="I1822" s="1" t="s">
        <v>240</v>
      </c>
      <c r="J1822" s="1" t="s">
        <v>492</v>
      </c>
      <c r="K1822" s="6" t="str">
        <f>"780,00"</f>
        <v>780,00</v>
      </c>
      <c r="L1822" s="6" t="str">
        <f>"195,00"</f>
        <v>195,00</v>
      </c>
      <c r="M1822" s="6" t="str">
        <f>"975,00"</f>
        <v>975,00</v>
      </c>
      <c r="N1822" s="5">
        <v>43570</v>
      </c>
      <c r="O1822" s="7"/>
      <c r="P1822" s="6" t="str">
        <f>"975,00"</f>
        <v>975,00</v>
      </c>
      <c r="Q1822" s="7"/>
      <c r="R1822" s="1"/>
      <c r="S1822" s="1" t="str">
        <f>"27-19/NOS-22-A/18"</f>
        <v>27-19/NOS-22-A/18</v>
      </c>
      <c r="T1822" s="2" t="s">
        <v>33</v>
      </c>
    </row>
    <row r="1823" spans="1:20" ht="25.5" x14ac:dyDescent="0.25">
      <c r="A1823" s="1">
        <v>1819</v>
      </c>
      <c r="B1823" s="1" t="str">
        <f t="shared" si="177"/>
        <v>2018-2855</v>
      </c>
      <c r="C1823" s="2" t="s">
        <v>1080</v>
      </c>
      <c r="D1823" s="1" t="s">
        <v>582</v>
      </c>
      <c r="E1823" s="3" t="str">
        <f>""</f>
        <v/>
      </c>
      <c r="F1823" s="2" t="s">
        <v>27</v>
      </c>
      <c r="G1823" s="2" t="str">
        <f t="shared" si="178"/>
        <v>PAMAJO D.O.O., VRANIČKA 7/A, 10000 ZAGREB, OIB: 46401136513</v>
      </c>
      <c r="H1823" s="4"/>
      <c r="I1823" s="1" t="s">
        <v>339</v>
      </c>
      <c r="J1823" s="1" t="s">
        <v>492</v>
      </c>
      <c r="K1823" s="6" t="str">
        <f>"1.000,00"</f>
        <v>1.000,00</v>
      </c>
      <c r="L1823" s="6" t="str">
        <f>"250,00"</f>
        <v>250,00</v>
      </c>
      <c r="M1823" s="6" t="str">
        <f>"1.250,00"</f>
        <v>1.250,00</v>
      </c>
      <c r="N1823" s="5">
        <v>43544</v>
      </c>
      <c r="O1823" s="7"/>
      <c r="P1823" s="6" t="str">
        <f>"1.250,00"</f>
        <v>1.250,00</v>
      </c>
      <c r="Q1823" s="7"/>
      <c r="R1823" s="1"/>
      <c r="S1823" s="1" t="str">
        <f>"28-19/NOS-22-A/18"</f>
        <v>28-19/NOS-22-A/18</v>
      </c>
      <c r="T1823" s="2" t="s">
        <v>33</v>
      </c>
    </row>
    <row r="1824" spans="1:20" ht="25.5" x14ac:dyDescent="0.25">
      <c r="A1824" s="1">
        <v>1820</v>
      </c>
      <c r="B1824" s="1" t="str">
        <f t="shared" si="177"/>
        <v>2018-2855</v>
      </c>
      <c r="C1824" s="2" t="s">
        <v>1080</v>
      </c>
      <c r="D1824" s="1" t="s">
        <v>582</v>
      </c>
      <c r="E1824" s="3" t="str">
        <f>""</f>
        <v/>
      </c>
      <c r="F1824" s="2" t="s">
        <v>27</v>
      </c>
      <c r="G1824" s="2" t="str">
        <f t="shared" si="178"/>
        <v>PAMAJO D.O.O., VRANIČKA 7/A, 10000 ZAGREB, OIB: 46401136513</v>
      </c>
      <c r="H1824" s="4"/>
      <c r="I1824" s="1" t="s">
        <v>44</v>
      </c>
      <c r="J1824" s="1" t="s">
        <v>492</v>
      </c>
      <c r="K1824" s="6" t="str">
        <f>"3.400,00"</f>
        <v>3.400,00</v>
      </c>
      <c r="L1824" s="6" t="str">
        <f>"850,00"</f>
        <v>850,00</v>
      </c>
      <c r="M1824" s="6" t="str">
        <f>"4.250,00"</f>
        <v>4.250,00</v>
      </c>
      <c r="N1824" s="5">
        <v>43570</v>
      </c>
      <c r="O1824" s="7"/>
      <c r="P1824" s="6" t="str">
        <f>"4.250,00"</f>
        <v>4.250,00</v>
      </c>
      <c r="Q1824" s="7"/>
      <c r="R1824" s="1"/>
      <c r="S1824" s="1" t="str">
        <f>"29-19/NOS-22-A/18"</f>
        <v>29-19/NOS-22-A/18</v>
      </c>
      <c r="T1824" s="2" t="s">
        <v>33</v>
      </c>
    </row>
    <row r="1825" spans="1:20" ht="25.5" x14ac:dyDescent="0.25">
      <c r="A1825" s="1">
        <v>1821</v>
      </c>
      <c r="B1825" s="1" t="str">
        <f t="shared" si="177"/>
        <v>2018-2855</v>
      </c>
      <c r="C1825" s="2" t="s">
        <v>1080</v>
      </c>
      <c r="D1825" s="1" t="s">
        <v>582</v>
      </c>
      <c r="E1825" s="3" t="str">
        <f>""</f>
        <v/>
      </c>
      <c r="F1825" s="2" t="s">
        <v>27</v>
      </c>
      <c r="G1825" s="2" t="str">
        <f t="shared" si="178"/>
        <v>PAMAJO D.O.O., VRANIČKA 7/A, 10000 ZAGREB, OIB: 46401136513</v>
      </c>
      <c r="H1825" s="4"/>
      <c r="I1825" s="1" t="s">
        <v>297</v>
      </c>
      <c r="J1825" s="1" t="s">
        <v>492</v>
      </c>
      <c r="K1825" s="6" t="str">
        <f>"1.800,00"</f>
        <v>1.800,00</v>
      </c>
      <c r="L1825" s="6" t="str">
        <f>"450,00"</f>
        <v>450,00</v>
      </c>
      <c r="M1825" s="6" t="str">
        <f>"2.250,00"</f>
        <v>2.250,00</v>
      </c>
      <c r="N1825" s="5">
        <v>43595</v>
      </c>
      <c r="O1825" s="7"/>
      <c r="P1825" s="6" t="str">
        <f>"2.250,00"</f>
        <v>2.250,00</v>
      </c>
      <c r="Q1825" s="7"/>
      <c r="R1825" s="1"/>
      <c r="S1825" s="1" t="str">
        <f>"30-19/NOS-22-A/18"</f>
        <v>30-19/NOS-22-A/18</v>
      </c>
      <c r="T1825" s="2" t="s">
        <v>33</v>
      </c>
    </row>
    <row r="1826" spans="1:20" ht="25.5" x14ac:dyDescent="0.25">
      <c r="A1826" s="1">
        <v>1822</v>
      </c>
      <c r="B1826" s="1" t="str">
        <f t="shared" si="177"/>
        <v>2018-2855</v>
      </c>
      <c r="C1826" s="2" t="s">
        <v>1080</v>
      </c>
      <c r="D1826" s="1" t="s">
        <v>582</v>
      </c>
      <c r="E1826" s="3" t="str">
        <f>""</f>
        <v/>
      </c>
      <c r="F1826" s="2" t="s">
        <v>27</v>
      </c>
      <c r="G1826" s="2" t="str">
        <f t="shared" si="178"/>
        <v>PAMAJO D.O.O., VRANIČKA 7/A, 10000 ZAGREB, OIB: 46401136513</v>
      </c>
      <c r="H1826" s="4"/>
      <c r="I1826" s="1" t="s">
        <v>301</v>
      </c>
      <c r="J1826" s="1" t="s">
        <v>251</v>
      </c>
      <c r="K1826" s="6" t="str">
        <f>"1.125,00"</f>
        <v>1.125,00</v>
      </c>
      <c r="L1826" s="6" t="str">
        <f>"281,25"</f>
        <v>281,25</v>
      </c>
      <c r="M1826" s="6" t="str">
        <f>"1.406,25"</f>
        <v>1.406,25</v>
      </c>
      <c r="N1826" s="5">
        <v>43557</v>
      </c>
      <c r="O1826" s="7"/>
      <c r="P1826" s="6" t="str">
        <f>"1.406,25"</f>
        <v>1.406,25</v>
      </c>
      <c r="Q1826" s="7"/>
      <c r="R1826" s="1"/>
      <c r="S1826" s="1" t="str">
        <f>"31-19/NOS-22-A/18"</f>
        <v>31-19/NOS-22-A/18</v>
      </c>
      <c r="T1826" s="2" t="s">
        <v>33</v>
      </c>
    </row>
    <row r="1827" spans="1:20" ht="25.5" x14ac:dyDescent="0.25">
      <c r="A1827" s="1">
        <v>1823</v>
      </c>
      <c r="B1827" s="1" t="str">
        <f t="shared" si="177"/>
        <v>2018-2855</v>
      </c>
      <c r="C1827" s="2" t="s">
        <v>1080</v>
      </c>
      <c r="D1827" s="1" t="s">
        <v>582</v>
      </c>
      <c r="E1827" s="3" t="str">
        <f>""</f>
        <v/>
      </c>
      <c r="F1827" s="2" t="s">
        <v>27</v>
      </c>
      <c r="G1827" s="2" t="str">
        <f t="shared" si="178"/>
        <v>PAMAJO D.O.O., VRANIČKA 7/A, 10000 ZAGREB, OIB: 46401136513</v>
      </c>
      <c r="H1827" s="4"/>
      <c r="I1827" s="1" t="s">
        <v>394</v>
      </c>
      <c r="J1827" s="1" t="s">
        <v>121</v>
      </c>
      <c r="K1827" s="6" t="str">
        <f>"15.408,66"</f>
        <v>15.408,66</v>
      </c>
      <c r="L1827" s="6" t="str">
        <f>"3.852,17"</f>
        <v>3.852,17</v>
      </c>
      <c r="M1827" s="6" t="str">
        <f>"19.260,83"</f>
        <v>19.260,83</v>
      </c>
      <c r="N1827" s="5">
        <v>43554</v>
      </c>
      <c r="O1827" s="7"/>
      <c r="P1827" s="6" t="str">
        <f>"19.260,82"</f>
        <v>19.260,82</v>
      </c>
      <c r="Q1827" s="7"/>
      <c r="R1827" s="1"/>
      <c r="S1827" s="1" t="str">
        <f>"32-19/NOS-22-A/18"</f>
        <v>32-19/NOS-22-A/18</v>
      </c>
      <c r="T1827" s="2" t="s">
        <v>33</v>
      </c>
    </row>
    <row r="1828" spans="1:20" ht="25.5" x14ac:dyDescent="0.25">
      <c r="A1828" s="1">
        <v>1824</v>
      </c>
      <c r="B1828" s="1" t="str">
        <f t="shared" ref="B1828:B1859" si="179">"2018-2855"</f>
        <v>2018-2855</v>
      </c>
      <c r="C1828" s="2" t="s">
        <v>1080</v>
      </c>
      <c r="D1828" s="1" t="s">
        <v>582</v>
      </c>
      <c r="E1828" s="3" t="str">
        <f>""</f>
        <v/>
      </c>
      <c r="F1828" s="2" t="s">
        <v>27</v>
      </c>
      <c r="G1828" s="2" t="str">
        <f t="shared" si="178"/>
        <v>PAMAJO D.O.O., VRANIČKA 7/A, 10000 ZAGREB, OIB: 46401136513</v>
      </c>
      <c r="H1828" s="4"/>
      <c r="I1828" s="1" t="s">
        <v>394</v>
      </c>
      <c r="J1828" s="1" t="s">
        <v>121</v>
      </c>
      <c r="K1828" s="6" t="str">
        <f>"13.612,98"</f>
        <v>13.612,98</v>
      </c>
      <c r="L1828" s="6" t="str">
        <f>"3.403,25"</f>
        <v>3.403,25</v>
      </c>
      <c r="M1828" s="6" t="str">
        <f>"17.016,23"</f>
        <v>17.016,23</v>
      </c>
      <c r="N1828" s="5">
        <v>43554</v>
      </c>
      <c r="O1828" s="7"/>
      <c r="P1828" s="6" t="str">
        <f>"17.016,22"</f>
        <v>17.016,22</v>
      </c>
      <c r="Q1828" s="7"/>
      <c r="R1828" s="1"/>
      <c r="S1828" s="1" t="str">
        <f>"33-19/NOS-22-A/18"</f>
        <v>33-19/NOS-22-A/18</v>
      </c>
      <c r="T1828" s="2" t="s">
        <v>33</v>
      </c>
    </row>
    <row r="1829" spans="1:20" ht="25.5" x14ac:dyDescent="0.25">
      <c r="A1829" s="1">
        <v>1825</v>
      </c>
      <c r="B1829" s="1" t="str">
        <f t="shared" si="179"/>
        <v>2018-2855</v>
      </c>
      <c r="C1829" s="2" t="s">
        <v>1080</v>
      </c>
      <c r="D1829" s="1" t="s">
        <v>582</v>
      </c>
      <c r="E1829" s="3" t="str">
        <f>""</f>
        <v/>
      </c>
      <c r="F1829" s="2" t="s">
        <v>27</v>
      </c>
      <c r="G1829" s="2" t="str">
        <f t="shared" ref="G1829:G1864" si="180">CONCATENATE("PAMAJO D.O.O.,"," VRANIČKA 7/A,"," 10000 ZAGREB,"," OIB: 46401136513")</f>
        <v>PAMAJO D.O.O., VRANIČKA 7/A, 10000 ZAGREB, OIB: 46401136513</v>
      </c>
      <c r="H1829" s="4"/>
      <c r="I1829" s="1" t="s">
        <v>394</v>
      </c>
      <c r="J1829" s="1" t="s">
        <v>121</v>
      </c>
      <c r="K1829" s="6" t="str">
        <f>"10.052,68"</f>
        <v>10.052,68</v>
      </c>
      <c r="L1829" s="6" t="str">
        <f>"2.513,17"</f>
        <v>2.513,17</v>
      </c>
      <c r="M1829" s="6" t="str">
        <f>"12.565,85"</f>
        <v>12.565,85</v>
      </c>
      <c r="N1829" s="5">
        <v>43557</v>
      </c>
      <c r="O1829" s="7"/>
      <c r="P1829" s="6" t="str">
        <f>"12.565,85"</f>
        <v>12.565,85</v>
      </c>
      <c r="Q1829" s="7"/>
      <c r="R1829" s="1"/>
      <c r="S1829" s="1" t="str">
        <f>"34-19/NOS-22-A/18"</f>
        <v>34-19/NOS-22-A/18</v>
      </c>
      <c r="T1829" s="2" t="s">
        <v>33</v>
      </c>
    </row>
    <row r="1830" spans="1:20" ht="25.5" x14ac:dyDescent="0.25">
      <c r="A1830" s="1">
        <v>1826</v>
      </c>
      <c r="B1830" s="1" t="str">
        <f t="shared" si="179"/>
        <v>2018-2855</v>
      </c>
      <c r="C1830" s="2" t="s">
        <v>1080</v>
      </c>
      <c r="D1830" s="1" t="s">
        <v>582</v>
      </c>
      <c r="E1830" s="3" t="str">
        <f>""</f>
        <v/>
      </c>
      <c r="F1830" s="2" t="s">
        <v>27</v>
      </c>
      <c r="G1830" s="2" t="str">
        <f t="shared" si="180"/>
        <v>PAMAJO D.O.O., VRANIČKA 7/A, 10000 ZAGREB, OIB: 46401136513</v>
      </c>
      <c r="H1830" s="4"/>
      <c r="I1830" s="1" t="s">
        <v>322</v>
      </c>
      <c r="J1830" s="1" t="s">
        <v>492</v>
      </c>
      <c r="K1830" s="6" t="str">
        <f>"1.949,69"</f>
        <v>1.949,69</v>
      </c>
      <c r="L1830" s="6" t="str">
        <f>"487,42"</f>
        <v>487,42</v>
      </c>
      <c r="M1830" s="6" t="str">
        <f>"2.437,11"</f>
        <v>2.437,11</v>
      </c>
      <c r="N1830" s="5">
        <v>43595</v>
      </c>
      <c r="O1830" s="7"/>
      <c r="P1830" s="6" t="str">
        <f>"2.437,11"</f>
        <v>2.437,11</v>
      </c>
      <c r="Q1830" s="7"/>
      <c r="R1830" s="1"/>
      <c r="S1830" s="1" t="str">
        <f>"35-19/NOS-22-A/18"</f>
        <v>35-19/NOS-22-A/18</v>
      </c>
      <c r="T1830" s="2" t="s">
        <v>33</v>
      </c>
    </row>
    <row r="1831" spans="1:20" ht="25.5" x14ac:dyDescent="0.25">
      <c r="A1831" s="1">
        <v>1827</v>
      </c>
      <c r="B1831" s="1" t="str">
        <f t="shared" si="179"/>
        <v>2018-2855</v>
      </c>
      <c r="C1831" s="2" t="s">
        <v>1080</v>
      </c>
      <c r="D1831" s="1" t="s">
        <v>582</v>
      </c>
      <c r="E1831" s="3" t="str">
        <f>""</f>
        <v/>
      </c>
      <c r="F1831" s="2" t="s">
        <v>27</v>
      </c>
      <c r="G1831" s="2" t="str">
        <f t="shared" si="180"/>
        <v>PAMAJO D.O.O., VRANIČKA 7/A, 10000 ZAGREB, OIB: 46401136513</v>
      </c>
      <c r="H1831" s="4"/>
      <c r="I1831" s="1" t="s">
        <v>318</v>
      </c>
      <c r="J1831" s="1" t="s">
        <v>492</v>
      </c>
      <c r="K1831" s="6" t="str">
        <f>"1.020,00"</f>
        <v>1.020,00</v>
      </c>
      <c r="L1831" s="6" t="str">
        <f>"255,00"</f>
        <v>255,00</v>
      </c>
      <c r="M1831" s="6" t="str">
        <f>"1.275,00"</f>
        <v>1.275,00</v>
      </c>
      <c r="N1831" s="5">
        <v>43572</v>
      </c>
      <c r="O1831" s="7"/>
      <c r="P1831" s="6" t="str">
        <f>"1.275,00"</f>
        <v>1.275,00</v>
      </c>
      <c r="Q1831" s="7"/>
      <c r="R1831" s="1"/>
      <c r="S1831" s="1" t="str">
        <f>"36-19/NOS-22-A/18"</f>
        <v>36-19/NOS-22-A/18</v>
      </c>
      <c r="T1831" s="2" t="s">
        <v>33</v>
      </c>
    </row>
    <row r="1832" spans="1:20" ht="25.5" x14ac:dyDescent="0.25">
      <c r="A1832" s="1">
        <v>1828</v>
      </c>
      <c r="B1832" s="1" t="str">
        <f t="shared" si="179"/>
        <v>2018-2855</v>
      </c>
      <c r="C1832" s="2" t="s">
        <v>1080</v>
      </c>
      <c r="D1832" s="1" t="s">
        <v>582</v>
      </c>
      <c r="E1832" s="3" t="str">
        <f>""</f>
        <v/>
      </c>
      <c r="F1832" s="2" t="s">
        <v>27</v>
      </c>
      <c r="G1832" s="2" t="str">
        <f t="shared" si="180"/>
        <v>PAMAJO D.O.O., VRANIČKA 7/A, 10000 ZAGREB, OIB: 46401136513</v>
      </c>
      <c r="H1832" s="4"/>
      <c r="I1832" s="1" t="s">
        <v>318</v>
      </c>
      <c r="J1832" s="1" t="s">
        <v>492</v>
      </c>
      <c r="K1832" s="6" t="str">
        <f>"1.440,00"</f>
        <v>1.440,00</v>
      </c>
      <c r="L1832" s="6" t="str">
        <f>"360,00"</f>
        <v>360,00</v>
      </c>
      <c r="M1832" s="6" t="str">
        <f>"1.800,00"</f>
        <v>1.800,00</v>
      </c>
      <c r="N1832" s="5">
        <v>43633</v>
      </c>
      <c r="O1832" s="7"/>
      <c r="P1832" s="6" t="str">
        <f>"1.800,00"</f>
        <v>1.800,00</v>
      </c>
      <c r="Q1832" s="7"/>
      <c r="R1832" s="1"/>
      <c r="S1832" s="1" t="str">
        <f>"37-19/NOS-22-A/18"</f>
        <v>37-19/NOS-22-A/18</v>
      </c>
      <c r="T1832" s="2" t="s">
        <v>33</v>
      </c>
    </row>
    <row r="1833" spans="1:20" ht="25.5" x14ac:dyDescent="0.25">
      <c r="A1833" s="1">
        <v>1829</v>
      </c>
      <c r="B1833" s="1" t="str">
        <f t="shared" si="179"/>
        <v>2018-2855</v>
      </c>
      <c r="C1833" s="2" t="s">
        <v>1080</v>
      </c>
      <c r="D1833" s="1" t="s">
        <v>582</v>
      </c>
      <c r="E1833" s="3" t="str">
        <f>""</f>
        <v/>
      </c>
      <c r="F1833" s="2" t="s">
        <v>27</v>
      </c>
      <c r="G1833" s="2" t="str">
        <f t="shared" si="180"/>
        <v>PAMAJO D.O.O., VRANIČKA 7/A, 10000 ZAGREB, OIB: 46401136513</v>
      </c>
      <c r="H1833" s="4"/>
      <c r="I1833" s="1" t="s">
        <v>318</v>
      </c>
      <c r="J1833" s="1" t="s">
        <v>31</v>
      </c>
      <c r="K1833" s="6" t="str">
        <f>"2.940,58"</f>
        <v>2.940,58</v>
      </c>
      <c r="L1833" s="6" t="str">
        <f>"735,15"</f>
        <v>735,15</v>
      </c>
      <c r="M1833" s="6" t="str">
        <f>"3.675,73"</f>
        <v>3.675,73</v>
      </c>
      <c r="N1833" s="5">
        <v>43572</v>
      </c>
      <c r="O1833" s="7"/>
      <c r="P1833" s="6" t="str">
        <f>"3.675,72"</f>
        <v>3.675,72</v>
      </c>
      <c r="Q1833" s="7"/>
      <c r="R1833" s="1"/>
      <c r="S1833" s="1" t="str">
        <f>"38-19/NOS-22-A/18"</f>
        <v>38-19/NOS-22-A/18</v>
      </c>
      <c r="T1833" s="2" t="s">
        <v>33</v>
      </c>
    </row>
    <row r="1834" spans="1:20" ht="25.5" x14ac:dyDescent="0.25">
      <c r="A1834" s="1">
        <v>1830</v>
      </c>
      <c r="B1834" s="1" t="str">
        <f t="shared" si="179"/>
        <v>2018-2855</v>
      </c>
      <c r="C1834" s="2" t="s">
        <v>1080</v>
      </c>
      <c r="D1834" s="1" t="s">
        <v>582</v>
      </c>
      <c r="E1834" s="3" t="str">
        <f>""</f>
        <v/>
      </c>
      <c r="F1834" s="2" t="s">
        <v>27</v>
      </c>
      <c r="G1834" s="2" t="str">
        <f t="shared" si="180"/>
        <v>PAMAJO D.O.O., VRANIČKA 7/A, 10000 ZAGREB, OIB: 46401136513</v>
      </c>
      <c r="H1834" s="4"/>
      <c r="I1834" s="1" t="s">
        <v>446</v>
      </c>
      <c r="J1834" s="1" t="s">
        <v>47</v>
      </c>
      <c r="K1834" s="6" t="str">
        <f>"600,00"</f>
        <v>600,00</v>
      </c>
      <c r="L1834" s="6" t="str">
        <f>"150,00"</f>
        <v>150,00</v>
      </c>
      <c r="M1834" s="6" t="str">
        <f>"750,00"</f>
        <v>750,00</v>
      </c>
      <c r="N1834" s="5">
        <v>43605</v>
      </c>
      <c r="O1834" s="7"/>
      <c r="P1834" s="6" t="str">
        <f>"750,00"</f>
        <v>750,00</v>
      </c>
      <c r="Q1834" s="7"/>
      <c r="R1834" s="1"/>
      <c r="S1834" s="1" t="str">
        <f>"39-19/NOS-22-A/18"</f>
        <v>39-19/NOS-22-A/18</v>
      </c>
      <c r="T1834" s="2" t="s">
        <v>33</v>
      </c>
    </row>
    <row r="1835" spans="1:20" ht="25.5" x14ac:dyDescent="0.25">
      <c r="A1835" s="1">
        <v>1831</v>
      </c>
      <c r="B1835" s="1" t="str">
        <f t="shared" si="179"/>
        <v>2018-2855</v>
      </c>
      <c r="C1835" s="2" t="s">
        <v>1080</v>
      </c>
      <c r="D1835" s="1" t="s">
        <v>582</v>
      </c>
      <c r="E1835" s="3" t="str">
        <f>""</f>
        <v/>
      </c>
      <c r="F1835" s="2" t="s">
        <v>27</v>
      </c>
      <c r="G1835" s="2" t="str">
        <f t="shared" si="180"/>
        <v>PAMAJO D.O.O., VRANIČKA 7/A, 10000 ZAGREB, OIB: 46401136513</v>
      </c>
      <c r="H1835" s="4"/>
      <c r="I1835" s="1" t="s">
        <v>332</v>
      </c>
      <c r="J1835" s="1" t="s">
        <v>492</v>
      </c>
      <c r="K1835" s="6" t="str">
        <f>"1.203,00"</f>
        <v>1.203,00</v>
      </c>
      <c r="L1835" s="6" t="str">
        <f>"300,75"</f>
        <v>300,75</v>
      </c>
      <c r="M1835" s="6" t="str">
        <f>"1.503,75"</f>
        <v>1.503,75</v>
      </c>
      <c r="N1835" s="5">
        <v>43591</v>
      </c>
      <c r="O1835" s="7"/>
      <c r="P1835" s="6" t="str">
        <f>"1.503,75"</f>
        <v>1.503,75</v>
      </c>
      <c r="Q1835" s="7"/>
      <c r="R1835" s="1"/>
      <c r="S1835" s="1" t="str">
        <f>"40-19/NOS-22-A/18"</f>
        <v>40-19/NOS-22-A/18</v>
      </c>
      <c r="T1835" s="2" t="s">
        <v>33</v>
      </c>
    </row>
    <row r="1836" spans="1:20" ht="25.5" x14ac:dyDescent="0.25">
      <c r="A1836" s="1">
        <v>1832</v>
      </c>
      <c r="B1836" s="1" t="str">
        <f t="shared" si="179"/>
        <v>2018-2855</v>
      </c>
      <c r="C1836" s="2" t="s">
        <v>1080</v>
      </c>
      <c r="D1836" s="1" t="s">
        <v>582</v>
      </c>
      <c r="E1836" s="3" t="str">
        <f>""</f>
        <v/>
      </c>
      <c r="F1836" s="2" t="s">
        <v>27</v>
      </c>
      <c r="G1836" s="2" t="str">
        <f t="shared" si="180"/>
        <v>PAMAJO D.O.O., VRANIČKA 7/A, 10000 ZAGREB, OIB: 46401136513</v>
      </c>
      <c r="H1836" s="4"/>
      <c r="I1836" s="1" t="s">
        <v>464</v>
      </c>
      <c r="J1836" s="1" t="s">
        <v>492</v>
      </c>
      <c r="K1836" s="6" t="str">
        <f>"1.495,00"</f>
        <v>1.495,00</v>
      </c>
      <c r="L1836" s="6" t="str">
        <f>"373,75"</f>
        <v>373,75</v>
      </c>
      <c r="M1836" s="6" t="str">
        <f>"1.868,75"</f>
        <v>1.868,75</v>
      </c>
      <c r="N1836" s="5">
        <v>43570</v>
      </c>
      <c r="O1836" s="7"/>
      <c r="P1836" s="6" t="str">
        <f>"1.868,75"</f>
        <v>1.868,75</v>
      </c>
      <c r="Q1836" s="7"/>
      <c r="R1836" s="1"/>
      <c r="S1836" s="1" t="str">
        <f>"41-19/NOS-22-A/18"</f>
        <v>41-19/NOS-22-A/18</v>
      </c>
      <c r="T1836" s="2" t="s">
        <v>33</v>
      </c>
    </row>
    <row r="1837" spans="1:20" ht="25.5" x14ac:dyDescent="0.25">
      <c r="A1837" s="1">
        <v>1833</v>
      </c>
      <c r="B1837" s="1" t="str">
        <f t="shared" si="179"/>
        <v>2018-2855</v>
      </c>
      <c r="C1837" s="2" t="s">
        <v>1080</v>
      </c>
      <c r="D1837" s="1" t="s">
        <v>582</v>
      </c>
      <c r="E1837" s="3" t="str">
        <f>""</f>
        <v/>
      </c>
      <c r="F1837" s="2" t="s">
        <v>27</v>
      </c>
      <c r="G1837" s="2" t="str">
        <f t="shared" si="180"/>
        <v>PAMAJO D.O.O., VRANIČKA 7/A, 10000 ZAGREB, OIB: 46401136513</v>
      </c>
      <c r="H1837" s="4"/>
      <c r="I1837" s="1" t="s">
        <v>401</v>
      </c>
      <c r="J1837" s="1" t="s">
        <v>492</v>
      </c>
      <c r="K1837" s="6" t="str">
        <f>"9.528,00"</f>
        <v>9.528,00</v>
      </c>
      <c r="L1837" s="6" t="str">
        <f>"2.382,00"</f>
        <v>2.382,00</v>
      </c>
      <c r="M1837" s="6" t="str">
        <f>"11.910,00"</f>
        <v>11.910,00</v>
      </c>
      <c r="N1837" s="5">
        <v>43592</v>
      </c>
      <c r="O1837" s="7"/>
      <c r="P1837" s="6" t="str">
        <f>"11.910,00"</f>
        <v>11.910,00</v>
      </c>
      <c r="Q1837" s="7"/>
      <c r="R1837" s="1"/>
      <c r="S1837" s="1" t="str">
        <f>"42-19/NOS-22-A/18"</f>
        <v>42-19/NOS-22-A/18</v>
      </c>
      <c r="T1837" s="2" t="s">
        <v>33</v>
      </c>
    </row>
    <row r="1838" spans="1:20" ht="25.5" x14ac:dyDescent="0.25">
      <c r="A1838" s="1">
        <v>1834</v>
      </c>
      <c r="B1838" s="1" t="str">
        <f t="shared" si="179"/>
        <v>2018-2855</v>
      </c>
      <c r="C1838" s="2" t="s">
        <v>1080</v>
      </c>
      <c r="D1838" s="1" t="s">
        <v>582</v>
      </c>
      <c r="E1838" s="3" t="str">
        <f>""</f>
        <v/>
      </c>
      <c r="F1838" s="2" t="s">
        <v>27</v>
      </c>
      <c r="G1838" s="2" t="str">
        <f t="shared" si="180"/>
        <v>PAMAJO D.O.O., VRANIČKA 7/A, 10000 ZAGREB, OIB: 46401136513</v>
      </c>
      <c r="H1838" s="4"/>
      <c r="I1838" s="1" t="s">
        <v>641</v>
      </c>
      <c r="J1838" s="1" t="s">
        <v>492</v>
      </c>
      <c r="K1838" s="6" t="str">
        <f>"3.330,00"</f>
        <v>3.330,00</v>
      </c>
      <c r="L1838" s="6" t="str">
        <f>"832,50"</f>
        <v>832,50</v>
      </c>
      <c r="M1838" s="6" t="str">
        <f>"4.162,50"</f>
        <v>4.162,50</v>
      </c>
      <c r="N1838" s="5">
        <v>43599</v>
      </c>
      <c r="O1838" s="7"/>
      <c r="P1838" s="6" t="str">
        <f>"4.162,50"</f>
        <v>4.162,50</v>
      </c>
      <c r="Q1838" s="7"/>
      <c r="R1838" s="1"/>
      <c r="S1838" s="1" t="str">
        <f>"43-19/NOS-22-A/18"</f>
        <v>43-19/NOS-22-A/18</v>
      </c>
      <c r="T1838" s="2" t="s">
        <v>33</v>
      </c>
    </row>
    <row r="1839" spans="1:20" ht="25.5" x14ac:dyDescent="0.25">
      <c r="A1839" s="1">
        <v>1835</v>
      </c>
      <c r="B1839" s="1" t="str">
        <f t="shared" si="179"/>
        <v>2018-2855</v>
      </c>
      <c r="C1839" s="2" t="s">
        <v>1080</v>
      </c>
      <c r="D1839" s="1" t="s">
        <v>582</v>
      </c>
      <c r="E1839" s="3" t="str">
        <f>""</f>
        <v/>
      </c>
      <c r="F1839" s="2" t="s">
        <v>27</v>
      </c>
      <c r="G1839" s="2" t="str">
        <f t="shared" si="180"/>
        <v>PAMAJO D.O.O., VRANIČKA 7/A, 10000 ZAGREB, OIB: 46401136513</v>
      </c>
      <c r="H1839" s="4"/>
      <c r="I1839" s="1" t="s">
        <v>455</v>
      </c>
      <c r="J1839" s="1" t="s">
        <v>492</v>
      </c>
      <c r="K1839" s="6" t="str">
        <f>"5.781,00"</f>
        <v>5.781,00</v>
      </c>
      <c r="L1839" s="6" t="str">
        <f>"1.445,25"</f>
        <v>1.445,25</v>
      </c>
      <c r="M1839" s="6" t="str">
        <f>"7.226,25"</f>
        <v>7.226,25</v>
      </c>
      <c r="N1839" s="5">
        <v>43595</v>
      </c>
      <c r="O1839" s="7"/>
      <c r="P1839" s="6" t="str">
        <f>"7.226,25"</f>
        <v>7.226,25</v>
      </c>
      <c r="Q1839" s="7"/>
      <c r="R1839" s="1"/>
      <c r="S1839" s="1" t="str">
        <f>"44-19/NOS-22-A/18"</f>
        <v>44-19/NOS-22-A/18</v>
      </c>
      <c r="T1839" s="2" t="s">
        <v>33</v>
      </c>
    </row>
    <row r="1840" spans="1:20" ht="25.5" x14ac:dyDescent="0.25">
      <c r="A1840" s="1">
        <v>1836</v>
      </c>
      <c r="B1840" s="1" t="str">
        <f t="shared" si="179"/>
        <v>2018-2855</v>
      </c>
      <c r="C1840" s="2" t="s">
        <v>1080</v>
      </c>
      <c r="D1840" s="1" t="s">
        <v>582</v>
      </c>
      <c r="E1840" s="3" t="str">
        <f>""</f>
        <v/>
      </c>
      <c r="F1840" s="2" t="s">
        <v>27</v>
      </c>
      <c r="G1840" s="2" t="str">
        <f t="shared" si="180"/>
        <v>PAMAJO D.O.O., VRANIČKA 7/A, 10000 ZAGREB, OIB: 46401136513</v>
      </c>
      <c r="H1840" s="4"/>
      <c r="I1840" s="1" t="s">
        <v>455</v>
      </c>
      <c r="J1840" s="1" t="s">
        <v>242</v>
      </c>
      <c r="K1840" s="6" t="str">
        <f>"1.926,43"</f>
        <v>1.926,43</v>
      </c>
      <c r="L1840" s="6" t="str">
        <f>"481,61"</f>
        <v>481,61</v>
      </c>
      <c r="M1840" s="6" t="str">
        <f>"2.408,04"</f>
        <v>2.408,04</v>
      </c>
      <c r="N1840" s="5">
        <v>43616</v>
      </c>
      <c r="O1840" s="7"/>
      <c r="P1840" s="6" t="str">
        <f>"2.408,04"</f>
        <v>2.408,04</v>
      </c>
      <c r="Q1840" s="7"/>
      <c r="R1840" s="1"/>
      <c r="S1840" s="1" t="str">
        <f>"45-19/NOS-22-A/18"</f>
        <v>45-19/NOS-22-A/18</v>
      </c>
      <c r="T1840" s="2" t="s">
        <v>33</v>
      </c>
    </row>
    <row r="1841" spans="1:20" ht="25.5" x14ac:dyDescent="0.25">
      <c r="A1841" s="1">
        <v>1837</v>
      </c>
      <c r="B1841" s="1" t="str">
        <f t="shared" si="179"/>
        <v>2018-2855</v>
      </c>
      <c r="C1841" s="2" t="s">
        <v>1080</v>
      </c>
      <c r="D1841" s="1" t="s">
        <v>582</v>
      </c>
      <c r="E1841" s="3" t="str">
        <f>""</f>
        <v/>
      </c>
      <c r="F1841" s="2" t="s">
        <v>27</v>
      </c>
      <c r="G1841" s="2" t="str">
        <f t="shared" si="180"/>
        <v>PAMAJO D.O.O., VRANIČKA 7/A, 10000 ZAGREB, OIB: 46401136513</v>
      </c>
      <c r="H1841" s="4"/>
      <c r="I1841" s="1" t="s">
        <v>25</v>
      </c>
      <c r="J1841" s="1" t="s">
        <v>251</v>
      </c>
      <c r="K1841" s="6" t="str">
        <f>"2.165,55"</f>
        <v>2.165,55</v>
      </c>
      <c r="L1841" s="6" t="str">
        <f>"541,39"</f>
        <v>541,39</v>
      </c>
      <c r="M1841" s="6" t="str">
        <f>"2.706,94"</f>
        <v>2.706,94</v>
      </c>
      <c r="N1841" s="5">
        <v>43605</v>
      </c>
      <c r="O1841" s="7"/>
      <c r="P1841" s="6" t="str">
        <f>"2.706,94"</f>
        <v>2.706,94</v>
      </c>
      <c r="Q1841" s="7"/>
      <c r="R1841" s="1"/>
      <c r="S1841" s="1" t="str">
        <f>"48-19/NOS-22-A/18"</f>
        <v>48-19/NOS-22-A/18</v>
      </c>
      <c r="T1841" s="2" t="s">
        <v>33</v>
      </c>
    </row>
    <row r="1842" spans="1:20" ht="25.5" x14ac:dyDescent="0.25">
      <c r="A1842" s="1">
        <v>1838</v>
      </c>
      <c r="B1842" s="1" t="str">
        <f t="shared" si="179"/>
        <v>2018-2855</v>
      </c>
      <c r="C1842" s="2" t="s">
        <v>1080</v>
      </c>
      <c r="D1842" s="1" t="s">
        <v>582</v>
      </c>
      <c r="E1842" s="3" t="str">
        <f>""</f>
        <v/>
      </c>
      <c r="F1842" s="2" t="s">
        <v>27</v>
      </c>
      <c r="G1842" s="2" t="str">
        <f t="shared" si="180"/>
        <v>PAMAJO D.O.O., VRANIČKA 7/A, 10000 ZAGREB, OIB: 46401136513</v>
      </c>
      <c r="H1842" s="4"/>
      <c r="I1842" s="1" t="s">
        <v>25</v>
      </c>
      <c r="J1842" s="1" t="s">
        <v>47</v>
      </c>
      <c r="K1842" s="6" t="str">
        <f>"7.669,07"</f>
        <v>7.669,07</v>
      </c>
      <c r="L1842" s="6" t="str">
        <f>"1.917,27"</f>
        <v>1.917,27</v>
      </c>
      <c r="M1842" s="6" t="str">
        <f>"9.586,34"</f>
        <v>9.586,34</v>
      </c>
      <c r="N1842" s="5">
        <v>43605</v>
      </c>
      <c r="O1842" s="7"/>
      <c r="P1842" s="6" t="str">
        <f>"9.586,34"</f>
        <v>9.586,34</v>
      </c>
      <c r="Q1842" s="7"/>
      <c r="R1842" s="1"/>
      <c r="S1842" s="1" t="str">
        <f>"49-19/NOS-22-A/18"</f>
        <v>49-19/NOS-22-A/18</v>
      </c>
      <c r="T1842" s="2" t="s">
        <v>33</v>
      </c>
    </row>
    <row r="1843" spans="1:20" ht="25.5" x14ac:dyDescent="0.25">
      <c r="A1843" s="1">
        <v>1839</v>
      </c>
      <c r="B1843" s="1" t="str">
        <f t="shared" si="179"/>
        <v>2018-2855</v>
      </c>
      <c r="C1843" s="2" t="s">
        <v>1080</v>
      </c>
      <c r="D1843" s="1" t="s">
        <v>582</v>
      </c>
      <c r="E1843" s="3" t="str">
        <f>""</f>
        <v/>
      </c>
      <c r="F1843" s="2" t="s">
        <v>27</v>
      </c>
      <c r="G1843" s="2" t="str">
        <f t="shared" si="180"/>
        <v>PAMAJO D.O.O., VRANIČKA 7/A, 10000 ZAGREB, OIB: 46401136513</v>
      </c>
      <c r="H1843" s="4"/>
      <c r="I1843" s="1" t="s">
        <v>25</v>
      </c>
      <c r="J1843" s="1" t="s">
        <v>492</v>
      </c>
      <c r="K1843" s="6" t="str">
        <f>"10.742,00"</f>
        <v>10.742,00</v>
      </c>
      <c r="L1843" s="6" t="str">
        <f>"2.685,50"</f>
        <v>2.685,50</v>
      </c>
      <c r="M1843" s="6" t="str">
        <f>"13.427,50"</f>
        <v>13.427,50</v>
      </c>
      <c r="N1843" s="5">
        <v>43605</v>
      </c>
      <c r="O1843" s="7"/>
      <c r="P1843" s="6" t="str">
        <f>"13.427,50"</f>
        <v>13.427,50</v>
      </c>
      <c r="Q1843" s="7"/>
      <c r="R1843" s="1"/>
      <c r="S1843" s="1" t="str">
        <f>"50-19/NOS-22-A/18"</f>
        <v>50-19/NOS-22-A/18</v>
      </c>
      <c r="T1843" s="2" t="s">
        <v>33</v>
      </c>
    </row>
    <row r="1844" spans="1:20" ht="25.5" x14ac:dyDescent="0.25">
      <c r="A1844" s="1">
        <v>1840</v>
      </c>
      <c r="B1844" s="1" t="str">
        <f t="shared" si="179"/>
        <v>2018-2855</v>
      </c>
      <c r="C1844" s="2" t="s">
        <v>1080</v>
      </c>
      <c r="D1844" s="1" t="s">
        <v>582</v>
      </c>
      <c r="E1844" s="3" t="str">
        <f>""</f>
        <v/>
      </c>
      <c r="F1844" s="2" t="s">
        <v>27</v>
      </c>
      <c r="G1844" s="2" t="str">
        <f t="shared" si="180"/>
        <v>PAMAJO D.O.O., VRANIČKA 7/A, 10000 ZAGREB, OIB: 46401136513</v>
      </c>
      <c r="H1844" s="4"/>
      <c r="I1844" s="1" t="s">
        <v>25</v>
      </c>
      <c r="J1844" s="1" t="s">
        <v>47</v>
      </c>
      <c r="K1844" s="6" t="str">
        <f>"3.648,04"</f>
        <v>3.648,04</v>
      </c>
      <c r="L1844" s="6" t="str">
        <f>"912,01"</f>
        <v>912,01</v>
      </c>
      <c r="M1844" s="6" t="str">
        <f>"4.560,05"</f>
        <v>4.560,05</v>
      </c>
      <c r="N1844" s="5">
        <v>43605</v>
      </c>
      <c r="O1844" s="7"/>
      <c r="P1844" s="6" t="str">
        <f>"4.560,05"</f>
        <v>4.560,05</v>
      </c>
      <c r="Q1844" s="7"/>
      <c r="R1844" s="1"/>
      <c r="S1844" s="1" t="str">
        <f>"51-19/NOS-22-A/18"</f>
        <v>51-19/NOS-22-A/18</v>
      </c>
      <c r="T1844" s="2" t="s">
        <v>33</v>
      </c>
    </row>
    <row r="1845" spans="1:20" ht="25.5" x14ac:dyDescent="0.25">
      <c r="A1845" s="1">
        <v>1841</v>
      </c>
      <c r="B1845" s="1" t="str">
        <f t="shared" si="179"/>
        <v>2018-2855</v>
      </c>
      <c r="C1845" s="2" t="s">
        <v>1080</v>
      </c>
      <c r="D1845" s="1" t="s">
        <v>582</v>
      </c>
      <c r="E1845" s="3" t="str">
        <f>""</f>
        <v/>
      </c>
      <c r="F1845" s="2" t="s">
        <v>27</v>
      </c>
      <c r="G1845" s="2" t="str">
        <f t="shared" si="180"/>
        <v>PAMAJO D.O.O., VRANIČKA 7/A, 10000 ZAGREB, OIB: 46401136513</v>
      </c>
      <c r="H1845" s="4"/>
      <c r="I1845" s="1" t="s">
        <v>317</v>
      </c>
      <c r="J1845" s="1" t="s">
        <v>492</v>
      </c>
      <c r="K1845" s="6" t="str">
        <f>"2.220,00"</f>
        <v>2.220,00</v>
      </c>
      <c r="L1845" s="6" t="str">
        <f>"555,00"</f>
        <v>555,00</v>
      </c>
      <c r="M1845" s="6" t="str">
        <f>"2.775,00"</f>
        <v>2.775,00</v>
      </c>
      <c r="N1845" s="5">
        <v>43635</v>
      </c>
      <c r="O1845" s="7"/>
      <c r="P1845" s="6" t="str">
        <f>"2.775,00"</f>
        <v>2.775,00</v>
      </c>
      <c r="Q1845" s="7"/>
      <c r="R1845" s="1"/>
      <c r="S1845" s="1" t="str">
        <f>"52-19/NOS-22-A/18"</f>
        <v>52-19/NOS-22-A/18</v>
      </c>
      <c r="T1845" s="2" t="s">
        <v>33</v>
      </c>
    </row>
    <row r="1846" spans="1:20" ht="25.5" x14ac:dyDescent="0.25">
      <c r="A1846" s="1">
        <v>1842</v>
      </c>
      <c r="B1846" s="1" t="str">
        <f t="shared" si="179"/>
        <v>2018-2855</v>
      </c>
      <c r="C1846" s="2" t="s">
        <v>1080</v>
      </c>
      <c r="D1846" s="1" t="s">
        <v>582</v>
      </c>
      <c r="E1846" s="3" t="str">
        <f>""</f>
        <v/>
      </c>
      <c r="F1846" s="2" t="s">
        <v>27</v>
      </c>
      <c r="G1846" s="2" t="str">
        <f t="shared" si="180"/>
        <v>PAMAJO D.O.O., VRANIČKA 7/A, 10000 ZAGREB, OIB: 46401136513</v>
      </c>
      <c r="H1846" s="4"/>
      <c r="I1846" s="1" t="s">
        <v>317</v>
      </c>
      <c r="J1846" s="1" t="s">
        <v>492</v>
      </c>
      <c r="K1846" s="6" t="str">
        <f>"1.414,50"</f>
        <v>1.414,50</v>
      </c>
      <c r="L1846" s="6" t="str">
        <f>"353,63"</f>
        <v>353,63</v>
      </c>
      <c r="M1846" s="6" t="str">
        <f>"1.768,13"</f>
        <v>1.768,13</v>
      </c>
      <c r="N1846" s="5">
        <v>43608</v>
      </c>
      <c r="O1846" s="7"/>
      <c r="P1846" s="6" t="str">
        <f>"1.768,12"</f>
        <v>1.768,12</v>
      </c>
      <c r="Q1846" s="7"/>
      <c r="R1846" s="1"/>
      <c r="S1846" s="1" t="str">
        <f>"53-19/NOS-22-A/18"</f>
        <v>53-19/NOS-22-A/18</v>
      </c>
      <c r="T1846" s="2" t="s">
        <v>33</v>
      </c>
    </row>
    <row r="1847" spans="1:20" ht="25.5" x14ac:dyDescent="0.25">
      <c r="A1847" s="1">
        <v>1843</v>
      </c>
      <c r="B1847" s="1" t="str">
        <f t="shared" si="179"/>
        <v>2018-2855</v>
      </c>
      <c r="C1847" s="2" t="s">
        <v>1080</v>
      </c>
      <c r="D1847" s="1" t="s">
        <v>582</v>
      </c>
      <c r="E1847" s="3" t="str">
        <f>""</f>
        <v/>
      </c>
      <c r="F1847" s="2" t="s">
        <v>27</v>
      </c>
      <c r="G1847" s="2" t="str">
        <f t="shared" si="180"/>
        <v>PAMAJO D.O.O., VRANIČKA 7/A, 10000 ZAGREB, OIB: 46401136513</v>
      </c>
      <c r="H1847" s="4"/>
      <c r="I1847" s="1" t="s">
        <v>317</v>
      </c>
      <c r="J1847" s="1" t="s">
        <v>121</v>
      </c>
      <c r="K1847" s="6" t="str">
        <f>"7.036,08"</f>
        <v>7.036,08</v>
      </c>
      <c r="L1847" s="6" t="str">
        <f>"1.759,02"</f>
        <v>1.759,02</v>
      </c>
      <c r="M1847" s="6" t="str">
        <f>"8.795,10"</f>
        <v>8.795,10</v>
      </c>
      <c r="N1847" s="5">
        <v>43608</v>
      </c>
      <c r="O1847" s="7"/>
      <c r="P1847" s="6" t="str">
        <f>"8.795,10"</f>
        <v>8.795,10</v>
      </c>
      <c r="Q1847" s="7"/>
      <c r="R1847" s="1"/>
      <c r="S1847" s="1" t="str">
        <f>"54-19/NOS-22-A/18"</f>
        <v>54-19/NOS-22-A/18</v>
      </c>
      <c r="T1847" s="2" t="s">
        <v>33</v>
      </c>
    </row>
    <row r="1848" spans="1:20" ht="25.5" x14ac:dyDescent="0.25">
      <c r="A1848" s="1">
        <v>1844</v>
      </c>
      <c r="B1848" s="1" t="str">
        <f t="shared" si="179"/>
        <v>2018-2855</v>
      </c>
      <c r="C1848" s="2" t="s">
        <v>1080</v>
      </c>
      <c r="D1848" s="1" t="s">
        <v>582</v>
      </c>
      <c r="E1848" s="3" t="str">
        <f>""</f>
        <v/>
      </c>
      <c r="F1848" s="2" t="s">
        <v>27</v>
      </c>
      <c r="G1848" s="2" t="str">
        <f t="shared" si="180"/>
        <v>PAMAJO D.O.O., VRANIČKA 7/A, 10000 ZAGREB, OIB: 46401136513</v>
      </c>
      <c r="H1848" s="4"/>
      <c r="I1848" s="1" t="s">
        <v>499</v>
      </c>
      <c r="J1848" s="1" t="s">
        <v>492</v>
      </c>
      <c r="K1848" s="6" t="str">
        <f>"1.735,00"</f>
        <v>1.735,00</v>
      </c>
      <c r="L1848" s="6" t="str">
        <f>"433,75"</f>
        <v>433,75</v>
      </c>
      <c r="M1848" s="6" t="str">
        <f>"2.168,75"</f>
        <v>2.168,75</v>
      </c>
      <c r="N1848" s="5">
        <v>43605</v>
      </c>
      <c r="O1848" s="7"/>
      <c r="P1848" s="6" t="str">
        <f>"2.168,75"</f>
        <v>2.168,75</v>
      </c>
      <c r="Q1848" s="7"/>
      <c r="R1848" s="1"/>
      <c r="S1848" s="1" t="str">
        <f>"55-19/NOS-22-A/18"</f>
        <v>55-19/NOS-22-A/18</v>
      </c>
      <c r="T1848" s="2" t="s">
        <v>33</v>
      </c>
    </row>
    <row r="1849" spans="1:20" ht="25.5" x14ac:dyDescent="0.25">
      <c r="A1849" s="1">
        <v>1845</v>
      </c>
      <c r="B1849" s="1" t="str">
        <f t="shared" si="179"/>
        <v>2018-2855</v>
      </c>
      <c r="C1849" s="2" t="s">
        <v>1080</v>
      </c>
      <c r="D1849" s="1" t="s">
        <v>582</v>
      </c>
      <c r="E1849" s="3" t="str">
        <f>""</f>
        <v/>
      </c>
      <c r="F1849" s="2" t="s">
        <v>27</v>
      </c>
      <c r="G1849" s="2" t="str">
        <f t="shared" si="180"/>
        <v>PAMAJO D.O.O., VRANIČKA 7/A, 10000 ZAGREB, OIB: 46401136513</v>
      </c>
      <c r="H1849" s="4"/>
      <c r="I1849" s="1" t="s">
        <v>74</v>
      </c>
      <c r="J1849" s="1" t="s">
        <v>121</v>
      </c>
      <c r="K1849" s="6" t="str">
        <f>"1.308,50"</f>
        <v>1.308,50</v>
      </c>
      <c r="L1849" s="6" t="str">
        <f>"327,13"</f>
        <v>327,13</v>
      </c>
      <c r="M1849" s="6" t="str">
        <f>"1.635,63"</f>
        <v>1.635,63</v>
      </c>
      <c r="N1849" s="5">
        <v>43634</v>
      </c>
      <c r="O1849" s="7"/>
      <c r="P1849" s="6" t="str">
        <f>"1.635,62"</f>
        <v>1.635,62</v>
      </c>
      <c r="Q1849" s="7"/>
      <c r="R1849" s="1"/>
      <c r="S1849" s="1" t="str">
        <f>"56-19/NOS-22-A/18"</f>
        <v>56-19/NOS-22-A/18</v>
      </c>
      <c r="T1849" s="2" t="s">
        <v>33</v>
      </c>
    </row>
    <row r="1850" spans="1:20" ht="25.5" x14ac:dyDescent="0.25">
      <c r="A1850" s="1">
        <v>1846</v>
      </c>
      <c r="B1850" s="1" t="str">
        <f t="shared" si="179"/>
        <v>2018-2855</v>
      </c>
      <c r="C1850" s="2" t="s">
        <v>1080</v>
      </c>
      <c r="D1850" s="1" t="s">
        <v>582</v>
      </c>
      <c r="E1850" s="3" t="str">
        <f>""</f>
        <v/>
      </c>
      <c r="F1850" s="2" t="s">
        <v>27</v>
      </c>
      <c r="G1850" s="2" t="str">
        <f t="shared" si="180"/>
        <v>PAMAJO D.O.O., VRANIČKA 7/A, 10000 ZAGREB, OIB: 46401136513</v>
      </c>
      <c r="H1850" s="4"/>
      <c r="I1850" s="1" t="s">
        <v>46</v>
      </c>
      <c r="J1850" s="1" t="s">
        <v>47</v>
      </c>
      <c r="K1850" s="6" t="str">
        <f>"10.948,41"</f>
        <v>10.948,41</v>
      </c>
      <c r="L1850" s="6" t="str">
        <f>"2.737,10"</f>
        <v>2.737,10</v>
      </c>
      <c r="M1850" s="6" t="str">
        <f>"13.685,51"</f>
        <v>13.685,51</v>
      </c>
      <c r="N1850" s="5">
        <v>43632</v>
      </c>
      <c r="O1850" s="7"/>
      <c r="P1850" s="6" t="str">
        <f>"13.685,51"</f>
        <v>13.685,51</v>
      </c>
      <c r="Q1850" s="7"/>
      <c r="R1850" s="1"/>
      <c r="S1850" s="1" t="str">
        <f>"57-19/NOS-22-A/18"</f>
        <v>57-19/NOS-22-A/18</v>
      </c>
      <c r="T1850" s="2" t="s">
        <v>33</v>
      </c>
    </row>
    <row r="1851" spans="1:20" ht="25.5" x14ac:dyDescent="0.25">
      <c r="A1851" s="1">
        <v>1847</v>
      </c>
      <c r="B1851" s="1" t="str">
        <f t="shared" si="179"/>
        <v>2018-2855</v>
      </c>
      <c r="C1851" s="2" t="s">
        <v>1080</v>
      </c>
      <c r="D1851" s="1" t="s">
        <v>582</v>
      </c>
      <c r="E1851" s="3" t="str">
        <f>""</f>
        <v/>
      </c>
      <c r="F1851" s="2" t="s">
        <v>27</v>
      </c>
      <c r="G1851" s="2" t="str">
        <f t="shared" si="180"/>
        <v>PAMAJO D.O.O., VRANIČKA 7/A, 10000 ZAGREB, OIB: 46401136513</v>
      </c>
      <c r="H1851" s="4"/>
      <c r="I1851" s="1" t="s">
        <v>74</v>
      </c>
      <c r="J1851" s="1" t="s">
        <v>121</v>
      </c>
      <c r="K1851" s="6" t="str">
        <f>"1.191,00"</f>
        <v>1.191,00</v>
      </c>
      <c r="L1851" s="6" t="str">
        <f>"297,75"</f>
        <v>297,75</v>
      </c>
      <c r="M1851" s="6" t="str">
        <f>"1.488,75"</f>
        <v>1.488,75</v>
      </c>
      <c r="N1851" s="5">
        <v>43634</v>
      </c>
      <c r="O1851" s="7"/>
      <c r="P1851" s="6" t="str">
        <f>"1.488,75"</f>
        <v>1.488,75</v>
      </c>
      <c r="Q1851" s="7"/>
      <c r="R1851" s="1"/>
      <c r="S1851" s="1" t="str">
        <f>"58-19/NOS-22-A/18"</f>
        <v>58-19/NOS-22-A/18</v>
      </c>
      <c r="T1851" s="2" t="s">
        <v>33</v>
      </c>
    </row>
    <row r="1852" spans="1:20" ht="25.5" x14ac:dyDescent="0.25">
      <c r="A1852" s="1">
        <v>1848</v>
      </c>
      <c r="B1852" s="1" t="str">
        <f t="shared" si="179"/>
        <v>2018-2855</v>
      </c>
      <c r="C1852" s="2" t="s">
        <v>1080</v>
      </c>
      <c r="D1852" s="1" t="s">
        <v>582</v>
      </c>
      <c r="E1852" s="3" t="str">
        <f>""</f>
        <v/>
      </c>
      <c r="F1852" s="2" t="s">
        <v>27</v>
      </c>
      <c r="G1852" s="2" t="str">
        <f t="shared" si="180"/>
        <v>PAMAJO D.O.O., VRANIČKA 7/A, 10000 ZAGREB, OIB: 46401136513</v>
      </c>
      <c r="H1852" s="4"/>
      <c r="I1852" s="1" t="s">
        <v>73</v>
      </c>
      <c r="J1852" s="1" t="s">
        <v>242</v>
      </c>
      <c r="K1852" s="6" t="str">
        <f>"1.100,50"</f>
        <v>1.100,50</v>
      </c>
      <c r="L1852" s="6" t="str">
        <f>"275,13"</f>
        <v>275,13</v>
      </c>
      <c r="M1852" s="6" t="str">
        <f>"1.375,63"</f>
        <v>1.375,63</v>
      </c>
      <c r="N1852" s="5">
        <v>43634</v>
      </c>
      <c r="O1852" s="7"/>
      <c r="P1852" s="6" t="str">
        <f>"1.375,62"</f>
        <v>1.375,62</v>
      </c>
      <c r="Q1852" s="7"/>
      <c r="R1852" s="1"/>
      <c r="S1852" s="1" t="str">
        <f>"60-19/NOS-22-A/18"</f>
        <v>60-19/NOS-22-A/18</v>
      </c>
      <c r="T1852" s="2" t="s">
        <v>33</v>
      </c>
    </row>
    <row r="1853" spans="1:20" ht="25.5" x14ac:dyDescent="0.25">
      <c r="A1853" s="1">
        <v>1849</v>
      </c>
      <c r="B1853" s="1" t="str">
        <f t="shared" si="179"/>
        <v>2018-2855</v>
      </c>
      <c r="C1853" s="2" t="s">
        <v>1080</v>
      </c>
      <c r="D1853" s="1" t="s">
        <v>582</v>
      </c>
      <c r="E1853" s="3" t="str">
        <f>""</f>
        <v/>
      </c>
      <c r="F1853" s="2" t="s">
        <v>27</v>
      </c>
      <c r="G1853" s="2" t="str">
        <f t="shared" si="180"/>
        <v>PAMAJO D.O.O., VRANIČKA 7/A, 10000 ZAGREB, OIB: 46401136513</v>
      </c>
      <c r="H1853" s="4"/>
      <c r="I1853" s="1" t="s">
        <v>74</v>
      </c>
      <c r="J1853" s="1" t="s">
        <v>492</v>
      </c>
      <c r="K1853" s="6" t="str">
        <f>"6.245,39"</f>
        <v>6.245,39</v>
      </c>
      <c r="L1853" s="6" t="str">
        <f>"1.561,35"</f>
        <v>1.561,35</v>
      </c>
      <c r="M1853" s="6" t="str">
        <f>"7.806,74"</f>
        <v>7.806,74</v>
      </c>
      <c r="N1853" s="5">
        <v>43616</v>
      </c>
      <c r="O1853" s="7"/>
      <c r="P1853" s="6" t="str">
        <f>"7.806,74"</f>
        <v>7.806,74</v>
      </c>
      <c r="Q1853" s="7"/>
      <c r="R1853" s="1"/>
      <c r="S1853" s="1" t="str">
        <f>"61-19/NOS-22-A/18"</f>
        <v>61-19/NOS-22-A/18</v>
      </c>
      <c r="T1853" s="2" t="s">
        <v>33</v>
      </c>
    </row>
    <row r="1854" spans="1:20" ht="25.5" x14ac:dyDescent="0.25">
      <c r="A1854" s="1">
        <v>1850</v>
      </c>
      <c r="B1854" s="1" t="str">
        <f t="shared" si="179"/>
        <v>2018-2855</v>
      </c>
      <c r="C1854" s="2" t="s">
        <v>1080</v>
      </c>
      <c r="D1854" s="1" t="s">
        <v>582</v>
      </c>
      <c r="E1854" s="3" t="str">
        <f>""</f>
        <v/>
      </c>
      <c r="F1854" s="2" t="s">
        <v>27</v>
      </c>
      <c r="G1854" s="2" t="str">
        <f t="shared" si="180"/>
        <v>PAMAJO D.O.O., VRANIČKA 7/A, 10000 ZAGREB, OIB: 46401136513</v>
      </c>
      <c r="H1854" s="4"/>
      <c r="I1854" s="1" t="s">
        <v>74</v>
      </c>
      <c r="J1854" s="1" t="s">
        <v>492</v>
      </c>
      <c r="K1854" s="6" t="str">
        <f>"3.230,00"</f>
        <v>3.230,00</v>
      </c>
      <c r="L1854" s="6" t="str">
        <f>"807,50"</f>
        <v>807,50</v>
      </c>
      <c r="M1854" s="6" t="str">
        <f>"4.037,50"</f>
        <v>4.037,50</v>
      </c>
      <c r="N1854" s="5">
        <v>43635</v>
      </c>
      <c r="O1854" s="7"/>
      <c r="P1854" s="6" t="str">
        <f>"4.037,50"</f>
        <v>4.037,50</v>
      </c>
      <c r="Q1854" s="7"/>
      <c r="R1854" s="1"/>
      <c r="S1854" s="1" t="str">
        <f>"62-19/NOS-22-A/18"</f>
        <v>62-19/NOS-22-A/18</v>
      </c>
      <c r="T1854" s="2" t="s">
        <v>33</v>
      </c>
    </row>
    <row r="1855" spans="1:20" ht="25.5" x14ac:dyDescent="0.25">
      <c r="A1855" s="1">
        <v>1851</v>
      </c>
      <c r="B1855" s="1" t="str">
        <f t="shared" si="179"/>
        <v>2018-2855</v>
      </c>
      <c r="C1855" s="2" t="s">
        <v>1080</v>
      </c>
      <c r="D1855" s="1" t="s">
        <v>582</v>
      </c>
      <c r="E1855" s="3" t="str">
        <f>""</f>
        <v/>
      </c>
      <c r="F1855" s="2" t="s">
        <v>27</v>
      </c>
      <c r="G1855" s="2" t="str">
        <f t="shared" si="180"/>
        <v>PAMAJO D.O.O., VRANIČKA 7/A, 10000 ZAGREB, OIB: 46401136513</v>
      </c>
      <c r="H1855" s="4"/>
      <c r="I1855" s="1" t="s">
        <v>74</v>
      </c>
      <c r="J1855" s="1" t="s">
        <v>492</v>
      </c>
      <c r="K1855" s="6" t="str">
        <f>"1.172,80"</f>
        <v>1.172,80</v>
      </c>
      <c r="L1855" s="6" t="str">
        <f>"293,20"</f>
        <v>293,20</v>
      </c>
      <c r="M1855" s="6" t="str">
        <f>"1.466,00"</f>
        <v>1.466,00</v>
      </c>
      <c r="N1855" s="5">
        <v>43616</v>
      </c>
      <c r="O1855" s="7"/>
      <c r="P1855" s="6" t="str">
        <f>"1.466,00"</f>
        <v>1.466,00</v>
      </c>
      <c r="Q1855" s="7"/>
      <c r="R1855" s="1"/>
      <c r="S1855" s="1" t="str">
        <f>"63-19/NOS-22-A/18"</f>
        <v>63-19/NOS-22-A/18</v>
      </c>
      <c r="T1855" s="2" t="s">
        <v>33</v>
      </c>
    </row>
    <row r="1856" spans="1:20" ht="25.5" x14ac:dyDescent="0.25">
      <c r="A1856" s="1">
        <v>1852</v>
      </c>
      <c r="B1856" s="1" t="str">
        <f t="shared" si="179"/>
        <v>2018-2855</v>
      </c>
      <c r="C1856" s="2" t="s">
        <v>1080</v>
      </c>
      <c r="D1856" s="1" t="s">
        <v>582</v>
      </c>
      <c r="E1856" s="3" t="str">
        <f>""</f>
        <v/>
      </c>
      <c r="F1856" s="2" t="s">
        <v>27</v>
      </c>
      <c r="G1856" s="2" t="str">
        <f t="shared" si="180"/>
        <v>PAMAJO D.O.O., VRANIČKA 7/A, 10000 ZAGREB, OIB: 46401136513</v>
      </c>
      <c r="H1856" s="4"/>
      <c r="I1856" s="1" t="s">
        <v>46</v>
      </c>
      <c r="J1856" s="1" t="s">
        <v>121</v>
      </c>
      <c r="K1856" s="6" t="str">
        <f>"1.191,00"</f>
        <v>1.191,00</v>
      </c>
      <c r="L1856" s="6" t="str">
        <f>"0,00"</f>
        <v>0,00</v>
      </c>
      <c r="M1856" s="6" t="str">
        <f>"0,00"</f>
        <v>0,00</v>
      </c>
      <c r="N1856" s="1" t="s">
        <v>117</v>
      </c>
      <c r="O1856" s="7"/>
      <c r="P1856" s="6" t="str">
        <f>"0,00"</f>
        <v>0,00</v>
      </c>
      <c r="Q1856" s="7"/>
      <c r="R1856" s="1"/>
      <c r="S1856" s="1" t="str">
        <f>"64-19/NOS-22-A/18"</f>
        <v>64-19/NOS-22-A/18</v>
      </c>
      <c r="T1856" s="2" t="s">
        <v>33</v>
      </c>
    </row>
    <row r="1857" spans="1:20" ht="25.5" x14ac:dyDescent="0.25">
      <c r="A1857" s="1">
        <v>1853</v>
      </c>
      <c r="B1857" s="1" t="str">
        <f t="shared" si="179"/>
        <v>2018-2855</v>
      </c>
      <c r="C1857" s="2" t="s">
        <v>1080</v>
      </c>
      <c r="D1857" s="1" t="s">
        <v>582</v>
      </c>
      <c r="E1857" s="3" t="str">
        <f>""</f>
        <v/>
      </c>
      <c r="F1857" s="2" t="s">
        <v>27</v>
      </c>
      <c r="G1857" s="2" t="str">
        <f t="shared" si="180"/>
        <v>PAMAJO D.O.O., VRANIČKA 7/A, 10000 ZAGREB, OIB: 46401136513</v>
      </c>
      <c r="H1857" s="4"/>
      <c r="I1857" s="1" t="s">
        <v>414</v>
      </c>
      <c r="J1857" s="1" t="s">
        <v>121</v>
      </c>
      <c r="K1857" s="6" t="str">
        <f>"799,00"</f>
        <v>799,00</v>
      </c>
      <c r="L1857" s="6" t="str">
        <f>"199,75"</f>
        <v>199,75</v>
      </c>
      <c r="M1857" s="6" t="str">
        <f>"998,75"</f>
        <v>998,75</v>
      </c>
      <c r="N1857" s="5">
        <v>43609</v>
      </c>
      <c r="O1857" s="7"/>
      <c r="P1857" s="6" t="str">
        <f>"998,75"</f>
        <v>998,75</v>
      </c>
      <c r="Q1857" s="7"/>
      <c r="R1857" s="1"/>
      <c r="S1857" s="1" t="str">
        <f>"65-19/NOS-22-A/18"</f>
        <v>65-19/NOS-22-A/18</v>
      </c>
      <c r="T1857" s="2" t="s">
        <v>33</v>
      </c>
    </row>
    <row r="1858" spans="1:20" ht="25.5" x14ac:dyDescent="0.25">
      <c r="A1858" s="1">
        <v>1854</v>
      </c>
      <c r="B1858" s="1" t="str">
        <f t="shared" si="179"/>
        <v>2018-2855</v>
      </c>
      <c r="C1858" s="2" t="s">
        <v>1080</v>
      </c>
      <c r="D1858" s="1" t="s">
        <v>582</v>
      </c>
      <c r="E1858" s="3" t="str">
        <f>""</f>
        <v/>
      </c>
      <c r="F1858" s="2" t="s">
        <v>27</v>
      </c>
      <c r="G1858" s="2" t="str">
        <f t="shared" si="180"/>
        <v>PAMAJO D.O.O., VRANIČKA 7/A, 10000 ZAGREB, OIB: 46401136513</v>
      </c>
      <c r="H1858" s="4"/>
      <c r="I1858" s="1" t="s">
        <v>414</v>
      </c>
      <c r="J1858" s="1" t="s">
        <v>47</v>
      </c>
      <c r="K1858" s="6" t="str">
        <f>"12.397,08"</f>
        <v>12.397,08</v>
      </c>
      <c r="L1858" s="6" t="str">
        <f>"0,00"</f>
        <v>0,00</v>
      </c>
      <c r="M1858" s="6" t="str">
        <f>"0,00"</f>
        <v>0,00</v>
      </c>
      <c r="N1858" s="1" t="s">
        <v>117</v>
      </c>
      <c r="O1858" s="7"/>
      <c r="P1858" s="6" t="str">
        <f>"0,00"</f>
        <v>0,00</v>
      </c>
      <c r="Q1858" s="7"/>
      <c r="R1858" s="1"/>
      <c r="S1858" s="1" t="str">
        <f>"66-19/NOS-22-A/18"</f>
        <v>66-19/NOS-22-A/18</v>
      </c>
      <c r="T1858" s="2" t="s">
        <v>33</v>
      </c>
    </row>
    <row r="1859" spans="1:20" ht="25.5" x14ac:dyDescent="0.25">
      <c r="A1859" s="1">
        <v>1855</v>
      </c>
      <c r="B1859" s="1" t="str">
        <f t="shared" si="179"/>
        <v>2018-2855</v>
      </c>
      <c r="C1859" s="2" t="s">
        <v>1080</v>
      </c>
      <c r="D1859" s="1" t="s">
        <v>582</v>
      </c>
      <c r="E1859" s="3" t="str">
        <f>""</f>
        <v/>
      </c>
      <c r="F1859" s="2" t="s">
        <v>27</v>
      </c>
      <c r="G1859" s="2" t="str">
        <f t="shared" si="180"/>
        <v>PAMAJO D.O.O., VRANIČKA 7/A, 10000 ZAGREB, OIB: 46401136513</v>
      </c>
      <c r="H1859" s="4"/>
      <c r="I1859" s="1" t="s">
        <v>414</v>
      </c>
      <c r="J1859" s="1" t="s">
        <v>121</v>
      </c>
      <c r="K1859" s="6" t="str">
        <f>"6.059,04"</f>
        <v>6.059,04</v>
      </c>
      <c r="L1859" s="6" t="str">
        <f>"1.514,76"</f>
        <v>1.514,76</v>
      </c>
      <c r="M1859" s="6" t="str">
        <f>"7.573,80"</f>
        <v>7.573,80</v>
      </c>
      <c r="N1859" s="5">
        <v>43603</v>
      </c>
      <c r="O1859" s="7"/>
      <c r="P1859" s="6" t="str">
        <f>"7.573,80"</f>
        <v>7.573,80</v>
      </c>
      <c r="Q1859" s="7"/>
      <c r="R1859" s="1"/>
      <c r="S1859" s="1" t="str">
        <f>"67-19/NOS-22-A/18"</f>
        <v>67-19/NOS-22-A/18</v>
      </c>
      <c r="T1859" s="2" t="s">
        <v>33</v>
      </c>
    </row>
    <row r="1860" spans="1:20" ht="25.5" x14ac:dyDescent="0.25">
      <c r="A1860" s="1">
        <v>1856</v>
      </c>
      <c r="B1860" s="1" t="str">
        <f t="shared" ref="B1860:B1879" si="181">"2018-2855"</f>
        <v>2018-2855</v>
      </c>
      <c r="C1860" s="2" t="s">
        <v>1080</v>
      </c>
      <c r="D1860" s="1" t="s">
        <v>582</v>
      </c>
      <c r="E1860" s="3" t="str">
        <f>""</f>
        <v/>
      </c>
      <c r="F1860" s="2" t="s">
        <v>27</v>
      </c>
      <c r="G1860" s="2" t="str">
        <f t="shared" si="180"/>
        <v>PAMAJO D.O.O., VRANIČKA 7/A, 10000 ZAGREB, OIB: 46401136513</v>
      </c>
      <c r="H1860" s="4"/>
      <c r="I1860" s="1" t="s">
        <v>269</v>
      </c>
      <c r="J1860" s="1" t="s">
        <v>47</v>
      </c>
      <c r="K1860" s="6" t="str">
        <f>"14.877,85"</f>
        <v>14.877,85</v>
      </c>
      <c r="L1860" s="6" t="str">
        <f>"3.719,46"</f>
        <v>3.719,46</v>
      </c>
      <c r="M1860" s="6" t="str">
        <f>"18.597,31"</f>
        <v>18.597,31</v>
      </c>
      <c r="N1860" s="5">
        <v>43603</v>
      </c>
      <c r="O1860" s="7"/>
      <c r="P1860" s="6" t="str">
        <f>"18.597,31"</f>
        <v>18.597,31</v>
      </c>
      <c r="Q1860" s="7"/>
      <c r="R1860" s="1"/>
      <c r="S1860" s="1" t="str">
        <f>"68-19/NOS-22-A/18"</f>
        <v>68-19/NOS-22-A/18</v>
      </c>
      <c r="T1860" s="2" t="s">
        <v>33</v>
      </c>
    </row>
    <row r="1861" spans="1:20" ht="25.5" x14ac:dyDescent="0.25">
      <c r="A1861" s="1">
        <v>1857</v>
      </c>
      <c r="B1861" s="1" t="str">
        <f t="shared" si="181"/>
        <v>2018-2855</v>
      </c>
      <c r="C1861" s="2" t="s">
        <v>1080</v>
      </c>
      <c r="D1861" s="1" t="s">
        <v>582</v>
      </c>
      <c r="E1861" s="3" t="str">
        <f>""</f>
        <v/>
      </c>
      <c r="F1861" s="2" t="s">
        <v>27</v>
      </c>
      <c r="G1861" s="2" t="str">
        <f t="shared" si="180"/>
        <v>PAMAJO D.O.O., VRANIČKA 7/A, 10000 ZAGREB, OIB: 46401136513</v>
      </c>
      <c r="H1861" s="4"/>
      <c r="I1861" s="1" t="s">
        <v>269</v>
      </c>
      <c r="J1861" s="1" t="s">
        <v>121</v>
      </c>
      <c r="K1861" s="6" t="str">
        <f>"13.553,25"</f>
        <v>13.553,25</v>
      </c>
      <c r="L1861" s="6" t="str">
        <f>"3.388,31"</f>
        <v>3.388,31</v>
      </c>
      <c r="M1861" s="6" t="str">
        <f>"16.941,56"</f>
        <v>16.941,56</v>
      </c>
      <c r="N1861" s="5">
        <v>43603</v>
      </c>
      <c r="O1861" s="7"/>
      <c r="P1861" s="6" t="str">
        <f>"16.941,56"</f>
        <v>16.941,56</v>
      </c>
      <c r="Q1861" s="7"/>
      <c r="R1861" s="1"/>
      <c r="S1861" s="1" t="str">
        <f>"69-19/NOS-22-A/18"</f>
        <v>69-19/NOS-22-A/18</v>
      </c>
      <c r="T1861" s="2" t="s">
        <v>33</v>
      </c>
    </row>
    <row r="1862" spans="1:20" ht="25.5" x14ac:dyDescent="0.25">
      <c r="A1862" s="1">
        <v>1858</v>
      </c>
      <c r="B1862" s="1" t="str">
        <f t="shared" si="181"/>
        <v>2018-2855</v>
      </c>
      <c r="C1862" s="2" t="s">
        <v>1080</v>
      </c>
      <c r="D1862" s="1" t="s">
        <v>582</v>
      </c>
      <c r="E1862" s="3" t="str">
        <f>""</f>
        <v/>
      </c>
      <c r="F1862" s="2" t="s">
        <v>27</v>
      </c>
      <c r="G1862" s="2" t="str">
        <f t="shared" si="180"/>
        <v>PAMAJO D.O.O., VRANIČKA 7/A, 10000 ZAGREB, OIB: 46401136513</v>
      </c>
      <c r="H1862" s="4"/>
      <c r="I1862" s="1" t="s">
        <v>269</v>
      </c>
      <c r="J1862" s="1" t="s">
        <v>492</v>
      </c>
      <c r="K1862" s="6" t="str">
        <f>"2.540,40"</f>
        <v>2.540,40</v>
      </c>
      <c r="L1862" s="6" t="str">
        <f>"635,10"</f>
        <v>635,10</v>
      </c>
      <c r="M1862" s="6" t="str">
        <f>"3.175,50"</f>
        <v>3.175,50</v>
      </c>
      <c r="N1862" s="5">
        <v>43633</v>
      </c>
      <c r="O1862" s="7"/>
      <c r="P1862" s="6" t="str">
        <f>"3.175,50"</f>
        <v>3.175,50</v>
      </c>
      <c r="Q1862" s="7"/>
      <c r="R1862" s="1"/>
      <c r="S1862" s="1" t="str">
        <f>"70-19/NOS-22-A/18"</f>
        <v>70-19/NOS-22-A/18</v>
      </c>
      <c r="T1862" s="2" t="s">
        <v>33</v>
      </c>
    </row>
    <row r="1863" spans="1:20" ht="25.5" x14ac:dyDescent="0.25">
      <c r="A1863" s="1">
        <v>1859</v>
      </c>
      <c r="B1863" s="1" t="str">
        <f t="shared" si="181"/>
        <v>2018-2855</v>
      </c>
      <c r="C1863" s="2" t="s">
        <v>1080</v>
      </c>
      <c r="D1863" s="1" t="s">
        <v>582</v>
      </c>
      <c r="E1863" s="3" t="str">
        <f>""</f>
        <v/>
      </c>
      <c r="F1863" s="2" t="s">
        <v>27</v>
      </c>
      <c r="G1863" s="2" t="str">
        <f t="shared" si="180"/>
        <v>PAMAJO D.O.O., VRANIČKA 7/A, 10000 ZAGREB, OIB: 46401136513</v>
      </c>
      <c r="H1863" s="4"/>
      <c r="I1863" s="1" t="s">
        <v>424</v>
      </c>
      <c r="J1863" s="1" t="s">
        <v>47</v>
      </c>
      <c r="K1863" s="6" t="str">
        <f>"1.500,00"</f>
        <v>1.500,00</v>
      </c>
      <c r="L1863" s="6" t="str">
        <f>"375,00"</f>
        <v>375,00</v>
      </c>
      <c r="M1863" s="6" t="str">
        <f>"1.875,00"</f>
        <v>1.875,00</v>
      </c>
      <c r="N1863" s="5">
        <v>43630</v>
      </c>
      <c r="O1863" s="7"/>
      <c r="P1863" s="6" t="str">
        <f>"1.875,00"</f>
        <v>1.875,00</v>
      </c>
      <c r="Q1863" s="7"/>
      <c r="R1863" s="1"/>
      <c r="S1863" s="1" t="str">
        <f>"71-19/NOS-22-A/18"</f>
        <v>71-19/NOS-22-A/18</v>
      </c>
      <c r="T1863" s="2" t="s">
        <v>33</v>
      </c>
    </row>
    <row r="1864" spans="1:20" ht="25.5" x14ac:dyDescent="0.25">
      <c r="A1864" s="1">
        <v>1860</v>
      </c>
      <c r="B1864" s="1" t="str">
        <f t="shared" si="181"/>
        <v>2018-2855</v>
      </c>
      <c r="C1864" s="2" t="s">
        <v>1080</v>
      </c>
      <c r="D1864" s="1" t="s">
        <v>582</v>
      </c>
      <c r="E1864" s="3" t="str">
        <f>""</f>
        <v/>
      </c>
      <c r="F1864" s="2" t="s">
        <v>27</v>
      </c>
      <c r="G1864" s="2" t="str">
        <f t="shared" si="180"/>
        <v>PAMAJO D.O.O., VRANIČKA 7/A, 10000 ZAGREB, OIB: 46401136513</v>
      </c>
      <c r="H1864" s="4"/>
      <c r="I1864" s="1" t="s">
        <v>930</v>
      </c>
      <c r="J1864" s="1" t="s">
        <v>492</v>
      </c>
      <c r="K1864" s="6" t="str">
        <f>"1.800,00"</f>
        <v>1.800,00</v>
      </c>
      <c r="L1864" s="6" t="str">
        <f>"450,00"</f>
        <v>450,00</v>
      </c>
      <c r="M1864" s="6" t="str">
        <f>"2.250,00"</f>
        <v>2.250,00</v>
      </c>
      <c r="N1864" s="5">
        <v>43637</v>
      </c>
      <c r="O1864" s="7"/>
      <c r="P1864" s="6" t="str">
        <f>"2.250,00"</f>
        <v>2.250,00</v>
      </c>
      <c r="Q1864" s="7"/>
      <c r="R1864" s="1"/>
      <c r="S1864" s="1" t="str">
        <f>"72-19/NOS-22-A/18"</f>
        <v>72-19/NOS-22-A/18</v>
      </c>
      <c r="T1864" s="2" t="s">
        <v>33</v>
      </c>
    </row>
    <row r="1865" spans="1:20" ht="38.25" x14ac:dyDescent="0.25">
      <c r="A1865" s="1">
        <v>1861</v>
      </c>
      <c r="B1865" s="1" t="str">
        <f t="shared" si="181"/>
        <v>2018-2855</v>
      </c>
      <c r="C1865" s="2" t="s">
        <v>1080</v>
      </c>
      <c r="D1865" s="1" t="s">
        <v>582</v>
      </c>
      <c r="E1865" s="3" t="str">
        <f>"2018/S 0F2-0013181"</f>
        <v>2018/S 0F2-0013181</v>
      </c>
      <c r="F1865" s="2" t="s">
        <v>23</v>
      </c>
      <c r="G1865" s="2" t="str">
        <f t="shared" ref="G1865:G1879" si="182">CONCATENATE("ELICOM D.O.O.,"," ŠTEFANOVEC 138,"," 10000 ZAGREB,"," OIB: 76370234816")</f>
        <v>ELICOM D.O.O., ŠTEFANOVEC 138, 10000 ZAGREB, OIB: 76370234816</v>
      </c>
      <c r="H1865" s="4"/>
      <c r="I1865" s="1" t="s">
        <v>561</v>
      </c>
      <c r="J1865" s="1" t="s">
        <v>1083</v>
      </c>
      <c r="K1865" s="6" t="str">
        <f>"1.505.000,00"</f>
        <v>1.505.000,00</v>
      </c>
      <c r="L1865" s="6" t="str">
        <f>"376.250,00"</f>
        <v>376.250,00</v>
      </c>
      <c r="M1865" s="6" t="str">
        <f>"1.881.250,00"</f>
        <v>1.881.250,00</v>
      </c>
      <c r="N1865" s="7"/>
      <c r="O1865" s="7"/>
      <c r="P1865" s="6" t="str">
        <f>""</f>
        <v/>
      </c>
      <c r="Q1865" s="7"/>
      <c r="R1865" s="1"/>
      <c r="S1865" s="1" t="str">
        <f>"NOS-22-B/18"</f>
        <v>NOS-22-B/18</v>
      </c>
      <c r="T1865" s="2" t="s">
        <v>706</v>
      </c>
    </row>
    <row r="1866" spans="1:20" ht="25.5" x14ac:dyDescent="0.25">
      <c r="A1866" s="1">
        <v>1862</v>
      </c>
      <c r="B1866" s="1" t="str">
        <f t="shared" si="181"/>
        <v>2018-2855</v>
      </c>
      <c r="C1866" s="2" t="s">
        <v>1080</v>
      </c>
      <c r="D1866" s="1" t="s">
        <v>582</v>
      </c>
      <c r="E1866" s="3" t="str">
        <f>""</f>
        <v/>
      </c>
      <c r="F1866" s="2" t="s">
        <v>27</v>
      </c>
      <c r="G1866" s="2" t="str">
        <f t="shared" si="182"/>
        <v>ELICOM D.O.O., ŠTEFANOVEC 138, 10000 ZAGREB, OIB: 76370234816</v>
      </c>
      <c r="H1866" s="4"/>
      <c r="I1866" s="1" t="s">
        <v>254</v>
      </c>
      <c r="J1866" s="1" t="s">
        <v>492</v>
      </c>
      <c r="K1866" s="6" t="str">
        <f>"5.870,00"</f>
        <v>5.870,00</v>
      </c>
      <c r="L1866" s="6" t="str">
        <f>"1.467,50"</f>
        <v>1.467,50</v>
      </c>
      <c r="M1866" s="6" t="str">
        <f>"7.337,50"</f>
        <v>7.337,50</v>
      </c>
      <c r="N1866" s="5">
        <v>43543</v>
      </c>
      <c r="O1866" s="7"/>
      <c r="P1866" s="6" t="str">
        <f>"7.337,50"</f>
        <v>7.337,50</v>
      </c>
      <c r="Q1866" s="7"/>
      <c r="R1866" s="1"/>
      <c r="S1866" s="1" t="str">
        <f>"1-19/NOS-22-B/18"</f>
        <v>1-19/NOS-22-B/18</v>
      </c>
      <c r="T1866" s="2" t="s">
        <v>33</v>
      </c>
    </row>
    <row r="1867" spans="1:20" ht="25.5" x14ac:dyDescent="0.25">
      <c r="A1867" s="1">
        <v>1863</v>
      </c>
      <c r="B1867" s="1" t="str">
        <f t="shared" si="181"/>
        <v>2018-2855</v>
      </c>
      <c r="C1867" s="2" t="s">
        <v>1080</v>
      </c>
      <c r="D1867" s="1" t="s">
        <v>582</v>
      </c>
      <c r="E1867" s="3" t="str">
        <f>""</f>
        <v/>
      </c>
      <c r="F1867" s="2" t="s">
        <v>27</v>
      </c>
      <c r="G1867" s="2" t="str">
        <f t="shared" si="182"/>
        <v>ELICOM D.O.O., ŠTEFANOVEC 138, 10000 ZAGREB, OIB: 76370234816</v>
      </c>
      <c r="H1867" s="4"/>
      <c r="I1867" s="1" t="s">
        <v>264</v>
      </c>
      <c r="J1867" s="1" t="s">
        <v>121</v>
      </c>
      <c r="K1867" s="6" t="str">
        <f>"5.424,00"</f>
        <v>5.424,00</v>
      </c>
      <c r="L1867" s="6" t="str">
        <f>"1.356,00"</f>
        <v>1.356,00</v>
      </c>
      <c r="M1867" s="6" t="str">
        <f>"6.780,00"</f>
        <v>6.780,00</v>
      </c>
      <c r="N1867" s="5">
        <v>43543</v>
      </c>
      <c r="O1867" s="7"/>
      <c r="P1867" s="6" t="str">
        <f>"6.780,00"</f>
        <v>6.780,00</v>
      </c>
      <c r="Q1867" s="7"/>
      <c r="R1867" s="1"/>
      <c r="S1867" s="1" t="str">
        <f>"2-19/NOS-22-B/18"</f>
        <v>2-19/NOS-22-B/18</v>
      </c>
      <c r="T1867" s="2" t="s">
        <v>33</v>
      </c>
    </row>
    <row r="1868" spans="1:20" ht="25.5" x14ac:dyDescent="0.25">
      <c r="A1868" s="1">
        <v>1864</v>
      </c>
      <c r="B1868" s="1" t="str">
        <f t="shared" si="181"/>
        <v>2018-2855</v>
      </c>
      <c r="C1868" s="2" t="s">
        <v>1080</v>
      </c>
      <c r="D1868" s="1" t="s">
        <v>582</v>
      </c>
      <c r="E1868" s="3" t="str">
        <f>""</f>
        <v/>
      </c>
      <c r="F1868" s="2" t="s">
        <v>27</v>
      </c>
      <c r="G1868" s="2" t="str">
        <f t="shared" si="182"/>
        <v>ELICOM D.O.O., ŠTEFANOVEC 138, 10000 ZAGREB, OIB: 76370234816</v>
      </c>
      <c r="H1868" s="4"/>
      <c r="I1868" s="1" t="s">
        <v>257</v>
      </c>
      <c r="J1868" s="1" t="s">
        <v>492</v>
      </c>
      <c r="K1868" s="6" t="str">
        <f>"918,00"</f>
        <v>918,00</v>
      </c>
      <c r="L1868" s="6" t="str">
        <f>"229,50"</f>
        <v>229,50</v>
      </c>
      <c r="M1868" s="6" t="str">
        <f>"1.147,50"</f>
        <v>1.147,50</v>
      </c>
      <c r="N1868" s="5">
        <v>43543</v>
      </c>
      <c r="O1868" s="7"/>
      <c r="P1868" s="6" t="str">
        <f>"1.147,50"</f>
        <v>1.147,50</v>
      </c>
      <c r="Q1868" s="7"/>
      <c r="R1868" s="1"/>
      <c r="S1868" s="1" t="str">
        <f>"3-19/NOS-22-B/18"</f>
        <v>3-19/NOS-22-B/18</v>
      </c>
      <c r="T1868" s="2" t="s">
        <v>33</v>
      </c>
    </row>
    <row r="1869" spans="1:20" ht="25.5" x14ac:dyDescent="0.25">
      <c r="A1869" s="1">
        <v>1865</v>
      </c>
      <c r="B1869" s="1" t="str">
        <f t="shared" si="181"/>
        <v>2018-2855</v>
      </c>
      <c r="C1869" s="2" t="s">
        <v>1080</v>
      </c>
      <c r="D1869" s="1" t="s">
        <v>582</v>
      </c>
      <c r="E1869" s="3" t="str">
        <f>""</f>
        <v/>
      </c>
      <c r="F1869" s="2" t="s">
        <v>27</v>
      </c>
      <c r="G1869" s="2" t="str">
        <f t="shared" si="182"/>
        <v>ELICOM D.O.O., ŠTEFANOVEC 138, 10000 ZAGREB, OIB: 76370234816</v>
      </c>
      <c r="H1869" s="4"/>
      <c r="I1869" s="1" t="s">
        <v>257</v>
      </c>
      <c r="J1869" s="1" t="s">
        <v>492</v>
      </c>
      <c r="K1869" s="6" t="str">
        <f>"1.974,00"</f>
        <v>1.974,00</v>
      </c>
      <c r="L1869" s="6" t="str">
        <f>"493,50"</f>
        <v>493,50</v>
      </c>
      <c r="M1869" s="6" t="str">
        <f>"2.467,50"</f>
        <v>2.467,50</v>
      </c>
      <c r="N1869" s="5">
        <v>43543</v>
      </c>
      <c r="O1869" s="7"/>
      <c r="P1869" s="6" t="str">
        <f>"2.467,50"</f>
        <v>2.467,50</v>
      </c>
      <c r="Q1869" s="7"/>
      <c r="R1869" s="1"/>
      <c r="S1869" s="1" t="str">
        <f>"4-19/NOS-22-B/18"</f>
        <v>4-19/NOS-22-B/18</v>
      </c>
      <c r="T1869" s="2" t="s">
        <v>33</v>
      </c>
    </row>
    <row r="1870" spans="1:20" ht="25.5" x14ac:dyDescent="0.25">
      <c r="A1870" s="1">
        <v>1866</v>
      </c>
      <c r="B1870" s="1" t="str">
        <f t="shared" si="181"/>
        <v>2018-2855</v>
      </c>
      <c r="C1870" s="2" t="s">
        <v>1080</v>
      </c>
      <c r="D1870" s="1" t="s">
        <v>582</v>
      </c>
      <c r="E1870" s="3" t="str">
        <f>""</f>
        <v/>
      </c>
      <c r="F1870" s="2" t="s">
        <v>27</v>
      </c>
      <c r="G1870" s="2" t="str">
        <f t="shared" si="182"/>
        <v>ELICOM D.O.O., ŠTEFANOVEC 138, 10000 ZAGREB, OIB: 76370234816</v>
      </c>
      <c r="H1870" s="4"/>
      <c r="I1870" s="1" t="s">
        <v>71</v>
      </c>
      <c r="J1870" s="1" t="s">
        <v>492</v>
      </c>
      <c r="K1870" s="6" t="str">
        <f>"1.653,00"</f>
        <v>1.653,00</v>
      </c>
      <c r="L1870" s="6" t="str">
        <f>"413,25"</f>
        <v>413,25</v>
      </c>
      <c r="M1870" s="6" t="str">
        <f>"2.066,25"</f>
        <v>2.066,25</v>
      </c>
      <c r="N1870" s="5">
        <v>43543</v>
      </c>
      <c r="O1870" s="7"/>
      <c r="P1870" s="6" t="str">
        <f>"2.066,25"</f>
        <v>2.066,25</v>
      </c>
      <c r="Q1870" s="7"/>
      <c r="R1870" s="1"/>
      <c r="S1870" s="1" t="str">
        <f>"5-19/NOS-22-B/18"</f>
        <v>5-19/NOS-22-B/18</v>
      </c>
      <c r="T1870" s="2" t="s">
        <v>33</v>
      </c>
    </row>
    <row r="1871" spans="1:20" ht="25.5" x14ac:dyDescent="0.25">
      <c r="A1871" s="1">
        <v>1867</v>
      </c>
      <c r="B1871" s="1" t="str">
        <f t="shared" si="181"/>
        <v>2018-2855</v>
      </c>
      <c r="C1871" s="2" t="s">
        <v>1080</v>
      </c>
      <c r="D1871" s="1" t="s">
        <v>582</v>
      </c>
      <c r="E1871" s="3" t="str">
        <f>""</f>
        <v/>
      </c>
      <c r="F1871" s="2" t="s">
        <v>27</v>
      </c>
      <c r="G1871" s="2" t="str">
        <f t="shared" si="182"/>
        <v>ELICOM D.O.O., ŠTEFANOVEC 138, 10000 ZAGREB, OIB: 76370234816</v>
      </c>
      <c r="H1871" s="4"/>
      <c r="I1871" s="1" t="s">
        <v>210</v>
      </c>
      <c r="J1871" s="1" t="s">
        <v>492</v>
      </c>
      <c r="K1871" s="6" t="str">
        <f>"10.219,08"</f>
        <v>10.219,08</v>
      </c>
      <c r="L1871" s="6" t="str">
        <f>"2.554,77"</f>
        <v>2.554,77</v>
      </c>
      <c r="M1871" s="6" t="str">
        <f>"12.773,85"</f>
        <v>12.773,85</v>
      </c>
      <c r="N1871" s="5">
        <v>43543</v>
      </c>
      <c r="O1871" s="7"/>
      <c r="P1871" s="6" t="str">
        <f>"12.773,85"</f>
        <v>12.773,85</v>
      </c>
      <c r="Q1871" s="7"/>
      <c r="R1871" s="1"/>
      <c r="S1871" s="1" t="str">
        <f>"6-19/NOS-22-B/18"</f>
        <v>6-19/NOS-22-B/18</v>
      </c>
      <c r="T1871" s="2" t="s">
        <v>33</v>
      </c>
    </row>
    <row r="1872" spans="1:20" ht="25.5" x14ac:dyDescent="0.25">
      <c r="A1872" s="1">
        <v>1868</v>
      </c>
      <c r="B1872" s="1" t="str">
        <f t="shared" si="181"/>
        <v>2018-2855</v>
      </c>
      <c r="C1872" s="2" t="s">
        <v>1080</v>
      </c>
      <c r="D1872" s="1" t="s">
        <v>582</v>
      </c>
      <c r="E1872" s="3" t="str">
        <f>""</f>
        <v/>
      </c>
      <c r="F1872" s="2" t="s">
        <v>27</v>
      </c>
      <c r="G1872" s="2" t="str">
        <f t="shared" si="182"/>
        <v>ELICOM D.O.O., ŠTEFANOVEC 138, 10000 ZAGREB, OIB: 76370234816</v>
      </c>
      <c r="H1872" s="4"/>
      <c r="I1872" s="1" t="s">
        <v>257</v>
      </c>
      <c r="J1872" s="1" t="s">
        <v>492</v>
      </c>
      <c r="K1872" s="6" t="str">
        <f>"4.251,20"</f>
        <v>4.251,20</v>
      </c>
      <c r="L1872" s="6" t="str">
        <f>"1.062,80"</f>
        <v>1.062,80</v>
      </c>
      <c r="M1872" s="6" t="str">
        <f>"5.314,00"</f>
        <v>5.314,00</v>
      </c>
      <c r="N1872" s="5">
        <v>43543</v>
      </c>
      <c r="O1872" s="7"/>
      <c r="P1872" s="6" t="str">
        <f>"5.314,00"</f>
        <v>5.314,00</v>
      </c>
      <c r="Q1872" s="7"/>
      <c r="R1872" s="1"/>
      <c r="S1872" s="1" t="str">
        <f>"7-19/NOS-22-B/18"</f>
        <v>7-19/NOS-22-B/18</v>
      </c>
      <c r="T1872" s="2" t="s">
        <v>33</v>
      </c>
    </row>
    <row r="1873" spans="1:20" ht="25.5" x14ac:dyDescent="0.25">
      <c r="A1873" s="1">
        <v>1869</v>
      </c>
      <c r="B1873" s="1" t="str">
        <f t="shared" si="181"/>
        <v>2018-2855</v>
      </c>
      <c r="C1873" s="2" t="s">
        <v>1080</v>
      </c>
      <c r="D1873" s="1" t="s">
        <v>582</v>
      </c>
      <c r="E1873" s="3" t="str">
        <f>""</f>
        <v/>
      </c>
      <c r="F1873" s="2" t="s">
        <v>27</v>
      </c>
      <c r="G1873" s="2" t="str">
        <f t="shared" si="182"/>
        <v>ELICOM D.O.O., ŠTEFANOVEC 138, 10000 ZAGREB, OIB: 76370234816</v>
      </c>
      <c r="H1873" s="4"/>
      <c r="I1873" s="1" t="s">
        <v>204</v>
      </c>
      <c r="J1873" s="1" t="s">
        <v>492</v>
      </c>
      <c r="K1873" s="6" t="str">
        <f>"1.020,00"</f>
        <v>1.020,00</v>
      </c>
      <c r="L1873" s="6" t="str">
        <f>"255,00"</f>
        <v>255,00</v>
      </c>
      <c r="M1873" s="6" t="str">
        <f>"1.275,00"</f>
        <v>1.275,00</v>
      </c>
      <c r="N1873" s="5">
        <v>43543</v>
      </c>
      <c r="O1873" s="7"/>
      <c r="P1873" s="6" t="str">
        <f>"1.275,00"</f>
        <v>1.275,00</v>
      </c>
      <c r="Q1873" s="7"/>
      <c r="R1873" s="1"/>
      <c r="S1873" s="1" t="str">
        <f>"8-19/NOS-22-B/18"</f>
        <v>8-19/NOS-22-B/18</v>
      </c>
      <c r="T1873" s="2" t="s">
        <v>33</v>
      </c>
    </row>
    <row r="1874" spans="1:20" ht="25.5" x14ac:dyDescent="0.25">
      <c r="A1874" s="1">
        <v>1870</v>
      </c>
      <c r="B1874" s="1" t="str">
        <f t="shared" si="181"/>
        <v>2018-2855</v>
      </c>
      <c r="C1874" s="2" t="s">
        <v>1080</v>
      </c>
      <c r="D1874" s="1" t="s">
        <v>582</v>
      </c>
      <c r="E1874" s="3" t="str">
        <f>""</f>
        <v/>
      </c>
      <c r="F1874" s="2" t="s">
        <v>27</v>
      </c>
      <c r="G1874" s="2" t="str">
        <f t="shared" si="182"/>
        <v>ELICOM D.O.O., ŠTEFANOVEC 138, 10000 ZAGREB, OIB: 76370234816</v>
      </c>
      <c r="H1874" s="4"/>
      <c r="I1874" s="1" t="s">
        <v>280</v>
      </c>
      <c r="J1874" s="1" t="s">
        <v>469</v>
      </c>
      <c r="K1874" s="6" t="str">
        <f>"43.782,00"</f>
        <v>43.782,00</v>
      </c>
      <c r="L1874" s="6" t="str">
        <f>"10.945,50"</f>
        <v>10.945,50</v>
      </c>
      <c r="M1874" s="6" t="str">
        <f>"54.727,50"</f>
        <v>54.727,50</v>
      </c>
      <c r="N1874" s="5">
        <v>43655</v>
      </c>
      <c r="O1874" s="7"/>
      <c r="P1874" s="6" t="str">
        <f>"54.727,50"</f>
        <v>54.727,50</v>
      </c>
      <c r="Q1874" s="7"/>
      <c r="R1874" s="1"/>
      <c r="S1874" s="1" t="str">
        <f>"9-19/NOS-22-B/18"</f>
        <v>9-19/NOS-22-B/18</v>
      </c>
      <c r="T1874" s="2" t="s">
        <v>33</v>
      </c>
    </row>
    <row r="1875" spans="1:20" ht="25.5" x14ac:dyDescent="0.25">
      <c r="A1875" s="1">
        <v>1871</v>
      </c>
      <c r="B1875" s="1" t="str">
        <f t="shared" si="181"/>
        <v>2018-2855</v>
      </c>
      <c r="C1875" s="2" t="s">
        <v>1080</v>
      </c>
      <c r="D1875" s="1" t="s">
        <v>582</v>
      </c>
      <c r="E1875" s="3" t="str">
        <f>""</f>
        <v/>
      </c>
      <c r="F1875" s="2" t="s">
        <v>27</v>
      </c>
      <c r="G1875" s="2" t="str">
        <f t="shared" si="182"/>
        <v>ELICOM D.O.O., ŠTEFANOVEC 138, 10000 ZAGREB, OIB: 76370234816</v>
      </c>
      <c r="H1875" s="4"/>
      <c r="I1875" s="1" t="s">
        <v>351</v>
      </c>
      <c r="J1875" s="1" t="s">
        <v>1082</v>
      </c>
      <c r="K1875" s="6" t="str">
        <f>"20.858,00"</f>
        <v>20.858,00</v>
      </c>
      <c r="L1875" s="6" t="str">
        <f>"5.214,50"</f>
        <v>5.214,50</v>
      </c>
      <c r="M1875" s="6" t="str">
        <f>"26.072,50"</f>
        <v>26.072,50</v>
      </c>
      <c r="N1875" s="5">
        <v>43615</v>
      </c>
      <c r="O1875" s="7"/>
      <c r="P1875" s="6" t="str">
        <f>"26.072,50"</f>
        <v>26.072,50</v>
      </c>
      <c r="Q1875" s="7"/>
      <c r="R1875" s="1"/>
      <c r="S1875" s="1" t="str">
        <f>"10-19/NOS-22-B/18"</f>
        <v>10-19/NOS-22-B/18</v>
      </c>
      <c r="T1875" s="2" t="s">
        <v>33</v>
      </c>
    </row>
    <row r="1876" spans="1:20" ht="25.5" x14ac:dyDescent="0.25">
      <c r="A1876" s="1">
        <v>1872</v>
      </c>
      <c r="B1876" s="1" t="str">
        <f t="shared" si="181"/>
        <v>2018-2855</v>
      </c>
      <c r="C1876" s="2" t="s">
        <v>1080</v>
      </c>
      <c r="D1876" s="1" t="s">
        <v>582</v>
      </c>
      <c r="E1876" s="3" t="str">
        <f>""</f>
        <v/>
      </c>
      <c r="F1876" s="2" t="s">
        <v>27</v>
      </c>
      <c r="G1876" s="2" t="str">
        <f t="shared" si="182"/>
        <v>ELICOM D.O.O., ŠTEFANOVEC 138, 10000 ZAGREB, OIB: 76370234816</v>
      </c>
      <c r="H1876" s="4"/>
      <c r="I1876" s="1" t="s">
        <v>334</v>
      </c>
      <c r="J1876" s="1" t="s">
        <v>492</v>
      </c>
      <c r="K1876" s="6" t="str">
        <f>"3.252,75"</f>
        <v>3.252,75</v>
      </c>
      <c r="L1876" s="6" t="str">
        <f>"813,19"</f>
        <v>813,19</v>
      </c>
      <c r="M1876" s="6" t="str">
        <f>"4.065,94"</f>
        <v>4.065,94</v>
      </c>
      <c r="N1876" s="5">
        <v>43607</v>
      </c>
      <c r="O1876" s="7"/>
      <c r="P1876" s="6" t="str">
        <f>"4.065,94"</f>
        <v>4.065,94</v>
      </c>
      <c r="Q1876" s="7"/>
      <c r="R1876" s="1"/>
      <c r="S1876" s="1" t="str">
        <f>"12-19/NOS-22-B/18"</f>
        <v>12-19/NOS-22-B/18</v>
      </c>
      <c r="T1876" s="2" t="s">
        <v>33</v>
      </c>
    </row>
    <row r="1877" spans="1:20" ht="25.5" x14ac:dyDescent="0.25">
      <c r="A1877" s="1">
        <v>1873</v>
      </c>
      <c r="B1877" s="1" t="str">
        <f t="shared" si="181"/>
        <v>2018-2855</v>
      </c>
      <c r="C1877" s="2" t="s">
        <v>1080</v>
      </c>
      <c r="D1877" s="1" t="s">
        <v>582</v>
      </c>
      <c r="E1877" s="3" t="str">
        <f>""</f>
        <v/>
      </c>
      <c r="F1877" s="2" t="s">
        <v>27</v>
      </c>
      <c r="G1877" s="2" t="str">
        <f t="shared" si="182"/>
        <v>ELICOM D.O.O., ŠTEFANOVEC 138, 10000 ZAGREB, OIB: 76370234816</v>
      </c>
      <c r="H1877" s="4"/>
      <c r="I1877" s="1" t="s">
        <v>32</v>
      </c>
      <c r="J1877" s="1" t="s">
        <v>121</v>
      </c>
      <c r="K1877" s="6" t="str">
        <f>"2.099,41"</f>
        <v>2.099,41</v>
      </c>
      <c r="L1877" s="6" t="str">
        <f>"524,85"</f>
        <v>524,85</v>
      </c>
      <c r="M1877" s="6" t="str">
        <f>"2.624,26"</f>
        <v>2.624,26</v>
      </c>
      <c r="N1877" s="5">
        <v>43615</v>
      </c>
      <c r="O1877" s="7"/>
      <c r="P1877" s="6" t="str">
        <f>"2.624,26"</f>
        <v>2.624,26</v>
      </c>
      <c r="Q1877" s="7"/>
      <c r="R1877" s="1"/>
      <c r="S1877" s="1" t="str">
        <f>"13-19/NOS-22-B/18"</f>
        <v>13-19/NOS-22-B/18</v>
      </c>
      <c r="T1877" s="2" t="s">
        <v>33</v>
      </c>
    </row>
    <row r="1878" spans="1:20" ht="25.5" x14ac:dyDescent="0.25">
      <c r="A1878" s="1">
        <v>1874</v>
      </c>
      <c r="B1878" s="1" t="str">
        <f t="shared" si="181"/>
        <v>2018-2855</v>
      </c>
      <c r="C1878" s="2" t="s">
        <v>1080</v>
      </c>
      <c r="D1878" s="1" t="s">
        <v>582</v>
      </c>
      <c r="E1878" s="3" t="str">
        <f>""</f>
        <v/>
      </c>
      <c r="F1878" s="2" t="s">
        <v>27</v>
      </c>
      <c r="G1878" s="2" t="str">
        <f t="shared" si="182"/>
        <v>ELICOM D.O.O., ŠTEFANOVEC 138, 10000 ZAGREB, OIB: 76370234816</v>
      </c>
      <c r="H1878" s="4"/>
      <c r="I1878" s="1" t="s">
        <v>46</v>
      </c>
      <c r="J1878" s="1" t="s">
        <v>47</v>
      </c>
      <c r="K1878" s="6" t="str">
        <f>"5.073,00"</f>
        <v>5.073,00</v>
      </c>
      <c r="L1878" s="6" t="str">
        <f>"0,00"</f>
        <v>0,00</v>
      </c>
      <c r="M1878" s="6" t="str">
        <f>"0,00"</f>
        <v>0,00</v>
      </c>
      <c r="N1878" s="1" t="s">
        <v>117</v>
      </c>
      <c r="O1878" s="7"/>
      <c r="P1878" s="6" t="str">
        <f>"0,00"</f>
        <v>0,00</v>
      </c>
      <c r="Q1878" s="7"/>
      <c r="R1878" s="1"/>
      <c r="S1878" s="1" t="str">
        <f>"14-19/NOS-22-B/18"</f>
        <v>14-19/NOS-22-B/18</v>
      </c>
      <c r="T1878" s="2" t="s">
        <v>33</v>
      </c>
    </row>
    <row r="1879" spans="1:20" ht="25.5" x14ac:dyDescent="0.25">
      <c r="A1879" s="1">
        <v>1875</v>
      </c>
      <c r="B1879" s="1" t="str">
        <f t="shared" si="181"/>
        <v>2018-2855</v>
      </c>
      <c r="C1879" s="2" t="s">
        <v>1080</v>
      </c>
      <c r="D1879" s="1" t="s">
        <v>582</v>
      </c>
      <c r="E1879" s="3" t="str">
        <f>""</f>
        <v/>
      </c>
      <c r="F1879" s="2" t="s">
        <v>27</v>
      </c>
      <c r="G1879" s="2" t="str">
        <f t="shared" si="182"/>
        <v>ELICOM D.O.O., ŠTEFANOVEC 138, 10000 ZAGREB, OIB: 76370234816</v>
      </c>
      <c r="H1879" s="4"/>
      <c r="I1879" s="1" t="s">
        <v>46</v>
      </c>
      <c r="J1879" s="1" t="s">
        <v>242</v>
      </c>
      <c r="K1879" s="6" t="str">
        <f>"10.237,00"</f>
        <v>10.237,00</v>
      </c>
      <c r="L1879" s="6" t="str">
        <f>"2.559,25"</f>
        <v>2.559,25</v>
      </c>
      <c r="M1879" s="6" t="str">
        <f>"12.796,25"</f>
        <v>12.796,25</v>
      </c>
      <c r="N1879" s="5">
        <v>43693</v>
      </c>
      <c r="O1879" s="7"/>
      <c r="P1879" s="6" t="str">
        <f>"12.796,25"</f>
        <v>12.796,25</v>
      </c>
      <c r="Q1879" s="7"/>
      <c r="R1879" s="1"/>
      <c r="S1879" s="1" t="str">
        <f>"15-19/NOS-22-B/18"</f>
        <v>15-19/NOS-22-B/18</v>
      </c>
      <c r="T1879" s="2" t="s">
        <v>33</v>
      </c>
    </row>
    <row r="1880" spans="1:20" ht="38.25" x14ac:dyDescent="0.25">
      <c r="A1880" s="1">
        <v>1876</v>
      </c>
      <c r="B1880" s="1" t="str">
        <f t="shared" ref="B1880:B1888" si="183">"2018-2792"</f>
        <v>2018-2792</v>
      </c>
      <c r="C1880" s="2" t="s">
        <v>1084</v>
      </c>
      <c r="D1880" s="1" t="s">
        <v>483</v>
      </c>
      <c r="E1880" s="3" t="str">
        <f>"2018/S 0F2-0012486"</f>
        <v>2018/S 0F2-0012486</v>
      </c>
      <c r="F1880" s="2" t="s">
        <v>23</v>
      </c>
      <c r="G1880" s="2" t="str">
        <f>CONCATENATE("GRADATIN D.O.O.,"," LIVADARSKI PUT 19,"," 10360 SESVETE,"," OIB: 79147056526")</f>
        <v>GRADATIN D.O.O., LIVADARSKI PUT 19, 10360 SESVETE, OIB: 79147056526</v>
      </c>
      <c r="H1880" s="4"/>
      <c r="I1880" s="1" t="s">
        <v>561</v>
      </c>
      <c r="J1880" s="1" t="s">
        <v>1083</v>
      </c>
      <c r="K1880" s="6" t="str">
        <f>"500.000,00"</f>
        <v>500.000,00</v>
      </c>
      <c r="L1880" s="6" t="str">
        <f>"125.000,00"</f>
        <v>125.000,00</v>
      </c>
      <c r="M1880" s="6" t="str">
        <f>"625.000,00"</f>
        <v>625.000,00</v>
      </c>
      <c r="N1880" s="7"/>
      <c r="O1880" s="7"/>
      <c r="P1880" s="6" t="str">
        <f>""</f>
        <v/>
      </c>
      <c r="Q1880" s="7"/>
      <c r="R1880" s="1"/>
      <c r="S1880" s="1" t="str">
        <f>"NOS-23-A/18"</f>
        <v>NOS-23-A/18</v>
      </c>
      <c r="T1880" s="2" t="s">
        <v>33</v>
      </c>
    </row>
    <row r="1881" spans="1:20" ht="25.5" x14ac:dyDescent="0.25">
      <c r="A1881" s="1">
        <v>1877</v>
      </c>
      <c r="B1881" s="1" t="str">
        <f t="shared" si="183"/>
        <v>2018-2792</v>
      </c>
      <c r="C1881" s="2" t="s">
        <v>1084</v>
      </c>
      <c r="D1881" s="1" t="s">
        <v>483</v>
      </c>
      <c r="E1881" s="3" t="str">
        <f>""</f>
        <v/>
      </c>
      <c r="F1881" s="2" t="s">
        <v>27</v>
      </c>
      <c r="G1881" s="2" t="str">
        <f>CONCATENATE("GRADATIN D.O.O.,"," LIVADARSKI PUT 19,"," 10360 SESVETE,"," OIB: 79147056526")</f>
        <v>GRADATIN D.O.O., LIVADARSKI PUT 19, 10360 SESVETE, OIB: 79147056526</v>
      </c>
      <c r="H1881" s="4"/>
      <c r="I1881" s="1" t="s">
        <v>297</v>
      </c>
      <c r="J1881" s="1" t="s">
        <v>469</v>
      </c>
      <c r="K1881" s="6" t="str">
        <f>"15.000,00"</f>
        <v>15.000,00</v>
      </c>
      <c r="L1881" s="6" t="str">
        <f>"3.750,00"</f>
        <v>3.750,00</v>
      </c>
      <c r="M1881" s="6" t="str">
        <f>"18.750,00"</f>
        <v>18.750,00</v>
      </c>
      <c r="N1881" s="5">
        <v>43580</v>
      </c>
      <c r="O1881" s="7"/>
      <c r="P1881" s="6" t="str">
        <f>"18.750,00"</f>
        <v>18.750,00</v>
      </c>
      <c r="Q1881" s="7"/>
      <c r="R1881" s="1"/>
      <c r="S1881" s="1" t="str">
        <f>"1-19/NOS-23-A/18"</f>
        <v>1-19/NOS-23-A/18</v>
      </c>
      <c r="T1881" s="2" t="s">
        <v>33</v>
      </c>
    </row>
    <row r="1882" spans="1:20" ht="25.5" x14ac:dyDescent="0.25">
      <c r="A1882" s="1">
        <v>1878</v>
      </c>
      <c r="B1882" s="1" t="str">
        <f t="shared" si="183"/>
        <v>2018-2792</v>
      </c>
      <c r="C1882" s="2" t="s">
        <v>1084</v>
      </c>
      <c r="D1882" s="1" t="s">
        <v>483</v>
      </c>
      <c r="E1882" s="3" t="str">
        <f>""</f>
        <v/>
      </c>
      <c r="F1882" s="2" t="s">
        <v>27</v>
      </c>
      <c r="G1882" s="2" t="str">
        <f>CONCATENATE("GRADATIN D.O.O.,"," LIVADARSKI PUT 19,"," 10360 SESVETE,"," OIB: 79147056526")</f>
        <v>GRADATIN D.O.O., LIVADARSKI PUT 19, 10360 SESVETE, OIB: 79147056526</v>
      </c>
      <c r="H1882" s="4"/>
      <c r="I1882" s="1" t="s">
        <v>424</v>
      </c>
      <c r="J1882" s="1" t="s">
        <v>469</v>
      </c>
      <c r="K1882" s="6" t="str">
        <f>"292.590,00"</f>
        <v>292.590,00</v>
      </c>
      <c r="L1882" s="6" t="str">
        <f>"73.147,50"</f>
        <v>73.147,50</v>
      </c>
      <c r="M1882" s="6" t="str">
        <f>"365.737,50"</f>
        <v>365.737,50</v>
      </c>
      <c r="N1882" s="5">
        <v>43670</v>
      </c>
      <c r="O1882" s="7"/>
      <c r="P1882" s="6" t="str">
        <f>"365.737,50"</f>
        <v>365.737,50</v>
      </c>
      <c r="Q1882" s="7"/>
      <c r="R1882" s="1"/>
      <c r="S1882" s="1" t="str">
        <f>"2-19/NOS-23-A/18"</f>
        <v>2-19/NOS-23-A/18</v>
      </c>
      <c r="T1882" s="2" t="s">
        <v>33</v>
      </c>
    </row>
    <row r="1883" spans="1:20" ht="38.25" x14ac:dyDescent="0.25">
      <c r="A1883" s="1">
        <v>1879</v>
      </c>
      <c r="B1883" s="1" t="str">
        <f t="shared" si="183"/>
        <v>2018-2792</v>
      </c>
      <c r="C1883" s="2" t="s">
        <v>1084</v>
      </c>
      <c r="D1883" s="1" t="s">
        <v>483</v>
      </c>
      <c r="E1883" s="3" t="str">
        <f>"2018/S 0F2-0012486"</f>
        <v>2018/S 0F2-0012486</v>
      </c>
      <c r="F1883" s="2" t="s">
        <v>23</v>
      </c>
      <c r="G1883" s="2" t="str">
        <f>CONCATENATE("GRADATIN D.O.O.,"," LIVADARSKI PUT 19,"," 10360 SESVETE,"," OIB: 79147056526")</f>
        <v>GRADATIN D.O.O., LIVADARSKI PUT 19, 10360 SESVETE, OIB: 79147056526</v>
      </c>
      <c r="H1883" s="4"/>
      <c r="I1883" s="1" t="s">
        <v>561</v>
      </c>
      <c r="J1883" s="1" t="s">
        <v>1083</v>
      </c>
      <c r="K1883" s="6" t="str">
        <f>"400.000,00"</f>
        <v>400.000,00</v>
      </c>
      <c r="L1883" s="6" t="str">
        <f>"100.000,00"</f>
        <v>100.000,00</v>
      </c>
      <c r="M1883" s="6" t="str">
        <f>"500.000,00"</f>
        <v>500.000,00</v>
      </c>
      <c r="N1883" s="7"/>
      <c r="O1883" s="7"/>
      <c r="P1883" s="6" t="str">
        <f>""</f>
        <v/>
      </c>
      <c r="Q1883" s="7"/>
      <c r="R1883" s="1"/>
      <c r="S1883" s="1" t="str">
        <f>"NOS-23-C/18"</f>
        <v>NOS-23-C/18</v>
      </c>
      <c r="T1883" s="2" t="s">
        <v>33</v>
      </c>
    </row>
    <row r="1884" spans="1:20" ht="25.5" x14ac:dyDescent="0.25">
      <c r="A1884" s="1">
        <v>1880</v>
      </c>
      <c r="B1884" s="1" t="str">
        <f t="shared" si="183"/>
        <v>2018-2792</v>
      </c>
      <c r="C1884" s="2" t="s">
        <v>1084</v>
      </c>
      <c r="D1884" s="1" t="s">
        <v>483</v>
      </c>
      <c r="E1884" s="3" t="str">
        <f>""</f>
        <v/>
      </c>
      <c r="F1884" s="2" t="s">
        <v>27</v>
      </c>
      <c r="G1884" s="2" t="str">
        <f>CONCATENATE("GRADATIN D.O.O.,"," LIVADARSKI PUT 19,"," 10360 SESVETE,"," OIB: 79147056526")</f>
        <v>GRADATIN D.O.O., LIVADARSKI PUT 19, 10360 SESVETE, OIB: 79147056526</v>
      </c>
      <c r="H1884" s="4"/>
      <c r="I1884" s="1" t="s">
        <v>424</v>
      </c>
      <c r="J1884" s="1" t="s">
        <v>469</v>
      </c>
      <c r="K1884" s="6" t="str">
        <f>"24.000,00"</f>
        <v>24.000,00</v>
      </c>
      <c r="L1884" s="6" t="str">
        <f>"6.000,00"</f>
        <v>6.000,00</v>
      </c>
      <c r="M1884" s="6" t="str">
        <f>"30.000,00"</f>
        <v>30.000,00</v>
      </c>
      <c r="N1884" s="5">
        <v>43643</v>
      </c>
      <c r="O1884" s="7"/>
      <c r="P1884" s="6" t="str">
        <f>"30.000,00"</f>
        <v>30.000,00</v>
      </c>
      <c r="Q1884" s="7"/>
      <c r="R1884" s="1"/>
      <c r="S1884" s="1" t="str">
        <f>"1-19/NOS-23-C/18"</f>
        <v>1-19/NOS-23-C/18</v>
      </c>
      <c r="T1884" s="2" t="s">
        <v>33</v>
      </c>
    </row>
    <row r="1885" spans="1:20" ht="38.25" x14ac:dyDescent="0.25">
      <c r="A1885" s="1">
        <v>1881</v>
      </c>
      <c r="B1885" s="1" t="str">
        <f t="shared" si="183"/>
        <v>2018-2792</v>
      </c>
      <c r="C1885" s="2" t="s">
        <v>1084</v>
      </c>
      <c r="D1885" s="1" t="s">
        <v>483</v>
      </c>
      <c r="E1885" s="3" t="str">
        <f>"2018/S 0F2-0012486"</f>
        <v>2018/S 0F2-0012486</v>
      </c>
      <c r="F1885" s="2" t="s">
        <v>23</v>
      </c>
      <c r="G1885" s="2" t="str">
        <f>CONCATENATE("KOVA D.O.O.,"," BRAĆE RADIĆA 122B,"," 10410 VELIKA GORICA,"," OIB: 31948370674")</f>
        <v>KOVA D.O.O., BRAĆE RADIĆA 122B, 10410 VELIKA GORICA, OIB: 31948370674</v>
      </c>
      <c r="H1885" s="4"/>
      <c r="I1885" s="1" t="s">
        <v>561</v>
      </c>
      <c r="J1885" s="1" t="s">
        <v>1083</v>
      </c>
      <c r="K1885" s="6" t="str">
        <f>"100.000,00"</f>
        <v>100.000,00</v>
      </c>
      <c r="L1885" s="6" t="str">
        <f>"25.000,00"</f>
        <v>25.000,00</v>
      </c>
      <c r="M1885" s="6" t="str">
        <f>"125.000,00"</f>
        <v>125.000,00</v>
      </c>
      <c r="N1885" s="7"/>
      <c r="O1885" s="7"/>
      <c r="P1885" s="6" t="str">
        <f>""</f>
        <v/>
      </c>
      <c r="Q1885" s="7"/>
      <c r="R1885" s="1"/>
      <c r="S1885" s="1" t="str">
        <f>"NOS-23-D/18"</f>
        <v>NOS-23-D/18</v>
      </c>
      <c r="T1885" s="2" t="s">
        <v>33</v>
      </c>
    </row>
    <row r="1886" spans="1:20" ht="38.25" x14ac:dyDescent="0.25">
      <c r="A1886" s="1">
        <v>1882</v>
      </c>
      <c r="B1886" s="1" t="str">
        <f t="shared" si="183"/>
        <v>2018-2792</v>
      </c>
      <c r="C1886" s="2" t="s">
        <v>1084</v>
      </c>
      <c r="D1886" s="1" t="s">
        <v>483</v>
      </c>
      <c r="E1886" s="3" t="str">
        <f>"2018/S 0F2-0012486"</f>
        <v>2018/S 0F2-0012486</v>
      </c>
      <c r="F1886" s="2" t="s">
        <v>23</v>
      </c>
      <c r="G1886" s="2" t="str">
        <f>CONCATENATE("INDUSTROOPREMA D.O.O.,"," CMP OBRTNIČKA 1,"," 10000 ZAGREB,"," OIB: 01291306683")</f>
        <v>INDUSTROOPREMA D.O.O., CMP OBRTNIČKA 1, 10000 ZAGREB, OIB: 01291306683</v>
      </c>
      <c r="H1886" s="4"/>
      <c r="I1886" s="1" t="s">
        <v>561</v>
      </c>
      <c r="J1886" s="1" t="s">
        <v>1083</v>
      </c>
      <c r="K1886" s="6" t="str">
        <f>"40.000,00"</f>
        <v>40.000,00</v>
      </c>
      <c r="L1886" s="6" t="str">
        <f>"10.000,00"</f>
        <v>10.000,00</v>
      </c>
      <c r="M1886" s="6" t="str">
        <f>"50.000,00"</f>
        <v>50.000,00</v>
      </c>
      <c r="N1886" s="7"/>
      <c r="O1886" s="7"/>
      <c r="P1886" s="6" t="str">
        <f>""</f>
        <v/>
      </c>
      <c r="Q1886" s="7"/>
      <c r="R1886" s="1"/>
      <c r="S1886" s="1" t="str">
        <f>"NOS-23-E/18"</f>
        <v>NOS-23-E/18</v>
      </c>
      <c r="T1886" s="2" t="s">
        <v>33</v>
      </c>
    </row>
    <row r="1887" spans="1:20" ht="38.25" x14ac:dyDescent="0.25">
      <c r="A1887" s="1">
        <v>1883</v>
      </c>
      <c r="B1887" s="1" t="str">
        <f t="shared" si="183"/>
        <v>2018-2792</v>
      </c>
      <c r="C1887" s="2" t="s">
        <v>1084</v>
      </c>
      <c r="D1887" s="1" t="s">
        <v>483</v>
      </c>
      <c r="E1887" s="3" t="str">
        <f>"2018/S 0F2-0012486"</f>
        <v>2018/S 0F2-0012486</v>
      </c>
      <c r="F1887" s="2" t="s">
        <v>23</v>
      </c>
      <c r="G1887" s="2" t="str">
        <f>CONCATENATE("S.T.P. D.O.O.,"," LUČKI ODVOJAK 1,"," 10250 LUČKO,"," OIB: 41817103783")</f>
        <v>S.T.P. D.O.O., LUČKI ODVOJAK 1, 10250 LUČKO, OIB: 41817103783</v>
      </c>
      <c r="H1887" s="4"/>
      <c r="I1887" s="1" t="s">
        <v>561</v>
      </c>
      <c r="J1887" s="1" t="s">
        <v>1083</v>
      </c>
      <c r="K1887" s="6" t="str">
        <f>"40.000,00"</f>
        <v>40.000,00</v>
      </c>
      <c r="L1887" s="6" t="str">
        <f>"10.000,00"</f>
        <v>10.000,00</v>
      </c>
      <c r="M1887" s="6" t="str">
        <f>"50.000,00"</f>
        <v>50.000,00</v>
      </c>
      <c r="N1887" s="7"/>
      <c r="O1887" s="7"/>
      <c r="P1887" s="6" t="str">
        <f>""</f>
        <v/>
      </c>
      <c r="Q1887" s="7"/>
      <c r="R1887" s="1"/>
      <c r="S1887" s="1" t="str">
        <f>"NOS-23-F/18"</f>
        <v>NOS-23-F/18</v>
      </c>
      <c r="T1887" s="2" t="s">
        <v>33</v>
      </c>
    </row>
    <row r="1888" spans="1:20" ht="38.25" x14ac:dyDescent="0.25">
      <c r="A1888" s="1">
        <v>1884</v>
      </c>
      <c r="B1888" s="1" t="str">
        <f t="shared" si="183"/>
        <v>2018-2792</v>
      </c>
      <c r="C1888" s="2" t="s">
        <v>1084</v>
      </c>
      <c r="D1888" s="1" t="s">
        <v>483</v>
      </c>
      <c r="E1888" s="3" t="str">
        <f>"2018/S 0F2-0012486"</f>
        <v>2018/S 0F2-0012486</v>
      </c>
      <c r="F1888" s="2" t="s">
        <v>23</v>
      </c>
      <c r="G1888" s="2" t="str">
        <f>CONCATENATE("TEHNIX D.O.O.,"," BRAĆE RADIĆA bb,"," 40320 DONJI KRALJEVEC,"," OIB: 78013846555")</f>
        <v>TEHNIX D.O.O., BRAĆE RADIĆA bb, 40320 DONJI KRALJEVEC, OIB: 78013846555</v>
      </c>
      <c r="H1888" s="4"/>
      <c r="I1888" s="1" t="s">
        <v>561</v>
      </c>
      <c r="J1888" s="1" t="s">
        <v>1083</v>
      </c>
      <c r="K1888" s="6" t="str">
        <f>"500.000,00"</f>
        <v>500.000,00</v>
      </c>
      <c r="L1888" s="6" t="str">
        <f>"125.000,00"</f>
        <v>125.000,00</v>
      </c>
      <c r="M1888" s="6" t="str">
        <f>"625.000,00"</f>
        <v>625.000,00</v>
      </c>
      <c r="N1888" s="7"/>
      <c r="O1888" s="7"/>
      <c r="P1888" s="6" t="str">
        <f>""</f>
        <v/>
      </c>
      <c r="Q1888" s="7"/>
      <c r="R1888" s="1"/>
      <c r="S1888" s="1" t="str">
        <f>"NOS-23-H/18"</f>
        <v>NOS-23-H/18</v>
      </c>
      <c r="T1888" s="2" t="s">
        <v>33</v>
      </c>
    </row>
    <row r="1889" spans="1:20" ht="38.25" x14ac:dyDescent="0.25">
      <c r="A1889" s="1">
        <v>1885</v>
      </c>
      <c r="B1889" s="1" t="str">
        <f>"2018-2840"</f>
        <v>2018-2840</v>
      </c>
      <c r="C1889" s="2" t="s">
        <v>1085</v>
      </c>
      <c r="D1889" s="1" t="s">
        <v>537</v>
      </c>
      <c r="E1889" s="3" t="str">
        <f>"2018/S 0F2-0013407"</f>
        <v>2018/S 0F2-0013407</v>
      </c>
      <c r="F1889" s="2" t="s">
        <v>23</v>
      </c>
      <c r="G1889" s="2" t="str">
        <f>CONCATENATE("CROATIA OSIGURANJE D.D.,"," MIRAMARSKA 22,"," 10000 ZAGREB,"," OIB: 26187994862")</f>
        <v>CROATIA OSIGURANJE D.D., MIRAMARSKA 22, 10000 ZAGREB, OIB: 26187994862</v>
      </c>
      <c r="H1889" s="4"/>
      <c r="I1889" s="1" t="s">
        <v>315</v>
      </c>
      <c r="J1889" s="1" t="s">
        <v>1086</v>
      </c>
      <c r="K1889" s="6" t="str">
        <f>"600.000,00"</f>
        <v>600.000,00</v>
      </c>
      <c r="L1889" s="6" t="str">
        <f>"150.000,00"</f>
        <v>150.000,00</v>
      </c>
      <c r="M1889" s="6" t="str">
        <f>"750.000,00"</f>
        <v>750.000,00</v>
      </c>
      <c r="N1889" s="7"/>
      <c r="O1889" s="7"/>
      <c r="P1889" s="6" t="str">
        <f>""</f>
        <v/>
      </c>
      <c r="Q1889" s="7"/>
      <c r="R1889" s="1"/>
      <c r="S1889" s="1" t="str">
        <f>"NOS-24/18"</f>
        <v>NOS-24/18</v>
      </c>
      <c r="T1889" s="2" t="s">
        <v>60</v>
      </c>
    </row>
    <row r="1890" spans="1:20" ht="25.5" x14ac:dyDescent="0.25">
      <c r="A1890" s="1">
        <v>1886</v>
      </c>
      <c r="B1890" s="1" t="str">
        <f>"2018-2840"</f>
        <v>2018-2840</v>
      </c>
      <c r="C1890" s="2" t="s">
        <v>1085</v>
      </c>
      <c r="D1890" s="4"/>
      <c r="E1890" s="3" t="str">
        <f>""</f>
        <v/>
      </c>
      <c r="F1890" s="2" t="s">
        <v>27</v>
      </c>
      <c r="G1890" s="2" t="str">
        <f>CONCATENATE("CROATIA OSIGURANJE D.D.,"," MIRAMARSKA 22,"," 10000 ZAGREB,"," OIB: 26187994862")</f>
        <v>CROATIA OSIGURANJE D.D., MIRAMARSKA 22, 10000 ZAGREB, OIB: 26187994862</v>
      </c>
      <c r="H1890" s="4"/>
      <c r="I1890" s="1" t="s">
        <v>569</v>
      </c>
      <c r="J1890" s="1" t="s">
        <v>386</v>
      </c>
      <c r="K1890" s="6" t="str">
        <f>"252.984,00"</f>
        <v>252.984,00</v>
      </c>
      <c r="L1890" s="6" t="str">
        <f>"63.246,00"</f>
        <v>63.246,00</v>
      </c>
      <c r="M1890" s="6" t="str">
        <f>"316.230,00"</f>
        <v>316.230,00</v>
      </c>
      <c r="N1890" s="5">
        <v>43420</v>
      </c>
      <c r="O1890" s="7"/>
      <c r="P1890" s="6" t="str">
        <f>"316.230,00"</f>
        <v>316.230,00</v>
      </c>
      <c r="Q1890" s="7"/>
      <c r="R1890" s="1"/>
      <c r="S1890" s="1" t="str">
        <f>"1-18/NOS-24/18"</f>
        <v>1-18/NOS-24/18</v>
      </c>
      <c r="T1890" s="2" t="s">
        <v>60</v>
      </c>
    </row>
    <row r="1891" spans="1:20" ht="25.5" x14ac:dyDescent="0.25">
      <c r="A1891" s="1">
        <v>1887</v>
      </c>
      <c r="B1891" s="1" t="str">
        <f>"2018-2840"</f>
        <v>2018-2840</v>
      </c>
      <c r="C1891" s="2" t="s">
        <v>1085</v>
      </c>
      <c r="D1891" s="1" t="s">
        <v>537</v>
      </c>
      <c r="E1891" s="3" t="str">
        <f>""</f>
        <v/>
      </c>
      <c r="F1891" s="2" t="s">
        <v>27</v>
      </c>
      <c r="G1891" s="2" t="str">
        <f>CONCATENATE("CROATIA OSIGURANJE D.D.,"," MIRAMARSKA 22,"," 10000 ZAGREB,"," OIB: 26187994862")</f>
        <v>CROATIA OSIGURANJE D.D., MIRAMARSKA 22, 10000 ZAGREB, OIB: 26187994862</v>
      </c>
      <c r="H1891" s="4"/>
      <c r="I1891" s="1" t="s">
        <v>203</v>
      </c>
      <c r="J1891" s="1" t="s">
        <v>627</v>
      </c>
      <c r="K1891" s="6" t="str">
        <f>"3.984,00"</f>
        <v>3.984,00</v>
      </c>
      <c r="L1891" s="6" t="str">
        <f>"0,00"</f>
        <v>0,00</v>
      </c>
      <c r="M1891" s="6" t="str">
        <f>"0,00"</f>
        <v>0,00</v>
      </c>
      <c r="N1891" s="1" t="s">
        <v>117</v>
      </c>
      <c r="O1891" s="7"/>
      <c r="P1891" s="6" t="str">
        <f>"0,00"</f>
        <v>0,00</v>
      </c>
      <c r="Q1891" s="7"/>
      <c r="R1891" s="1"/>
      <c r="S1891" s="1" t="str">
        <f>"1-19/NOS-24/18"</f>
        <v>1-19/NOS-24/18</v>
      </c>
      <c r="T1891" s="2" t="s">
        <v>60</v>
      </c>
    </row>
    <row r="1892" spans="1:20" ht="25.5" x14ac:dyDescent="0.25">
      <c r="A1892" s="1">
        <v>1888</v>
      </c>
      <c r="B1892" s="1" t="str">
        <f>"2018-2840"</f>
        <v>2018-2840</v>
      </c>
      <c r="C1892" s="2" t="s">
        <v>1085</v>
      </c>
      <c r="D1892" s="1" t="s">
        <v>537</v>
      </c>
      <c r="E1892" s="3" t="str">
        <f>""</f>
        <v/>
      </c>
      <c r="F1892" s="2" t="s">
        <v>27</v>
      </c>
      <c r="G1892" s="2" t="str">
        <f>CONCATENATE("CROATIA OSIGURANJE D.D.,"," MIRAMARSKA 22,"," 10000 ZAGREB,"," OIB: 26187994862")</f>
        <v>CROATIA OSIGURANJE D.D., MIRAMARSKA 22, 10000 ZAGREB, OIB: 26187994862</v>
      </c>
      <c r="H1892" s="4"/>
      <c r="I1892" s="1" t="s">
        <v>446</v>
      </c>
      <c r="J1892" s="1" t="s">
        <v>627</v>
      </c>
      <c r="K1892" s="6" t="str">
        <f>"1.992,00"</f>
        <v>1.992,00</v>
      </c>
      <c r="L1892" s="6" t="str">
        <f>"0,00"</f>
        <v>0,00</v>
      </c>
      <c r="M1892" s="6" t="str">
        <f>"0,00"</f>
        <v>0,00</v>
      </c>
      <c r="N1892" s="1" t="s">
        <v>117</v>
      </c>
      <c r="O1892" s="7"/>
      <c r="P1892" s="6" t="str">
        <f>"0,00"</f>
        <v>0,00</v>
      </c>
      <c r="Q1892" s="7"/>
      <c r="R1892" s="1"/>
      <c r="S1892" s="1" t="str">
        <f>"2-19/NOS-24/18"</f>
        <v>2-19/NOS-24/18</v>
      </c>
      <c r="T1892" s="2" t="s">
        <v>60</v>
      </c>
    </row>
    <row r="1893" spans="1:20" ht="38.25" x14ac:dyDescent="0.25">
      <c r="A1893" s="1">
        <v>1889</v>
      </c>
      <c r="B1893" s="1" t="str">
        <f>"2018-2979"</f>
        <v>2018-2979</v>
      </c>
      <c r="C1893" s="2" t="s">
        <v>1087</v>
      </c>
      <c r="D1893" s="1" t="s">
        <v>937</v>
      </c>
      <c r="E1893" s="3" t="str">
        <f>""</f>
        <v/>
      </c>
      <c r="F1893" s="2" t="s">
        <v>1088</v>
      </c>
      <c r="G1893" s="2" t="str">
        <f>CONCATENATE("HP D.D.,"," JURIŠIĆEVA 13,"," 10000 ZAGREB,"," OIB: 87311810356")</f>
        <v>HP D.D., JURIŠIĆEVA 13, 10000 ZAGREB, OIB: 87311810356</v>
      </c>
      <c r="H1893" s="4"/>
      <c r="I1893" s="1" t="s">
        <v>561</v>
      </c>
      <c r="J1893" s="1" t="s">
        <v>1083</v>
      </c>
      <c r="K1893" s="6" t="str">
        <f>"5.860.000,00"</f>
        <v>5.860.000,00</v>
      </c>
      <c r="L1893" s="6" t="str">
        <f>"1.465.000,00"</f>
        <v>1.465.000,00</v>
      </c>
      <c r="M1893" s="6" t="str">
        <f>"7.325.000,00"</f>
        <v>7.325.000,00</v>
      </c>
      <c r="N1893" s="7"/>
      <c r="O1893" s="7"/>
      <c r="P1893" s="6" t="str">
        <f>""</f>
        <v/>
      </c>
      <c r="Q1893" s="7"/>
      <c r="R1893" s="1"/>
      <c r="S1893" s="1" t="str">
        <f>"NOS-25/18"</f>
        <v>NOS-25/18</v>
      </c>
      <c r="T1893" s="2" t="s">
        <v>538</v>
      </c>
    </row>
    <row r="1894" spans="1:20" ht="38.25" x14ac:dyDescent="0.25">
      <c r="A1894" s="1">
        <v>1890</v>
      </c>
      <c r="B1894" s="1" t="str">
        <f>"2018-2773"</f>
        <v>2018-2773</v>
      </c>
      <c r="C1894" s="2" t="s">
        <v>1089</v>
      </c>
      <c r="D1894" s="1" t="s">
        <v>1090</v>
      </c>
      <c r="E1894" s="3" t="str">
        <f>"2018/S 0F2-0013538"</f>
        <v>2018/S 0F2-0013538</v>
      </c>
      <c r="F1894" s="2" t="s">
        <v>23</v>
      </c>
      <c r="G1894" s="2" t="str">
        <f>CONCATENATE("MBM VRTNI CENTAR D.O.O.,"," DOLENICA 8,"," 10250 LUČKO,"," OIB: 19462674595")</f>
        <v>MBM VRTNI CENTAR D.O.O., DOLENICA 8, 10250 LUČKO, OIB: 19462674595</v>
      </c>
      <c r="H1894" s="4"/>
      <c r="I1894" s="1" t="s">
        <v>1091</v>
      </c>
      <c r="J1894" s="1" t="s">
        <v>1092</v>
      </c>
      <c r="K1894" s="6" t="str">
        <f>"500.000,00"</f>
        <v>500.000,00</v>
      </c>
      <c r="L1894" s="6" t="str">
        <f>"125.000,00"</f>
        <v>125.000,00</v>
      </c>
      <c r="M1894" s="6" t="str">
        <f>"625.000,00"</f>
        <v>625.000,00</v>
      </c>
      <c r="N1894" s="7"/>
      <c r="O1894" s="7"/>
      <c r="P1894" s="6" t="str">
        <f>""</f>
        <v/>
      </c>
      <c r="Q1894" s="7"/>
      <c r="R1894" s="1"/>
      <c r="S1894" s="1" t="str">
        <f>"NOS-26-A/18"</f>
        <v>NOS-26-A/18</v>
      </c>
      <c r="T1894" s="2" t="s">
        <v>33</v>
      </c>
    </row>
    <row r="1895" spans="1:20" ht="38.25" x14ac:dyDescent="0.25">
      <c r="A1895" s="1">
        <v>1891</v>
      </c>
      <c r="B1895" s="1" t="str">
        <f>"2018-2773"</f>
        <v>2018-2773</v>
      </c>
      <c r="C1895" s="2" t="s">
        <v>1089</v>
      </c>
      <c r="D1895" s="1" t="s">
        <v>1090</v>
      </c>
      <c r="E1895" s="3" t="str">
        <f>"2018/S 0F2-0013538"</f>
        <v>2018/S 0F2-0013538</v>
      </c>
      <c r="F1895" s="2" t="s">
        <v>23</v>
      </c>
      <c r="G1895" s="2" t="str">
        <f>CONCATENATE("ARBORI CULTURA D.O.O.,"," POKUPSKO 86,"," 10414 POKUPSKO,"," OIB: 16690651659")</f>
        <v>ARBORI CULTURA D.O.O., POKUPSKO 86, 10414 POKUPSKO, OIB: 16690651659</v>
      </c>
      <c r="H1895" s="4"/>
      <c r="I1895" s="1" t="s">
        <v>1091</v>
      </c>
      <c r="J1895" s="1" t="s">
        <v>1092</v>
      </c>
      <c r="K1895" s="6" t="str">
        <f>"200.000,00"</f>
        <v>200.000,00</v>
      </c>
      <c r="L1895" s="6" t="str">
        <f>"50.000,00"</f>
        <v>50.000,00</v>
      </c>
      <c r="M1895" s="6" t="str">
        <f>"250.000,00"</f>
        <v>250.000,00</v>
      </c>
      <c r="N1895" s="7"/>
      <c r="O1895" s="7"/>
      <c r="P1895" s="6" t="str">
        <f>""</f>
        <v/>
      </c>
      <c r="Q1895" s="7"/>
      <c r="R1895" s="1"/>
      <c r="S1895" s="1" t="str">
        <f>"NOS-26-B/18"</f>
        <v>NOS-26-B/18</v>
      </c>
      <c r="T1895" s="2" t="s">
        <v>33</v>
      </c>
    </row>
    <row r="1896" spans="1:20" ht="25.5" x14ac:dyDescent="0.25">
      <c r="A1896" s="1">
        <v>1892</v>
      </c>
      <c r="B1896" s="1" t="str">
        <f>"2018-2773"</f>
        <v>2018-2773</v>
      </c>
      <c r="C1896" s="2" t="s">
        <v>1089</v>
      </c>
      <c r="D1896" s="1" t="s">
        <v>1090</v>
      </c>
      <c r="E1896" s="3" t="str">
        <f>""</f>
        <v/>
      </c>
      <c r="F1896" s="2" t="s">
        <v>27</v>
      </c>
      <c r="G1896" s="2" t="str">
        <f>CONCATENATE("ARBORI CULTURA D.O.O.,"," POKUPSKO 86,"," 10414 POKUPSKO,"," OIB: 16690651659")</f>
        <v>ARBORI CULTURA D.O.O., POKUPSKO 86, 10414 POKUPSKO, OIB: 16690651659</v>
      </c>
      <c r="H1896" s="4"/>
      <c r="I1896" s="1" t="s">
        <v>30</v>
      </c>
      <c r="J1896" s="1" t="s">
        <v>242</v>
      </c>
      <c r="K1896" s="6" t="str">
        <f>"18.693,00"</f>
        <v>18.693,00</v>
      </c>
      <c r="L1896" s="6" t="str">
        <f>"4.476,53"</f>
        <v>4.476,53</v>
      </c>
      <c r="M1896" s="6" t="str">
        <f>"22.382,63"</f>
        <v>22.382,63</v>
      </c>
      <c r="N1896" s="5">
        <v>43616</v>
      </c>
      <c r="O1896" s="7"/>
      <c r="P1896" s="6" t="str">
        <f>"22.382,62"</f>
        <v>22.382,62</v>
      </c>
      <c r="Q1896" s="7"/>
      <c r="R1896" s="1"/>
      <c r="S1896" s="1" t="str">
        <f>"1-19/NOS-26-B/18"</f>
        <v>1-19/NOS-26-B/18</v>
      </c>
      <c r="T1896" s="2" t="s">
        <v>33</v>
      </c>
    </row>
    <row r="1897" spans="1:20" ht="25.5" x14ac:dyDescent="0.25">
      <c r="A1897" s="1">
        <v>1893</v>
      </c>
      <c r="B1897" s="1" t="str">
        <f>"2018-2773"</f>
        <v>2018-2773</v>
      </c>
      <c r="C1897" s="2" t="s">
        <v>1089</v>
      </c>
      <c r="D1897" s="1" t="s">
        <v>1090</v>
      </c>
      <c r="E1897" s="3" t="str">
        <f>""</f>
        <v/>
      </c>
      <c r="F1897" s="2" t="s">
        <v>27</v>
      </c>
      <c r="G1897" s="2" t="str">
        <f>CONCATENATE("ARBORI CULTURA D.O.O.,"," POKUPSKO 86,"," 10414 POKUPSKO,"," OIB: 16690651659")</f>
        <v>ARBORI CULTURA D.O.O., POKUPSKO 86, 10414 POKUPSKO, OIB: 16690651659</v>
      </c>
      <c r="H1897" s="4"/>
      <c r="I1897" s="1" t="s">
        <v>499</v>
      </c>
      <c r="J1897" s="1" t="s">
        <v>242</v>
      </c>
      <c r="K1897" s="6" t="str">
        <f>"3.455,00"</f>
        <v>3.455,00</v>
      </c>
      <c r="L1897" s="6" t="str">
        <f>"828,75"</f>
        <v>828,75</v>
      </c>
      <c r="M1897" s="6" t="str">
        <f>"4.143,75"</f>
        <v>4.143,75</v>
      </c>
      <c r="N1897" s="5">
        <v>43707</v>
      </c>
      <c r="O1897" s="7"/>
      <c r="P1897" s="6" t="str">
        <f>"4.143,75"</f>
        <v>4.143,75</v>
      </c>
      <c r="Q1897" s="7"/>
      <c r="R1897" s="1"/>
      <c r="S1897" s="1" t="str">
        <f>"2-19/NOS-26-B/18"</f>
        <v>2-19/NOS-26-B/18</v>
      </c>
      <c r="T1897" s="2" t="s">
        <v>33</v>
      </c>
    </row>
    <row r="1898" spans="1:20" ht="38.25" x14ac:dyDescent="0.25">
      <c r="A1898" s="1">
        <v>1894</v>
      </c>
      <c r="B1898" s="1" t="str">
        <f t="shared" ref="B1898:B1916" si="184">"2018-2776"</f>
        <v>2018-2776</v>
      </c>
      <c r="C1898" s="2" t="s">
        <v>1093</v>
      </c>
      <c r="D1898" s="1" t="s">
        <v>90</v>
      </c>
      <c r="E1898" s="3" t="str">
        <f>"2018/S 0F2-0012004"</f>
        <v>2018/S 0F2-0012004</v>
      </c>
      <c r="F1898" s="2" t="s">
        <v>23</v>
      </c>
      <c r="G1898" s="2" t="str">
        <f t="shared" ref="G1898:G1904" si="185">CONCATENATE("BENUSSI D. O. O.,"," FAŽANSKA CESTA 86,"," 52212 FAŽANA,"," OIB: 87971197112")</f>
        <v>BENUSSI D. O. O., FAŽANSKA CESTA 86, 52212 FAŽANA, OIB: 87971197112</v>
      </c>
      <c r="H1898" s="4"/>
      <c r="I1898" s="1" t="s">
        <v>1094</v>
      </c>
      <c r="J1898" s="1" t="s">
        <v>1095</v>
      </c>
      <c r="K1898" s="6" t="str">
        <f>"2.700.000,00"</f>
        <v>2.700.000,00</v>
      </c>
      <c r="L1898" s="6" t="str">
        <f>"675.000,00"</f>
        <v>675.000,00</v>
      </c>
      <c r="M1898" s="6" t="str">
        <f>"3.375.000,00"</f>
        <v>3.375.000,00</v>
      </c>
      <c r="N1898" s="7"/>
      <c r="O1898" s="7"/>
      <c r="P1898" s="6" t="str">
        <f>""</f>
        <v/>
      </c>
      <c r="Q1898" s="7"/>
      <c r="R1898" s="1"/>
      <c r="S1898" s="1" t="str">
        <f>"NOS-27-A/18"</f>
        <v>NOS-27-A/18</v>
      </c>
      <c r="T1898" s="2" t="s">
        <v>33</v>
      </c>
    </row>
    <row r="1899" spans="1:20" ht="38.25" x14ac:dyDescent="0.25">
      <c r="A1899" s="1">
        <v>1895</v>
      </c>
      <c r="B1899" s="1" t="str">
        <f t="shared" si="184"/>
        <v>2018-2776</v>
      </c>
      <c r="C1899" s="2" t="s">
        <v>1093</v>
      </c>
      <c r="D1899" s="4"/>
      <c r="E1899" s="3" t="str">
        <f>""</f>
        <v/>
      </c>
      <c r="F1899" s="2" t="s">
        <v>27</v>
      </c>
      <c r="G1899" s="2" t="str">
        <f t="shared" si="185"/>
        <v>BENUSSI D. O. O., FAŽANSKA CESTA 86, 52212 FAŽANA, OIB: 87971197112</v>
      </c>
      <c r="H1899" s="4"/>
      <c r="I1899" s="1" t="s">
        <v>186</v>
      </c>
      <c r="J1899" s="1" t="s">
        <v>74</v>
      </c>
      <c r="K1899" s="6" t="str">
        <f>"129.551,10"</f>
        <v>129.551,10</v>
      </c>
      <c r="L1899" s="6" t="str">
        <f>"32.387,78"</f>
        <v>32.387,78</v>
      </c>
      <c r="M1899" s="6" t="str">
        <f>"161.938,88"</f>
        <v>161.938,88</v>
      </c>
      <c r="N1899" s="5">
        <v>43571</v>
      </c>
      <c r="O1899" s="7"/>
      <c r="P1899" s="6" t="str">
        <f>"161.938,25"</f>
        <v>161.938,25</v>
      </c>
      <c r="Q1899" s="7"/>
      <c r="R1899" s="1"/>
      <c r="S1899" s="1" t="str">
        <f>"1-18/NOS-27-A/18"</f>
        <v>1-18/NOS-27-A/18</v>
      </c>
      <c r="T1899" s="2" t="s">
        <v>33</v>
      </c>
    </row>
    <row r="1900" spans="1:20" ht="38.25" x14ac:dyDescent="0.25">
      <c r="A1900" s="1">
        <v>1896</v>
      </c>
      <c r="B1900" s="1" t="str">
        <f t="shared" si="184"/>
        <v>2018-2776</v>
      </c>
      <c r="C1900" s="2" t="s">
        <v>1093</v>
      </c>
      <c r="D1900" s="1" t="s">
        <v>90</v>
      </c>
      <c r="E1900" s="3" t="str">
        <f>""</f>
        <v/>
      </c>
      <c r="F1900" s="2" t="s">
        <v>27</v>
      </c>
      <c r="G1900" s="2" t="str">
        <f t="shared" si="185"/>
        <v>BENUSSI D. O. O., FAŽANSKA CESTA 86, 52212 FAŽANA, OIB: 87971197112</v>
      </c>
      <c r="H1900" s="4"/>
      <c r="I1900" s="1" t="s">
        <v>64</v>
      </c>
      <c r="J1900" s="1" t="s">
        <v>303</v>
      </c>
      <c r="K1900" s="6" t="str">
        <f>"44.906,65"</f>
        <v>44.906,65</v>
      </c>
      <c r="L1900" s="6" t="str">
        <f>"11.226,66"</f>
        <v>11.226,66</v>
      </c>
      <c r="M1900" s="6" t="str">
        <f>"56.133,31"</f>
        <v>56.133,31</v>
      </c>
      <c r="N1900" s="5">
        <v>43591</v>
      </c>
      <c r="O1900" s="7"/>
      <c r="P1900" s="6" t="str">
        <f>"56.133,31"</f>
        <v>56.133,31</v>
      </c>
      <c r="Q1900" s="7"/>
      <c r="R1900" s="1"/>
      <c r="S1900" s="1" t="str">
        <f>"1-19/NOS-27-A/18"</f>
        <v>1-19/NOS-27-A/18</v>
      </c>
      <c r="T1900" s="2" t="s">
        <v>33</v>
      </c>
    </row>
    <row r="1901" spans="1:20" ht="38.25" x14ac:dyDescent="0.25">
      <c r="A1901" s="1">
        <v>1897</v>
      </c>
      <c r="B1901" s="1" t="str">
        <f t="shared" si="184"/>
        <v>2018-2776</v>
      </c>
      <c r="C1901" s="2" t="s">
        <v>1093</v>
      </c>
      <c r="D1901" s="1" t="s">
        <v>90</v>
      </c>
      <c r="E1901" s="3" t="str">
        <f>""</f>
        <v/>
      </c>
      <c r="F1901" s="2" t="s">
        <v>27</v>
      </c>
      <c r="G1901" s="2" t="str">
        <f t="shared" si="185"/>
        <v>BENUSSI D. O. O., FAŽANSKA CESTA 86, 52212 FAŽANA, OIB: 87971197112</v>
      </c>
      <c r="H1901" s="4"/>
      <c r="I1901" s="1" t="s">
        <v>64</v>
      </c>
      <c r="J1901" s="1" t="s">
        <v>303</v>
      </c>
      <c r="K1901" s="6" t="str">
        <f>"2.079,81"</f>
        <v>2.079,81</v>
      </c>
      <c r="L1901" s="6" t="str">
        <f>"519,95"</f>
        <v>519,95</v>
      </c>
      <c r="M1901" s="6" t="str">
        <f>"2.599,76"</f>
        <v>2.599,76</v>
      </c>
      <c r="N1901" s="5">
        <v>43591</v>
      </c>
      <c r="O1901" s="7"/>
      <c r="P1901" s="6" t="str">
        <f>"2.599,76"</f>
        <v>2.599,76</v>
      </c>
      <c r="Q1901" s="7"/>
      <c r="R1901" s="1"/>
      <c r="S1901" s="1" t="str">
        <f>"2-19/NOS-27-A/18"</f>
        <v>2-19/NOS-27-A/18</v>
      </c>
      <c r="T1901" s="2" t="s">
        <v>33</v>
      </c>
    </row>
    <row r="1902" spans="1:20" ht="38.25" x14ac:dyDescent="0.25">
      <c r="A1902" s="1">
        <v>1898</v>
      </c>
      <c r="B1902" s="1" t="str">
        <f t="shared" si="184"/>
        <v>2018-2776</v>
      </c>
      <c r="C1902" s="2" t="s">
        <v>1093</v>
      </c>
      <c r="D1902" s="1" t="s">
        <v>90</v>
      </c>
      <c r="E1902" s="3" t="str">
        <f>""</f>
        <v/>
      </c>
      <c r="F1902" s="2" t="s">
        <v>27</v>
      </c>
      <c r="G1902" s="2" t="str">
        <f t="shared" si="185"/>
        <v>BENUSSI D. O. O., FAŽANSKA CESTA 86, 52212 FAŽANA, OIB: 87971197112</v>
      </c>
      <c r="H1902" s="4"/>
      <c r="I1902" s="1" t="s">
        <v>435</v>
      </c>
      <c r="J1902" s="1" t="s">
        <v>121</v>
      </c>
      <c r="K1902" s="6" t="str">
        <f>"6.804,12"</f>
        <v>6.804,12</v>
      </c>
      <c r="L1902" s="6" t="str">
        <f>"1.701,03"</f>
        <v>1.701,03</v>
      </c>
      <c r="M1902" s="6" t="str">
        <f>"8.505,15"</f>
        <v>8.505,15</v>
      </c>
      <c r="N1902" s="5">
        <v>43615</v>
      </c>
      <c r="O1902" s="7"/>
      <c r="P1902" s="6" t="str">
        <f>"8.505,15"</f>
        <v>8.505,15</v>
      </c>
      <c r="Q1902" s="7"/>
      <c r="R1902" s="1"/>
      <c r="S1902" s="1" t="str">
        <f>"6-19/NOS-27-A/18"</f>
        <v>6-19/NOS-27-A/18</v>
      </c>
      <c r="T1902" s="2" t="s">
        <v>33</v>
      </c>
    </row>
    <row r="1903" spans="1:20" ht="38.25" x14ac:dyDescent="0.25">
      <c r="A1903" s="1">
        <v>1899</v>
      </c>
      <c r="B1903" s="1" t="str">
        <f>"2018-2776"</f>
        <v>2018-2776</v>
      </c>
      <c r="C1903" s="2" t="s">
        <v>1093</v>
      </c>
      <c r="D1903" s="1" t="s">
        <v>90</v>
      </c>
      <c r="E1903" s="3" t="str">
        <f>""</f>
        <v/>
      </c>
      <c r="F1903" s="2" t="s">
        <v>27</v>
      </c>
      <c r="G1903" s="2" t="str">
        <f t="shared" si="185"/>
        <v>BENUSSI D. O. O., FAŽANSKA CESTA 86, 52212 FAŽANA, OIB: 87971197112</v>
      </c>
      <c r="H1903" s="4"/>
      <c r="I1903" s="1" t="s">
        <v>162</v>
      </c>
      <c r="J1903" s="1" t="s">
        <v>121</v>
      </c>
      <c r="K1903" s="6" t="str">
        <f>"32.255,81"</f>
        <v>32.255,81</v>
      </c>
      <c r="L1903" s="6" t="str">
        <f>"0,00"</f>
        <v>0,00</v>
      </c>
      <c r="M1903" s="6" t="str">
        <f>"0,00"</f>
        <v>0,00</v>
      </c>
      <c r="N1903" s="1"/>
      <c r="O1903" s="18" t="s">
        <v>418</v>
      </c>
      <c r="P1903" s="6" t="str">
        <f>"0,00"</f>
        <v>0,00</v>
      </c>
      <c r="Q1903" s="7"/>
      <c r="R1903" s="1"/>
      <c r="S1903" s="1" t="str">
        <f>"7-19/NOS-27-A/18"</f>
        <v>7-19/NOS-27-A/18</v>
      </c>
      <c r="T1903" s="2" t="s">
        <v>33</v>
      </c>
    </row>
    <row r="1904" spans="1:20" ht="38.25" x14ac:dyDescent="0.25">
      <c r="A1904" s="1">
        <v>1900</v>
      </c>
      <c r="B1904" s="1" t="str">
        <f t="shared" si="184"/>
        <v>2018-2776</v>
      </c>
      <c r="C1904" s="2" t="s">
        <v>1093</v>
      </c>
      <c r="D1904" s="1" t="s">
        <v>90</v>
      </c>
      <c r="E1904" s="3" t="str">
        <f>""</f>
        <v/>
      </c>
      <c r="F1904" s="2" t="s">
        <v>27</v>
      </c>
      <c r="G1904" s="2" t="str">
        <f t="shared" si="185"/>
        <v>BENUSSI D. O. O., FAŽANSKA CESTA 86, 52212 FAŽANA, OIB: 87971197112</v>
      </c>
      <c r="H1904" s="4"/>
      <c r="I1904" s="1" t="s">
        <v>579</v>
      </c>
      <c r="J1904" s="1" t="s">
        <v>424</v>
      </c>
      <c r="K1904" s="6" t="str">
        <f>"41.169,93"</f>
        <v>41.169,93</v>
      </c>
      <c r="L1904" s="6" t="str">
        <f>"10.292,48"</f>
        <v>10.292,48</v>
      </c>
      <c r="M1904" s="6" t="str">
        <f>"51.462,41"</f>
        <v>51.462,41</v>
      </c>
      <c r="N1904" s="5">
        <v>43633</v>
      </c>
      <c r="O1904" s="7"/>
      <c r="P1904" s="6" t="str">
        <f>"50.902,26"</f>
        <v>50.902,26</v>
      </c>
      <c r="Q1904" s="7"/>
      <c r="R1904" s="1"/>
      <c r="S1904" s="1" t="str">
        <f>"8-19/NOS-27-A/18"</f>
        <v>8-19/NOS-27-A/18</v>
      </c>
      <c r="T1904" s="2" t="s">
        <v>33</v>
      </c>
    </row>
    <row r="1905" spans="1:20" ht="38.25" x14ac:dyDescent="0.25">
      <c r="A1905" s="1">
        <v>1901</v>
      </c>
      <c r="B1905" s="1" t="str">
        <f t="shared" si="184"/>
        <v>2018-2776</v>
      </c>
      <c r="C1905" s="2" t="s">
        <v>1093</v>
      </c>
      <c r="D1905" s="1" t="s">
        <v>90</v>
      </c>
      <c r="E1905" s="3" t="str">
        <f>"2018/S 0F2-0012004"</f>
        <v>2018/S 0F2-0012004</v>
      </c>
      <c r="F1905" s="2" t="s">
        <v>23</v>
      </c>
      <c r="G1905" s="2" t="str">
        <f t="shared" ref="G1905:G1914" si="186">CONCATENATE("GRADATIN D.O.O.,"," LIVADARSKI PUT 19,"," 10360 SESVETE,"," OIB: 79147056526")</f>
        <v>GRADATIN D.O.O., LIVADARSKI PUT 19, 10360 SESVETE, OIB: 79147056526</v>
      </c>
      <c r="H1905" s="4"/>
      <c r="I1905" s="1" t="s">
        <v>1094</v>
      </c>
      <c r="J1905" s="1" t="s">
        <v>1095</v>
      </c>
      <c r="K1905" s="6" t="str">
        <f>"3.300.000,00"</f>
        <v>3.300.000,00</v>
      </c>
      <c r="L1905" s="6" t="str">
        <f>"825.000,00"</f>
        <v>825.000,00</v>
      </c>
      <c r="M1905" s="6" t="str">
        <f>"4.125.000,00"</f>
        <v>4.125.000,00</v>
      </c>
      <c r="N1905" s="7"/>
      <c r="O1905" s="7"/>
      <c r="P1905" s="6" t="str">
        <f>""</f>
        <v/>
      </c>
      <c r="Q1905" s="7"/>
      <c r="R1905" s="1"/>
      <c r="S1905" s="1" t="str">
        <f>"NOS-27-B/18"</f>
        <v>NOS-27-B/18</v>
      </c>
      <c r="T1905" s="2" t="s">
        <v>33</v>
      </c>
    </row>
    <row r="1906" spans="1:20" ht="38.25" x14ac:dyDescent="0.25">
      <c r="A1906" s="1">
        <v>1902</v>
      </c>
      <c r="B1906" s="1" t="str">
        <f t="shared" si="184"/>
        <v>2018-2776</v>
      </c>
      <c r="C1906" s="2" t="s">
        <v>1093</v>
      </c>
      <c r="D1906" s="4"/>
      <c r="E1906" s="3" t="str">
        <f>""</f>
        <v/>
      </c>
      <c r="F1906" s="2" t="s">
        <v>27</v>
      </c>
      <c r="G1906" s="2" t="str">
        <f t="shared" si="186"/>
        <v>GRADATIN D.O.O., LIVADARSKI PUT 19, 10360 SESVETE, OIB: 79147056526</v>
      </c>
      <c r="H1906" s="4"/>
      <c r="I1906" s="1" t="s">
        <v>138</v>
      </c>
      <c r="J1906" s="1" t="s">
        <v>74</v>
      </c>
      <c r="K1906" s="6" t="str">
        <f>"479.912,40"</f>
        <v>479.912,40</v>
      </c>
      <c r="L1906" s="6" t="str">
        <f>"119.978,10"</f>
        <v>119.978,10</v>
      </c>
      <c r="M1906" s="6" t="str">
        <f>"599.890,50"</f>
        <v>599.890,50</v>
      </c>
      <c r="N1906" s="5">
        <v>43584</v>
      </c>
      <c r="O1906" s="7"/>
      <c r="P1906" s="6" t="str">
        <f>"599.890,50"</f>
        <v>599.890,50</v>
      </c>
      <c r="Q1906" s="7"/>
      <c r="R1906" s="1"/>
      <c r="S1906" s="1" t="str">
        <f>"10-18/NOS-27-B/18"</f>
        <v>10-18/NOS-27-B/18</v>
      </c>
      <c r="T1906" s="2" t="s">
        <v>33</v>
      </c>
    </row>
    <row r="1907" spans="1:20" ht="38.25" x14ac:dyDescent="0.25">
      <c r="A1907" s="1">
        <v>1903</v>
      </c>
      <c r="B1907" s="1" t="str">
        <f t="shared" si="184"/>
        <v>2018-2776</v>
      </c>
      <c r="C1907" s="2" t="s">
        <v>1093</v>
      </c>
      <c r="D1907" s="1" t="s">
        <v>90</v>
      </c>
      <c r="E1907" s="3" t="str">
        <f>""</f>
        <v/>
      </c>
      <c r="F1907" s="2" t="s">
        <v>27</v>
      </c>
      <c r="G1907" s="2" t="str">
        <f t="shared" si="186"/>
        <v>GRADATIN D.O.O., LIVADARSKI PUT 19, 10360 SESVETE, OIB: 79147056526</v>
      </c>
      <c r="H1907" s="4"/>
      <c r="I1907" s="1" t="s">
        <v>401</v>
      </c>
      <c r="J1907" s="1" t="s">
        <v>251</v>
      </c>
      <c r="K1907" s="6" t="str">
        <f>"5.935,00"</f>
        <v>5.935,00</v>
      </c>
      <c r="L1907" s="6" t="str">
        <f>"1.483,75"</f>
        <v>1.483,75</v>
      </c>
      <c r="M1907" s="6" t="str">
        <f>"7.418,75"</f>
        <v>7.418,75</v>
      </c>
      <c r="N1907" s="5">
        <v>43592</v>
      </c>
      <c r="O1907" s="7"/>
      <c r="P1907" s="6" t="str">
        <f>"7.418,75"</f>
        <v>7.418,75</v>
      </c>
      <c r="Q1907" s="7"/>
      <c r="R1907" s="1"/>
      <c r="S1907" s="1" t="str">
        <f>"1-19/NOS-27-B/18"</f>
        <v>1-19/NOS-27-B/18</v>
      </c>
      <c r="T1907" s="2" t="s">
        <v>33</v>
      </c>
    </row>
    <row r="1908" spans="1:20" ht="38.25" x14ac:dyDescent="0.25">
      <c r="A1908" s="1">
        <v>1904</v>
      </c>
      <c r="B1908" s="1" t="str">
        <f t="shared" si="184"/>
        <v>2018-2776</v>
      </c>
      <c r="C1908" s="2" t="s">
        <v>1093</v>
      </c>
      <c r="D1908" s="1" t="s">
        <v>90</v>
      </c>
      <c r="E1908" s="3" t="str">
        <f>""</f>
        <v/>
      </c>
      <c r="F1908" s="2" t="s">
        <v>27</v>
      </c>
      <c r="G1908" s="2" t="str">
        <f t="shared" si="186"/>
        <v>GRADATIN D.O.O., LIVADARSKI PUT 19, 10360 SESVETE, OIB: 79147056526</v>
      </c>
      <c r="H1908" s="4"/>
      <c r="I1908" s="1" t="s">
        <v>637</v>
      </c>
      <c r="J1908" s="1" t="s">
        <v>251</v>
      </c>
      <c r="K1908" s="6" t="str">
        <f>"10.486,00"</f>
        <v>10.486,00</v>
      </c>
      <c r="L1908" s="6" t="str">
        <f>"2.621,50"</f>
        <v>2.621,50</v>
      </c>
      <c r="M1908" s="6" t="str">
        <f>"13.107,50"</f>
        <v>13.107,50</v>
      </c>
      <c r="N1908" s="5">
        <v>43593</v>
      </c>
      <c r="O1908" s="7"/>
      <c r="P1908" s="6" t="str">
        <f>"13.107,50"</f>
        <v>13.107,50</v>
      </c>
      <c r="Q1908" s="7"/>
      <c r="R1908" s="1"/>
      <c r="S1908" s="1" t="str">
        <f>"2-19/NOS-27-B/18"</f>
        <v>2-19/NOS-27-B/18</v>
      </c>
      <c r="T1908" s="2" t="s">
        <v>33</v>
      </c>
    </row>
    <row r="1909" spans="1:20" ht="38.25" x14ac:dyDescent="0.25">
      <c r="A1909" s="1">
        <v>1905</v>
      </c>
      <c r="B1909" s="1" t="str">
        <f t="shared" si="184"/>
        <v>2018-2776</v>
      </c>
      <c r="C1909" s="2" t="s">
        <v>1093</v>
      </c>
      <c r="D1909" s="1" t="s">
        <v>90</v>
      </c>
      <c r="E1909" s="3" t="str">
        <f>""</f>
        <v/>
      </c>
      <c r="F1909" s="2" t="s">
        <v>27</v>
      </c>
      <c r="G1909" s="2" t="str">
        <f t="shared" si="186"/>
        <v>GRADATIN D.O.O., LIVADARSKI PUT 19, 10360 SESVETE, OIB: 79147056526</v>
      </c>
      <c r="H1909" s="4"/>
      <c r="I1909" s="1" t="s">
        <v>334</v>
      </c>
      <c r="J1909" s="1" t="s">
        <v>251</v>
      </c>
      <c r="K1909" s="6" t="str">
        <f>"680,00"</f>
        <v>680,00</v>
      </c>
      <c r="L1909" s="6" t="str">
        <f>"170,00"</f>
        <v>170,00</v>
      </c>
      <c r="M1909" s="6" t="str">
        <f>"850,00"</f>
        <v>850,00</v>
      </c>
      <c r="N1909" s="5">
        <v>43601</v>
      </c>
      <c r="O1909" s="7"/>
      <c r="P1909" s="6" t="str">
        <f>"850,00"</f>
        <v>850,00</v>
      </c>
      <c r="Q1909" s="7"/>
      <c r="R1909" s="1"/>
      <c r="S1909" s="1" t="str">
        <f>"3-19/NOS-27-B/18"</f>
        <v>3-19/NOS-27-B/18</v>
      </c>
      <c r="T1909" s="2" t="s">
        <v>33</v>
      </c>
    </row>
    <row r="1910" spans="1:20" ht="38.25" x14ac:dyDescent="0.25">
      <c r="A1910" s="1">
        <v>1906</v>
      </c>
      <c r="B1910" s="1" t="str">
        <f t="shared" si="184"/>
        <v>2018-2776</v>
      </c>
      <c r="C1910" s="2" t="s">
        <v>1093</v>
      </c>
      <c r="D1910" s="1" t="s">
        <v>90</v>
      </c>
      <c r="E1910" s="3" t="str">
        <f>""</f>
        <v/>
      </c>
      <c r="F1910" s="2" t="s">
        <v>27</v>
      </c>
      <c r="G1910" s="2" t="str">
        <f t="shared" si="186"/>
        <v>GRADATIN D.O.O., LIVADARSKI PUT 19, 10360 SESVETE, OIB: 79147056526</v>
      </c>
      <c r="H1910" s="4"/>
      <c r="I1910" s="1" t="s">
        <v>317</v>
      </c>
      <c r="J1910" s="1" t="s">
        <v>251</v>
      </c>
      <c r="K1910" s="6" t="str">
        <f>"41.436,10"</f>
        <v>41.436,10</v>
      </c>
      <c r="L1910" s="6" t="str">
        <f>"10.359,03"</f>
        <v>10.359,03</v>
      </c>
      <c r="M1910" s="6" t="str">
        <f>"51.795,13"</f>
        <v>51.795,13</v>
      </c>
      <c r="N1910" s="5">
        <v>43609</v>
      </c>
      <c r="O1910" s="7"/>
      <c r="P1910" s="6" t="str">
        <f>"51.795,12"</f>
        <v>51.795,12</v>
      </c>
      <c r="Q1910" s="7"/>
      <c r="R1910" s="1"/>
      <c r="S1910" s="1" t="str">
        <f>"4-19/NOS-27-B/18"</f>
        <v>4-19/NOS-27-B/18</v>
      </c>
      <c r="T1910" s="2" t="s">
        <v>33</v>
      </c>
    </row>
    <row r="1911" spans="1:20" ht="38.25" x14ac:dyDescent="0.25">
      <c r="A1911" s="1">
        <v>1907</v>
      </c>
      <c r="B1911" s="1" t="str">
        <f t="shared" si="184"/>
        <v>2018-2776</v>
      </c>
      <c r="C1911" s="2" t="s">
        <v>1093</v>
      </c>
      <c r="D1911" s="1" t="s">
        <v>90</v>
      </c>
      <c r="E1911" s="3" t="str">
        <f>""</f>
        <v/>
      </c>
      <c r="F1911" s="2" t="s">
        <v>27</v>
      </c>
      <c r="G1911" s="2" t="str">
        <f t="shared" si="186"/>
        <v>GRADATIN D.O.O., LIVADARSKI PUT 19, 10360 SESVETE, OIB: 79147056526</v>
      </c>
      <c r="H1911" s="4"/>
      <c r="I1911" s="1" t="s">
        <v>435</v>
      </c>
      <c r="J1911" s="1" t="s">
        <v>469</v>
      </c>
      <c r="K1911" s="6" t="str">
        <f>"5.000,00"</f>
        <v>5.000,00</v>
      </c>
      <c r="L1911" s="6" t="str">
        <f>"1.250,00"</f>
        <v>1.250,00</v>
      </c>
      <c r="M1911" s="6" t="str">
        <f>"6.250,00"</f>
        <v>6.250,00</v>
      </c>
      <c r="N1911" s="5">
        <v>43613</v>
      </c>
      <c r="O1911" s="7"/>
      <c r="P1911" s="6" t="str">
        <f>"6.250,00"</f>
        <v>6.250,00</v>
      </c>
      <c r="Q1911" s="7"/>
      <c r="R1911" s="1"/>
      <c r="S1911" s="1" t="str">
        <f>"5-19/NOS-27-B/18"</f>
        <v>5-19/NOS-27-B/18</v>
      </c>
      <c r="T1911" s="2" t="s">
        <v>33</v>
      </c>
    </row>
    <row r="1912" spans="1:20" ht="38.25" x14ac:dyDescent="0.25">
      <c r="A1912" s="1">
        <v>1908</v>
      </c>
      <c r="B1912" s="1" t="str">
        <f t="shared" si="184"/>
        <v>2018-2776</v>
      </c>
      <c r="C1912" s="2" t="s">
        <v>1093</v>
      </c>
      <c r="D1912" s="1" t="s">
        <v>90</v>
      </c>
      <c r="E1912" s="3" t="str">
        <f>""</f>
        <v/>
      </c>
      <c r="F1912" s="2" t="s">
        <v>27</v>
      </c>
      <c r="G1912" s="2" t="str">
        <f t="shared" si="186"/>
        <v>GRADATIN D.O.O., LIVADARSKI PUT 19, 10360 SESVETE, OIB: 79147056526</v>
      </c>
      <c r="H1912" s="4"/>
      <c r="I1912" s="1" t="s">
        <v>74</v>
      </c>
      <c r="J1912" s="1" t="s">
        <v>251</v>
      </c>
      <c r="K1912" s="6" t="str">
        <f>"2.715,00"</f>
        <v>2.715,00</v>
      </c>
      <c r="L1912" s="6" t="str">
        <f>"678,75"</f>
        <v>678,75</v>
      </c>
      <c r="M1912" s="6" t="str">
        <f>"3.393,75"</f>
        <v>3.393,75</v>
      </c>
      <c r="N1912" s="5">
        <v>43616</v>
      </c>
      <c r="O1912" s="7"/>
      <c r="P1912" s="6" t="str">
        <f>"3.393,75"</f>
        <v>3.393,75</v>
      </c>
      <c r="Q1912" s="7"/>
      <c r="R1912" s="1"/>
      <c r="S1912" s="1" t="str">
        <f>"6-19/NOS-27-B/18"</f>
        <v>6-19/NOS-27-B/18</v>
      </c>
      <c r="T1912" s="2" t="s">
        <v>33</v>
      </c>
    </row>
    <row r="1913" spans="1:20" ht="38.25" x14ac:dyDescent="0.25">
      <c r="A1913" s="1">
        <v>1909</v>
      </c>
      <c r="B1913" s="1" t="str">
        <f t="shared" si="184"/>
        <v>2018-2776</v>
      </c>
      <c r="C1913" s="2" t="s">
        <v>1093</v>
      </c>
      <c r="D1913" s="1" t="s">
        <v>90</v>
      </c>
      <c r="E1913" s="3" t="str">
        <f>""</f>
        <v/>
      </c>
      <c r="F1913" s="2" t="s">
        <v>27</v>
      </c>
      <c r="G1913" s="2" t="str">
        <f t="shared" si="186"/>
        <v>GRADATIN D.O.O., LIVADARSKI PUT 19, 10360 SESVETE, OIB: 79147056526</v>
      </c>
      <c r="H1913" s="4"/>
      <c r="I1913" s="1" t="s">
        <v>579</v>
      </c>
      <c r="J1913" s="1" t="s">
        <v>424</v>
      </c>
      <c r="K1913" s="6" t="str">
        <f>"66.771,00"</f>
        <v>66.771,00</v>
      </c>
      <c r="L1913" s="6" t="str">
        <f>"16.692,75"</f>
        <v>16.692,75</v>
      </c>
      <c r="M1913" s="6" t="str">
        <f>"83.463,75"</f>
        <v>83.463,75</v>
      </c>
      <c r="N1913" s="5">
        <v>43698</v>
      </c>
      <c r="O1913" s="7"/>
      <c r="P1913" s="6" t="str">
        <f>"39.316,25"</f>
        <v>39.316,25</v>
      </c>
      <c r="Q1913" s="7"/>
      <c r="R1913" s="1"/>
      <c r="S1913" s="1" t="str">
        <f>"7-19/NOS-27-B/18"</f>
        <v>7-19/NOS-27-B/18</v>
      </c>
      <c r="T1913" s="2" t="s">
        <v>33</v>
      </c>
    </row>
    <row r="1914" spans="1:20" ht="38.25" x14ac:dyDescent="0.25">
      <c r="A1914" s="1">
        <v>1910</v>
      </c>
      <c r="B1914" s="1" t="str">
        <f t="shared" si="184"/>
        <v>2018-2776</v>
      </c>
      <c r="C1914" s="2" t="s">
        <v>1093</v>
      </c>
      <c r="D1914" s="1" t="s">
        <v>90</v>
      </c>
      <c r="E1914" s="3" t="str">
        <f>""</f>
        <v/>
      </c>
      <c r="F1914" s="2" t="s">
        <v>27</v>
      </c>
      <c r="G1914" s="2" t="str">
        <f t="shared" si="186"/>
        <v>GRADATIN D.O.O., LIVADARSKI PUT 19, 10360 SESVETE, OIB: 79147056526</v>
      </c>
      <c r="H1914" s="4"/>
      <c r="I1914" s="1" t="s">
        <v>930</v>
      </c>
      <c r="J1914" s="1" t="s">
        <v>457</v>
      </c>
      <c r="K1914" s="6" t="str">
        <f>"12.700,94"</f>
        <v>12.700,94</v>
      </c>
      <c r="L1914" s="6" t="str">
        <f>"3.175,24"</f>
        <v>3.175,24</v>
      </c>
      <c r="M1914" s="6" t="str">
        <f>"15.876,18"</f>
        <v>15.876,18</v>
      </c>
      <c r="N1914" s="5">
        <v>43644</v>
      </c>
      <c r="O1914" s="7"/>
      <c r="P1914" s="6" t="str">
        <f>"15.876,18"</f>
        <v>15.876,18</v>
      </c>
      <c r="Q1914" s="7"/>
      <c r="R1914" s="1"/>
      <c r="S1914" s="1" t="str">
        <f>"8-19/NOS-27-B/18"</f>
        <v>8-19/NOS-27-B/18</v>
      </c>
      <c r="T1914" s="2" t="s">
        <v>33</v>
      </c>
    </row>
    <row r="1915" spans="1:20" ht="38.25" x14ac:dyDescent="0.25">
      <c r="A1915" s="1">
        <v>1911</v>
      </c>
      <c r="B1915" s="1" t="str">
        <f t="shared" si="184"/>
        <v>2018-2776</v>
      </c>
      <c r="C1915" s="2" t="s">
        <v>1093</v>
      </c>
      <c r="D1915" s="1" t="s">
        <v>90</v>
      </c>
      <c r="E1915" s="3" t="str">
        <f>"2018/S 0F2-0012004"</f>
        <v>2018/S 0F2-0012004</v>
      </c>
      <c r="F1915" s="2" t="s">
        <v>23</v>
      </c>
      <c r="G1915" s="2" t="str">
        <f>CONCATENATE("HIDRAULIKA KURELJA D.O.O.,"," MATENAČKA CESTA 41,"," 49290 DONJA STUBICA,"," OIB: 3092900595")</f>
        <v>HIDRAULIKA KURELJA D.O.O., MATENAČKA CESTA 41, 49290 DONJA STUBICA, OIB: 3092900595</v>
      </c>
      <c r="H1915" s="4"/>
      <c r="I1915" s="1" t="s">
        <v>1094</v>
      </c>
      <c r="J1915" s="1" t="s">
        <v>1095</v>
      </c>
      <c r="K1915" s="6" t="str">
        <f>"480.000,00"</f>
        <v>480.000,00</v>
      </c>
      <c r="L1915" s="6" t="str">
        <f>"120.000,00"</f>
        <v>120.000,00</v>
      </c>
      <c r="M1915" s="6" t="str">
        <f>"600.000,00"</f>
        <v>600.000,00</v>
      </c>
      <c r="N1915" s="7"/>
      <c r="O1915" s="7"/>
      <c r="P1915" s="6" t="str">
        <f>""</f>
        <v/>
      </c>
      <c r="Q1915" s="7"/>
      <c r="R1915" s="1"/>
      <c r="S1915" s="1" t="str">
        <f>"NOS-27-C/18"</f>
        <v>NOS-27-C/18</v>
      </c>
      <c r="T1915" s="2" t="s">
        <v>33</v>
      </c>
    </row>
    <row r="1916" spans="1:20" ht="38.25" x14ac:dyDescent="0.25">
      <c r="A1916" s="1">
        <v>1912</v>
      </c>
      <c r="B1916" s="1" t="str">
        <f t="shared" si="184"/>
        <v>2018-2776</v>
      </c>
      <c r="C1916" s="2" t="s">
        <v>1093</v>
      </c>
      <c r="D1916" s="4"/>
      <c r="E1916" s="3" t="str">
        <f>""</f>
        <v/>
      </c>
      <c r="F1916" s="2" t="s">
        <v>27</v>
      </c>
      <c r="G1916" s="2" t="str">
        <f>CONCATENATE("HIDRAULIKA KURELJA D.O.O.,"," MATENAČKA CESTA 41,"," 49290 DONJA STUBICA,"," OIB: 3092900595")</f>
        <v>HIDRAULIKA KURELJA D.O.O., MATENAČKA CESTA 41, 49290 DONJA STUBICA, OIB: 3092900595</v>
      </c>
      <c r="H1916" s="4"/>
      <c r="I1916" s="1" t="s">
        <v>951</v>
      </c>
      <c r="J1916" s="1" t="s">
        <v>74</v>
      </c>
      <c r="K1916" s="6" t="str">
        <f>"34.014,90"</f>
        <v>34.014,90</v>
      </c>
      <c r="L1916" s="6" t="str">
        <f>"8.503,73"</f>
        <v>8.503,73</v>
      </c>
      <c r="M1916" s="6" t="str">
        <f>"42.518,63"</f>
        <v>42.518,63</v>
      </c>
      <c r="N1916" s="5">
        <v>43553</v>
      </c>
      <c r="O1916" s="7"/>
      <c r="P1916" s="6" t="str">
        <f>"32.303,81"</f>
        <v>32.303,81</v>
      </c>
      <c r="Q1916" s="7"/>
      <c r="R1916" s="1"/>
      <c r="S1916" s="1" t="str">
        <f>"2-18/NOS-27-C/18"</f>
        <v>2-18/NOS-27-C/18</v>
      </c>
      <c r="T1916" s="2" t="s">
        <v>33</v>
      </c>
    </row>
    <row r="1917" spans="1:20" ht="38.25" x14ac:dyDescent="0.25">
      <c r="A1917" s="1">
        <v>1913</v>
      </c>
      <c r="B1917" s="1" t="str">
        <f>"2018-2764"</f>
        <v>2018-2764</v>
      </c>
      <c r="C1917" s="2" t="s">
        <v>926</v>
      </c>
      <c r="D1917" s="1" t="s">
        <v>246</v>
      </c>
      <c r="E1917" s="3" t="str">
        <f>"2018/S 0F2-0014655"</f>
        <v>2018/S 0F2-0014655</v>
      </c>
      <c r="F1917" s="2" t="s">
        <v>23</v>
      </c>
      <c r="G1917" s="2" t="str">
        <f>CONCATENATE("KOVA D.O.O.,"," BRAĆE RADIĆA 122B,"," 10410 VELIKA GORICA,"," OIB: 31948370674")</f>
        <v>KOVA D.O.O., BRAĆE RADIĆA 122B, 10410 VELIKA GORICA, OIB: 31948370674</v>
      </c>
      <c r="H1917" s="4"/>
      <c r="I1917" s="1" t="s">
        <v>1094</v>
      </c>
      <c r="J1917" s="1" t="s">
        <v>1095</v>
      </c>
      <c r="K1917" s="6" t="str">
        <f>"2.000.000,00"</f>
        <v>2.000.000,00</v>
      </c>
      <c r="L1917" s="6" t="str">
        <f>"500.000,00"</f>
        <v>500.000,00</v>
      </c>
      <c r="M1917" s="6" t="str">
        <f>"2.500.000,00"</f>
        <v>2.500.000,00</v>
      </c>
      <c r="N1917" s="7"/>
      <c r="O1917" s="7"/>
      <c r="P1917" s="6" t="str">
        <f>""</f>
        <v/>
      </c>
      <c r="Q1917" s="7"/>
      <c r="R1917" s="1"/>
      <c r="S1917" s="1" t="str">
        <f>"NOS-28/18"</f>
        <v>NOS-28/18</v>
      </c>
      <c r="T1917" s="2" t="s">
        <v>33</v>
      </c>
    </row>
    <row r="1918" spans="1:20" ht="38.25" x14ac:dyDescent="0.25">
      <c r="A1918" s="1">
        <v>1914</v>
      </c>
      <c r="B1918" s="1" t="str">
        <f t="shared" ref="B1918:B1941" si="187">"2018-2774"</f>
        <v>2018-2774</v>
      </c>
      <c r="C1918" s="2" t="s">
        <v>1096</v>
      </c>
      <c r="D1918" s="1" t="s">
        <v>1097</v>
      </c>
      <c r="E1918" s="3" t="str">
        <f>"2018/S 0F2-0015294"</f>
        <v>2018/S 0F2-0015294</v>
      </c>
      <c r="F1918" s="2" t="s">
        <v>23</v>
      </c>
      <c r="G1918" s="2" t="str">
        <f>CONCATENATE("PIK VRBOVEC PLUS D.O.O.,"," ZAGREBAČKA 148,"," 10340 VRBOVEC,"," OIB: 41976933718")</f>
        <v>PIK VRBOVEC PLUS D.O.O., ZAGREBAČKA 148, 10340 VRBOVEC, OIB: 41976933718</v>
      </c>
      <c r="H1918" s="4"/>
      <c r="I1918" s="1" t="s">
        <v>1009</v>
      </c>
      <c r="J1918" s="1" t="s">
        <v>1010</v>
      </c>
      <c r="K1918" s="6" t="str">
        <f>"1.440.000,00"</f>
        <v>1.440.000,00</v>
      </c>
      <c r="L1918" s="6" t="str">
        <f>"360.000,00"</f>
        <v>360.000,00</v>
      </c>
      <c r="M1918" s="6" t="str">
        <f>"1.800.000,00"</f>
        <v>1.800.000,00</v>
      </c>
      <c r="N1918" s="7"/>
      <c r="O1918" s="7"/>
      <c r="P1918" s="6" t="str">
        <f>""</f>
        <v/>
      </c>
      <c r="Q1918" s="7"/>
      <c r="R1918" s="1"/>
      <c r="S1918" s="1" t="str">
        <f>"NOS-29-A/18"</f>
        <v>NOS-29-A/18</v>
      </c>
      <c r="T1918" s="2" t="s">
        <v>26</v>
      </c>
    </row>
    <row r="1919" spans="1:20" ht="25.5" x14ac:dyDescent="0.25">
      <c r="A1919" s="1">
        <v>1915</v>
      </c>
      <c r="B1919" s="1" t="str">
        <f t="shared" si="187"/>
        <v>2018-2774</v>
      </c>
      <c r="C1919" s="2" t="s">
        <v>1096</v>
      </c>
      <c r="D1919" s="1" t="s">
        <v>1097</v>
      </c>
      <c r="E1919" s="3" t="str">
        <f>""</f>
        <v/>
      </c>
      <c r="F1919" s="2" t="s">
        <v>27</v>
      </c>
      <c r="G1919" s="2" t="str">
        <f>CONCATENATE("PIK VRBOVEC PLUS D.O.O.,"," ZAGREBAČKA 148,"," 10340 VRBOVEC,"," OIB: 41976933718")</f>
        <v>PIK VRBOVEC PLUS D.O.O., ZAGREBAČKA 148, 10340 VRBOVEC, OIB: 41976933718</v>
      </c>
      <c r="H1919" s="4"/>
      <c r="I1919" s="1" t="s">
        <v>261</v>
      </c>
      <c r="J1919" s="1" t="s">
        <v>64</v>
      </c>
      <c r="K1919" s="6" t="str">
        <f>"447.185,00"</f>
        <v>447.185,00</v>
      </c>
      <c r="L1919" s="6" t="str">
        <f>"111.796,25"</f>
        <v>111.796,25</v>
      </c>
      <c r="M1919" s="6" t="str">
        <f>"558.981,25"</f>
        <v>558.981,25</v>
      </c>
      <c r="N1919" s="5">
        <v>43644</v>
      </c>
      <c r="O1919" s="7"/>
      <c r="P1919" s="6" t="str">
        <f>"287.108,04"</f>
        <v>287.108,04</v>
      </c>
      <c r="Q1919" s="7"/>
      <c r="R1919" s="1"/>
      <c r="S1919" s="1" t="str">
        <f>"8-18/NOS-29-A/18"</f>
        <v>8-18/NOS-29-A/18</v>
      </c>
      <c r="T1919" s="2" t="s">
        <v>33</v>
      </c>
    </row>
    <row r="1920" spans="1:20" ht="25.5" x14ac:dyDescent="0.25">
      <c r="A1920" s="1">
        <v>1916</v>
      </c>
      <c r="B1920" s="1" t="str">
        <f t="shared" si="187"/>
        <v>2018-2774</v>
      </c>
      <c r="C1920" s="2" t="s">
        <v>1096</v>
      </c>
      <c r="D1920" s="4"/>
      <c r="E1920" s="3" t="str">
        <f>""</f>
        <v/>
      </c>
      <c r="F1920" s="2" t="s">
        <v>27</v>
      </c>
      <c r="G1920" s="2" t="str">
        <f>CONCATENATE("PIK VRBOVEC PLUS D.O.O.")</f>
        <v>PIK VRBOVEC PLUS D.O.O.</v>
      </c>
      <c r="H1920" s="4"/>
      <c r="I1920" s="1" t="s">
        <v>344</v>
      </c>
      <c r="J1920" s="1" t="s">
        <v>285</v>
      </c>
      <c r="K1920" s="6" t="str">
        <f>"49.860,00"</f>
        <v>49.860,00</v>
      </c>
      <c r="L1920" s="6" t="str">
        <f>"12.465,00"</f>
        <v>12.465,00</v>
      </c>
      <c r="M1920" s="6" t="str">
        <f>"62.325,00"</f>
        <v>62.325,00</v>
      </c>
      <c r="N1920" s="5">
        <v>43706</v>
      </c>
      <c r="O1920" s="7"/>
      <c r="P1920" s="6" t="str">
        <f>"2.607,81"</f>
        <v>2.607,81</v>
      </c>
      <c r="Q1920" s="7"/>
      <c r="R1920" s="1"/>
      <c r="S1920" s="1" t="str">
        <f>"1-19/NOS-29-A/18"</f>
        <v>1-19/NOS-29-A/18</v>
      </c>
      <c r="T1920" s="2" t="s">
        <v>29</v>
      </c>
    </row>
    <row r="1921" spans="1:20" ht="25.5" x14ac:dyDescent="0.25">
      <c r="A1921" s="1">
        <v>1917</v>
      </c>
      <c r="B1921" s="1" t="str">
        <f t="shared" si="187"/>
        <v>2018-2774</v>
      </c>
      <c r="C1921" s="2" t="s">
        <v>1096</v>
      </c>
      <c r="D1921" s="1" t="s">
        <v>1097</v>
      </c>
      <c r="E1921" s="3" t="str">
        <f>""</f>
        <v/>
      </c>
      <c r="F1921" s="2" t="s">
        <v>27</v>
      </c>
      <c r="G1921" s="2" t="str">
        <f t="shared" ref="G1921:G1929" si="188">CONCATENATE("PIK VRBOVEC PLUS D.O.O.,"," ZAGREBAČKA 148,"," 10340 VRBOVEC,"," OIB: 41976933718")</f>
        <v>PIK VRBOVEC PLUS D.O.O., ZAGREBAČKA 148, 10340 VRBOVEC, OIB: 41976933718</v>
      </c>
      <c r="H1921" s="4"/>
      <c r="I1921" s="1" t="s">
        <v>320</v>
      </c>
      <c r="J1921" s="1" t="s">
        <v>47</v>
      </c>
      <c r="K1921" s="6" t="str">
        <f>"1.502,00"</f>
        <v>1.502,00</v>
      </c>
      <c r="L1921" s="6" t="str">
        <f>"390,30"</f>
        <v>390,30</v>
      </c>
      <c r="M1921" s="6" t="str">
        <f>"1.951,48"</f>
        <v>1.951,48</v>
      </c>
      <c r="N1921" s="5">
        <v>43627</v>
      </c>
      <c r="O1921" s="7"/>
      <c r="P1921" s="6" t="str">
        <f>"1.951,48"</f>
        <v>1.951,48</v>
      </c>
      <c r="Q1921" s="7"/>
      <c r="R1921" s="1"/>
      <c r="S1921" s="1" t="str">
        <f>"3-19/NOS-29-A/18"</f>
        <v>3-19/NOS-29-A/18</v>
      </c>
      <c r="T1921" s="2" t="s">
        <v>33</v>
      </c>
    </row>
    <row r="1922" spans="1:20" ht="25.5" x14ac:dyDescent="0.25">
      <c r="A1922" s="1">
        <v>1918</v>
      </c>
      <c r="B1922" s="1" t="str">
        <f t="shared" si="187"/>
        <v>2018-2774</v>
      </c>
      <c r="C1922" s="2" t="s">
        <v>1096</v>
      </c>
      <c r="D1922" s="1" t="s">
        <v>1097</v>
      </c>
      <c r="E1922" s="3" t="str">
        <f>""</f>
        <v/>
      </c>
      <c r="F1922" s="2" t="s">
        <v>27</v>
      </c>
      <c r="G1922" s="2" t="str">
        <f t="shared" si="188"/>
        <v>PIK VRBOVEC PLUS D.O.O., ZAGREBAČKA 148, 10340 VRBOVEC, OIB: 41976933718</v>
      </c>
      <c r="H1922" s="4"/>
      <c r="I1922" s="1" t="s">
        <v>402</v>
      </c>
      <c r="J1922" s="1" t="s">
        <v>492</v>
      </c>
      <c r="K1922" s="6" t="str">
        <f>"2.615,00"</f>
        <v>2.615,00</v>
      </c>
      <c r="L1922" s="6" t="str">
        <f>"661,34"</f>
        <v>661,34</v>
      </c>
      <c r="M1922" s="6" t="str">
        <f>"3.306,69"</f>
        <v>3.306,69</v>
      </c>
      <c r="N1922" s="5">
        <v>43626</v>
      </c>
      <c r="O1922" s="7"/>
      <c r="P1922" s="6" t="str">
        <f>"3.306,69"</f>
        <v>3.306,69</v>
      </c>
      <c r="Q1922" s="7"/>
      <c r="R1922" s="1"/>
      <c r="S1922" s="1" t="str">
        <f>"4-19/NOS-29-A/18"</f>
        <v>4-19/NOS-29-A/18</v>
      </c>
      <c r="T1922" s="2" t="s">
        <v>33</v>
      </c>
    </row>
    <row r="1923" spans="1:20" ht="25.5" x14ac:dyDescent="0.25">
      <c r="A1923" s="1">
        <v>1919</v>
      </c>
      <c r="B1923" s="1" t="str">
        <f t="shared" si="187"/>
        <v>2018-2774</v>
      </c>
      <c r="C1923" s="2" t="s">
        <v>1096</v>
      </c>
      <c r="D1923" s="1" t="s">
        <v>1097</v>
      </c>
      <c r="E1923" s="3" t="str">
        <f>""</f>
        <v/>
      </c>
      <c r="F1923" s="2" t="s">
        <v>27</v>
      </c>
      <c r="G1923" s="2" t="str">
        <f t="shared" si="188"/>
        <v>PIK VRBOVEC PLUS D.O.O., ZAGREBAČKA 148, 10340 VRBOVEC, OIB: 41976933718</v>
      </c>
      <c r="H1923" s="4"/>
      <c r="I1923" s="1" t="s">
        <v>628</v>
      </c>
      <c r="J1923" s="1" t="s">
        <v>47</v>
      </c>
      <c r="K1923" s="6" t="str">
        <f>"455,00"</f>
        <v>455,00</v>
      </c>
      <c r="L1923" s="6" t="str">
        <f>"115,34"</f>
        <v>115,34</v>
      </c>
      <c r="M1923" s="6" t="str">
        <f>"576,71"</f>
        <v>576,71</v>
      </c>
      <c r="N1923" s="5">
        <v>43634</v>
      </c>
      <c r="O1923" s="7"/>
      <c r="P1923" s="6" t="str">
        <f>"576,71"</f>
        <v>576,71</v>
      </c>
      <c r="Q1923" s="7"/>
      <c r="R1923" s="1"/>
      <c r="S1923" s="1" t="str">
        <f>"5-19/NOS-29-A/18"</f>
        <v>5-19/NOS-29-A/18</v>
      </c>
      <c r="T1923" s="2" t="s">
        <v>33</v>
      </c>
    </row>
    <row r="1924" spans="1:20" ht="25.5" x14ac:dyDescent="0.25">
      <c r="A1924" s="1">
        <v>1920</v>
      </c>
      <c r="B1924" s="1" t="str">
        <f t="shared" si="187"/>
        <v>2018-2774</v>
      </c>
      <c r="C1924" s="2" t="s">
        <v>1096</v>
      </c>
      <c r="D1924" s="1" t="s">
        <v>1097</v>
      </c>
      <c r="E1924" s="3" t="str">
        <f>""</f>
        <v/>
      </c>
      <c r="F1924" s="2" t="s">
        <v>27</v>
      </c>
      <c r="G1924" s="2" t="str">
        <f t="shared" si="188"/>
        <v>PIK VRBOVEC PLUS D.O.O., ZAGREBAČKA 148, 10340 VRBOVEC, OIB: 41976933718</v>
      </c>
      <c r="H1924" s="4"/>
      <c r="I1924" s="1" t="s">
        <v>628</v>
      </c>
      <c r="J1924" s="1" t="s">
        <v>47</v>
      </c>
      <c r="K1924" s="6" t="str">
        <f>"300,00"</f>
        <v>300,00</v>
      </c>
      <c r="L1924" s="6" t="str">
        <f>"76,58"</f>
        <v>76,58</v>
      </c>
      <c r="M1924" s="6" t="str">
        <f>"382,88"</f>
        <v>382,88</v>
      </c>
      <c r="N1924" s="5">
        <v>43634</v>
      </c>
      <c r="O1924" s="7"/>
      <c r="P1924" s="6" t="str">
        <f>"382,88"</f>
        <v>382,88</v>
      </c>
      <c r="Q1924" s="7"/>
      <c r="R1924" s="1"/>
      <c r="S1924" s="1" t="str">
        <f>"6-19/NOS-29-A/18"</f>
        <v>6-19/NOS-29-A/18</v>
      </c>
      <c r="T1924" s="2" t="s">
        <v>33</v>
      </c>
    </row>
    <row r="1925" spans="1:20" ht="25.5" x14ac:dyDescent="0.25">
      <c r="A1925" s="1">
        <v>1921</v>
      </c>
      <c r="B1925" s="1" t="str">
        <f t="shared" si="187"/>
        <v>2018-2774</v>
      </c>
      <c r="C1925" s="2" t="s">
        <v>1096</v>
      </c>
      <c r="D1925" s="1" t="s">
        <v>1097</v>
      </c>
      <c r="E1925" s="3" t="str">
        <f>""</f>
        <v/>
      </c>
      <c r="F1925" s="2" t="s">
        <v>27</v>
      </c>
      <c r="G1925" s="2" t="str">
        <f t="shared" si="188"/>
        <v>PIK VRBOVEC PLUS D.O.O., ZAGREBAČKA 148, 10340 VRBOVEC, OIB: 41976933718</v>
      </c>
      <c r="H1925" s="4"/>
      <c r="I1925" s="1" t="s">
        <v>628</v>
      </c>
      <c r="J1925" s="1" t="s">
        <v>47</v>
      </c>
      <c r="K1925" s="6" t="str">
        <f>"1.802,40"</f>
        <v>1.802,40</v>
      </c>
      <c r="L1925" s="6" t="str">
        <f>"466,48"</f>
        <v>466,48</v>
      </c>
      <c r="M1925" s="6" t="str">
        <f>"2.332,39"</f>
        <v>2.332,39</v>
      </c>
      <c r="N1925" s="5">
        <v>43629</v>
      </c>
      <c r="O1925" s="7"/>
      <c r="P1925" s="6" t="str">
        <f>"2.332,39"</f>
        <v>2.332,39</v>
      </c>
      <c r="Q1925" s="7"/>
      <c r="R1925" s="1"/>
      <c r="S1925" s="1" t="str">
        <f>"7-19/NOS-29-A/18"</f>
        <v>7-19/NOS-29-A/18</v>
      </c>
      <c r="T1925" s="2" t="s">
        <v>33</v>
      </c>
    </row>
    <row r="1926" spans="1:20" ht="25.5" x14ac:dyDescent="0.25">
      <c r="A1926" s="1">
        <v>1922</v>
      </c>
      <c r="B1926" s="1" t="str">
        <f t="shared" si="187"/>
        <v>2018-2774</v>
      </c>
      <c r="C1926" s="2" t="s">
        <v>1096</v>
      </c>
      <c r="D1926" s="1" t="s">
        <v>1097</v>
      </c>
      <c r="E1926" s="3" t="str">
        <f>""</f>
        <v/>
      </c>
      <c r="F1926" s="2" t="s">
        <v>27</v>
      </c>
      <c r="G1926" s="2" t="str">
        <f t="shared" si="188"/>
        <v>PIK VRBOVEC PLUS D.O.O., ZAGREBAČKA 148, 10340 VRBOVEC, OIB: 41976933718</v>
      </c>
      <c r="H1926" s="4"/>
      <c r="I1926" s="1" t="s">
        <v>269</v>
      </c>
      <c r="J1926" s="1" t="s">
        <v>492</v>
      </c>
      <c r="K1926" s="6" t="str">
        <f>"124,80"</f>
        <v>124,80</v>
      </c>
      <c r="L1926" s="6" t="str">
        <f>"31,20"</f>
        <v>31,20</v>
      </c>
      <c r="M1926" s="6" t="str">
        <f>"156,00"</f>
        <v>156,00</v>
      </c>
      <c r="N1926" s="5">
        <v>43637</v>
      </c>
      <c r="O1926" s="7"/>
      <c r="P1926" s="6" t="str">
        <f>"156,00"</f>
        <v>156,00</v>
      </c>
      <c r="Q1926" s="7"/>
      <c r="R1926" s="1"/>
      <c r="S1926" s="1" t="str">
        <f>"8-19/NOS-29-A/18"</f>
        <v>8-19/NOS-29-A/18</v>
      </c>
      <c r="T1926" s="2" t="s">
        <v>33</v>
      </c>
    </row>
    <row r="1927" spans="1:20" ht="25.5" x14ac:dyDescent="0.25">
      <c r="A1927" s="1">
        <v>1923</v>
      </c>
      <c r="B1927" s="1" t="str">
        <f t="shared" si="187"/>
        <v>2018-2774</v>
      </c>
      <c r="C1927" s="2" t="s">
        <v>1096</v>
      </c>
      <c r="D1927" s="1" t="s">
        <v>1097</v>
      </c>
      <c r="E1927" s="3" t="str">
        <f>""</f>
        <v/>
      </c>
      <c r="F1927" s="2" t="s">
        <v>27</v>
      </c>
      <c r="G1927" s="2" t="str">
        <f t="shared" si="188"/>
        <v>PIK VRBOVEC PLUS D.O.O., ZAGREBAČKA 148, 10340 VRBOVEC, OIB: 41976933718</v>
      </c>
      <c r="H1927" s="4"/>
      <c r="I1927" s="1" t="s">
        <v>396</v>
      </c>
      <c r="J1927" s="1" t="s">
        <v>242</v>
      </c>
      <c r="K1927" s="6" t="str">
        <f>"832,50"</f>
        <v>832,50</v>
      </c>
      <c r="L1927" s="6" t="str">
        <f>"0,00"</f>
        <v>0,00</v>
      </c>
      <c r="M1927" s="6" t="str">
        <f>"0,00"</f>
        <v>0,00</v>
      </c>
      <c r="N1927" s="1" t="s">
        <v>117</v>
      </c>
      <c r="O1927" s="7"/>
      <c r="P1927" s="6" t="str">
        <f>"0,00"</f>
        <v>0,00</v>
      </c>
      <c r="Q1927" s="7"/>
      <c r="R1927" s="1"/>
      <c r="S1927" s="1" t="str">
        <f>"9-19/NOS-29-A/18"</f>
        <v>9-19/NOS-29-A/18</v>
      </c>
      <c r="T1927" s="2" t="s">
        <v>33</v>
      </c>
    </row>
    <row r="1928" spans="1:20" ht="38.25" x14ac:dyDescent="0.25">
      <c r="A1928" s="1">
        <v>1924</v>
      </c>
      <c r="B1928" s="1" t="str">
        <f t="shared" si="187"/>
        <v>2018-2774</v>
      </c>
      <c r="C1928" s="2" t="s">
        <v>1096</v>
      </c>
      <c r="D1928" s="1" t="s">
        <v>1097</v>
      </c>
      <c r="E1928" s="3" t="str">
        <f>"2018/S 0F2-0015294"</f>
        <v>2018/S 0F2-0015294</v>
      </c>
      <c r="F1928" s="2" t="s">
        <v>23</v>
      </c>
      <c r="G1928" s="2" t="str">
        <f t="shared" si="188"/>
        <v>PIK VRBOVEC PLUS D.O.O., ZAGREBAČKA 148, 10340 VRBOVEC, OIB: 41976933718</v>
      </c>
      <c r="H1928" s="4"/>
      <c r="I1928" s="1" t="s">
        <v>1009</v>
      </c>
      <c r="J1928" s="1" t="s">
        <v>1010</v>
      </c>
      <c r="K1928" s="6" t="str">
        <f>"420.000,00"</f>
        <v>420.000,00</v>
      </c>
      <c r="L1928" s="6" t="str">
        <f>"105.000,00"</f>
        <v>105.000,00</v>
      </c>
      <c r="M1928" s="6" t="str">
        <f>"525.000,00"</f>
        <v>525.000,00</v>
      </c>
      <c r="N1928" s="7"/>
      <c r="O1928" s="7"/>
      <c r="P1928" s="6" t="str">
        <f>""</f>
        <v/>
      </c>
      <c r="Q1928" s="7"/>
      <c r="R1928" s="1"/>
      <c r="S1928" s="1" t="str">
        <f>"NOS-29-C/18"</f>
        <v>NOS-29-C/18</v>
      </c>
      <c r="T1928" s="2" t="s">
        <v>26</v>
      </c>
    </row>
    <row r="1929" spans="1:20" ht="25.5" x14ac:dyDescent="0.25">
      <c r="A1929" s="1">
        <v>1925</v>
      </c>
      <c r="B1929" s="1" t="str">
        <f t="shared" si="187"/>
        <v>2018-2774</v>
      </c>
      <c r="C1929" s="2" t="s">
        <v>1096</v>
      </c>
      <c r="D1929" s="1" t="s">
        <v>1097</v>
      </c>
      <c r="E1929" s="3" t="str">
        <f>""</f>
        <v/>
      </c>
      <c r="F1929" s="2" t="s">
        <v>27</v>
      </c>
      <c r="G1929" s="2" t="str">
        <f t="shared" si="188"/>
        <v>PIK VRBOVEC PLUS D.O.O., ZAGREBAČKA 148, 10340 VRBOVEC, OIB: 41976933718</v>
      </c>
      <c r="H1929" s="4"/>
      <c r="I1929" s="1" t="s">
        <v>261</v>
      </c>
      <c r="J1929" s="1" t="s">
        <v>64</v>
      </c>
      <c r="K1929" s="6" t="str">
        <f>"99.630,00"</f>
        <v>99.630,00</v>
      </c>
      <c r="L1929" s="6" t="str">
        <f>"24.907,50"</f>
        <v>24.907,50</v>
      </c>
      <c r="M1929" s="6" t="str">
        <f>"124.537,50"</f>
        <v>124.537,50</v>
      </c>
      <c r="N1929" s="5">
        <v>43612</v>
      </c>
      <c r="O1929" s="7"/>
      <c r="P1929" s="6" t="str">
        <f>"68.243,95"</f>
        <v>68.243,95</v>
      </c>
      <c r="Q1929" s="7"/>
      <c r="R1929" s="1"/>
      <c r="S1929" s="1" t="str">
        <f>"10-18/NOS-29-C/18"</f>
        <v>10-18/NOS-29-C/18</v>
      </c>
      <c r="T1929" s="2" t="s">
        <v>33</v>
      </c>
    </row>
    <row r="1930" spans="1:20" ht="25.5" x14ac:dyDescent="0.25">
      <c r="A1930" s="1">
        <v>1926</v>
      </c>
      <c r="B1930" s="1" t="str">
        <f t="shared" si="187"/>
        <v>2018-2774</v>
      </c>
      <c r="C1930" s="2" t="s">
        <v>1096</v>
      </c>
      <c r="D1930" s="4"/>
      <c r="E1930" s="3" t="str">
        <f>""</f>
        <v/>
      </c>
      <c r="F1930" s="2" t="s">
        <v>27</v>
      </c>
      <c r="G1930" s="2" t="str">
        <f>CONCATENATE("PIK VRBOVEC PLUS D.O.O.")</f>
        <v>PIK VRBOVEC PLUS D.O.O.</v>
      </c>
      <c r="H1930" s="4"/>
      <c r="I1930" s="1" t="s">
        <v>344</v>
      </c>
      <c r="J1930" s="1" t="s">
        <v>285</v>
      </c>
      <c r="K1930" s="6" t="str">
        <f>"29.415,00"</f>
        <v>29.415,00</v>
      </c>
      <c r="L1930" s="6" t="str">
        <f>"7.353,75"</f>
        <v>7.353,75</v>
      </c>
      <c r="M1930" s="6" t="str">
        <f>"36.768,75"</f>
        <v>36.768,75</v>
      </c>
      <c r="N1930" s="1" t="s">
        <v>117</v>
      </c>
      <c r="O1930" s="7"/>
      <c r="P1930" s="6" t="str">
        <f>""</f>
        <v/>
      </c>
      <c r="Q1930" s="7"/>
      <c r="R1930" s="1"/>
      <c r="S1930" s="1" t="str">
        <f>"1-19/NOS-29-C/18"</f>
        <v>1-19/NOS-29-C/18</v>
      </c>
      <c r="T1930" s="2" t="s">
        <v>29</v>
      </c>
    </row>
    <row r="1931" spans="1:20" ht="25.5" x14ac:dyDescent="0.25">
      <c r="A1931" s="1">
        <v>1927</v>
      </c>
      <c r="B1931" s="1" t="str">
        <f t="shared" si="187"/>
        <v>2018-2774</v>
      </c>
      <c r="C1931" s="2" t="s">
        <v>1096</v>
      </c>
      <c r="D1931" s="1" t="s">
        <v>1097</v>
      </c>
      <c r="E1931" s="3" t="str">
        <f>""</f>
        <v/>
      </c>
      <c r="F1931" s="2" t="s">
        <v>27</v>
      </c>
      <c r="G1931" s="2" t="str">
        <f t="shared" ref="G1931:G1941" si="189">CONCATENATE("PIK VRBOVEC PLUS D.O.O.,"," ZAGREBAČKA 148,"," 10340 VRBOVEC,"," OIB: 41976933718")</f>
        <v>PIK VRBOVEC PLUS D.O.O., ZAGREBAČKA 148, 10340 VRBOVEC, OIB: 41976933718</v>
      </c>
      <c r="H1931" s="4"/>
      <c r="I1931" s="1" t="s">
        <v>499</v>
      </c>
      <c r="J1931" s="1" t="s">
        <v>47</v>
      </c>
      <c r="K1931" s="6" t="str">
        <f>"986,00"</f>
        <v>986,00</v>
      </c>
      <c r="L1931" s="6" t="str">
        <f>"267,92"</f>
        <v>267,92</v>
      </c>
      <c r="M1931" s="6" t="str">
        <f>"1.339,60"</f>
        <v>1.339,60</v>
      </c>
      <c r="N1931" s="5">
        <v>43619</v>
      </c>
      <c r="O1931" s="7"/>
      <c r="P1931" s="6" t="str">
        <f>"1.339,60"</f>
        <v>1.339,60</v>
      </c>
      <c r="Q1931" s="7"/>
      <c r="R1931" s="1"/>
      <c r="S1931" s="1" t="str">
        <f>"3-19/NOS-29-C/18"</f>
        <v>3-19/NOS-29-C/18</v>
      </c>
      <c r="T1931" s="2" t="s">
        <v>33</v>
      </c>
    </row>
    <row r="1932" spans="1:20" ht="25.5" x14ac:dyDescent="0.25">
      <c r="A1932" s="1">
        <v>1928</v>
      </c>
      <c r="B1932" s="1" t="str">
        <f t="shared" si="187"/>
        <v>2018-2774</v>
      </c>
      <c r="C1932" s="2" t="s">
        <v>1096</v>
      </c>
      <c r="D1932" s="1" t="s">
        <v>1097</v>
      </c>
      <c r="E1932" s="3" t="str">
        <f>""</f>
        <v/>
      </c>
      <c r="F1932" s="2" t="s">
        <v>27</v>
      </c>
      <c r="G1932" s="2" t="str">
        <f t="shared" si="189"/>
        <v>PIK VRBOVEC PLUS D.O.O., ZAGREBAČKA 148, 10340 VRBOVEC, OIB: 41976933718</v>
      </c>
      <c r="H1932" s="4"/>
      <c r="I1932" s="1" t="s">
        <v>499</v>
      </c>
      <c r="J1932" s="1" t="s">
        <v>47</v>
      </c>
      <c r="K1932" s="6" t="str">
        <f>"1.595,00"</f>
        <v>1.595,00</v>
      </c>
      <c r="L1932" s="6" t="str">
        <f>"446,54"</f>
        <v>446,54</v>
      </c>
      <c r="M1932" s="6" t="str">
        <f>"2.232,68"</f>
        <v>2.232,68</v>
      </c>
      <c r="N1932" s="5">
        <v>43619</v>
      </c>
      <c r="O1932" s="7"/>
      <c r="P1932" s="6" t="str">
        <f>"2.232,68"</f>
        <v>2.232,68</v>
      </c>
      <c r="Q1932" s="7"/>
      <c r="R1932" s="1"/>
      <c r="S1932" s="1" t="str">
        <f>"4-19/NOS-29-C/18"</f>
        <v>4-19/NOS-29-C/18</v>
      </c>
      <c r="T1932" s="2" t="s">
        <v>33</v>
      </c>
    </row>
    <row r="1933" spans="1:20" ht="25.5" x14ac:dyDescent="0.25">
      <c r="A1933" s="1">
        <v>1929</v>
      </c>
      <c r="B1933" s="1" t="str">
        <f t="shared" si="187"/>
        <v>2018-2774</v>
      </c>
      <c r="C1933" s="2" t="s">
        <v>1096</v>
      </c>
      <c r="D1933" s="1" t="s">
        <v>1097</v>
      </c>
      <c r="E1933" s="3" t="str">
        <f>""</f>
        <v/>
      </c>
      <c r="F1933" s="2" t="s">
        <v>27</v>
      </c>
      <c r="G1933" s="2" t="str">
        <f t="shared" si="189"/>
        <v>PIK VRBOVEC PLUS D.O.O., ZAGREBAČKA 148, 10340 VRBOVEC, OIB: 41976933718</v>
      </c>
      <c r="H1933" s="4"/>
      <c r="I1933" s="1" t="s">
        <v>320</v>
      </c>
      <c r="J1933" s="1" t="s">
        <v>47</v>
      </c>
      <c r="K1933" s="6" t="str">
        <f>"1.035,00"</f>
        <v>1.035,00</v>
      </c>
      <c r="L1933" s="6" t="str">
        <f>"211,82"</f>
        <v>211,82</v>
      </c>
      <c r="M1933" s="6" t="str">
        <f>"1.059,08"</f>
        <v>1.059,08</v>
      </c>
      <c r="N1933" s="5">
        <v>43626</v>
      </c>
      <c r="O1933" s="7"/>
      <c r="P1933" s="6" t="str">
        <f>"1.059,08"</f>
        <v>1.059,08</v>
      </c>
      <c r="Q1933" s="7"/>
      <c r="R1933" s="1"/>
      <c r="S1933" s="1" t="str">
        <f>"5-19/NOS-29-C/18"</f>
        <v>5-19/NOS-29-C/18</v>
      </c>
      <c r="T1933" s="2" t="s">
        <v>33</v>
      </c>
    </row>
    <row r="1934" spans="1:20" ht="25.5" x14ac:dyDescent="0.25">
      <c r="A1934" s="1">
        <v>1930</v>
      </c>
      <c r="B1934" s="1" t="str">
        <f t="shared" si="187"/>
        <v>2018-2774</v>
      </c>
      <c r="C1934" s="2" t="s">
        <v>1096</v>
      </c>
      <c r="D1934" s="1" t="s">
        <v>1097</v>
      </c>
      <c r="E1934" s="3" t="str">
        <f>""</f>
        <v/>
      </c>
      <c r="F1934" s="2" t="s">
        <v>27</v>
      </c>
      <c r="G1934" s="2" t="str">
        <f t="shared" si="189"/>
        <v>PIK VRBOVEC PLUS D.O.O., ZAGREBAČKA 148, 10340 VRBOVEC, OIB: 41976933718</v>
      </c>
      <c r="H1934" s="4"/>
      <c r="I1934" s="1" t="s">
        <v>628</v>
      </c>
      <c r="J1934" s="1" t="s">
        <v>47</v>
      </c>
      <c r="K1934" s="6" t="str">
        <f>"314,00"</f>
        <v>314,00</v>
      </c>
      <c r="L1934" s="6" t="str">
        <f>"84,68"</f>
        <v>84,68</v>
      </c>
      <c r="M1934" s="6" t="str">
        <f>"423,38"</f>
        <v>423,38</v>
      </c>
      <c r="N1934" s="5">
        <v>43633</v>
      </c>
      <c r="O1934" s="7"/>
      <c r="P1934" s="6" t="str">
        <f>"423,38"</f>
        <v>423,38</v>
      </c>
      <c r="Q1934" s="7"/>
      <c r="R1934" s="1"/>
      <c r="S1934" s="1" t="str">
        <f>"6-19/NOS-29-C/18"</f>
        <v>6-19/NOS-29-C/18</v>
      </c>
      <c r="T1934" s="2" t="s">
        <v>33</v>
      </c>
    </row>
    <row r="1935" spans="1:20" ht="25.5" x14ac:dyDescent="0.25">
      <c r="A1935" s="1">
        <v>1931</v>
      </c>
      <c r="B1935" s="1" t="str">
        <f t="shared" si="187"/>
        <v>2018-2774</v>
      </c>
      <c r="C1935" s="2" t="s">
        <v>1096</v>
      </c>
      <c r="D1935" s="1" t="s">
        <v>1097</v>
      </c>
      <c r="E1935" s="3" t="str">
        <f>""</f>
        <v/>
      </c>
      <c r="F1935" s="2" t="s">
        <v>27</v>
      </c>
      <c r="G1935" s="2" t="str">
        <f t="shared" si="189"/>
        <v>PIK VRBOVEC PLUS D.O.O., ZAGREBAČKA 148, 10340 VRBOVEC, OIB: 41976933718</v>
      </c>
      <c r="H1935" s="4"/>
      <c r="I1935" s="1" t="s">
        <v>628</v>
      </c>
      <c r="J1935" s="1" t="s">
        <v>47</v>
      </c>
      <c r="K1935" s="6" t="str">
        <f>"1.368,50"</f>
        <v>1.368,50</v>
      </c>
      <c r="L1935" s="6" t="str">
        <f>"359,69"</f>
        <v>359,69</v>
      </c>
      <c r="M1935" s="6" t="str">
        <f>"1.798,43"</f>
        <v>1.798,43</v>
      </c>
      <c r="N1935" s="5">
        <v>43630</v>
      </c>
      <c r="O1935" s="7"/>
      <c r="P1935" s="6" t="str">
        <f>"1.798,42"</f>
        <v>1.798,42</v>
      </c>
      <c r="Q1935" s="7"/>
      <c r="R1935" s="1"/>
      <c r="S1935" s="1" t="str">
        <f>"7-19/NOS-29-C/18"</f>
        <v>7-19/NOS-29-C/18</v>
      </c>
      <c r="T1935" s="2" t="s">
        <v>33</v>
      </c>
    </row>
    <row r="1936" spans="1:20" ht="25.5" x14ac:dyDescent="0.25">
      <c r="A1936" s="1">
        <v>1932</v>
      </c>
      <c r="B1936" s="1" t="str">
        <f t="shared" si="187"/>
        <v>2018-2774</v>
      </c>
      <c r="C1936" s="2" t="s">
        <v>1096</v>
      </c>
      <c r="D1936" s="1" t="s">
        <v>1097</v>
      </c>
      <c r="E1936" s="3" t="str">
        <f>""</f>
        <v/>
      </c>
      <c r="F1936" s="2" t="s">
        <v>27</v>
      </c>
      <c r="G1936" s="2" t="str">
        <f t="shared" si="189"/>
        <v>PIK VRBOVEC PLUS D.O.O., ZAGREBAČKA 148, 10340 VRBOVEC, OIB: 41976933718</v>
      </c>
      <c r="H1936" s="4"/>
      <c r="I1936" s="1" t="s">
        <v>628</v>
      </c>
      <c r="J1936" s="1" t="s">
        <v>47</v>
      </c>
      <c r="K1936" s="6" t="str">
        <f>"487,00"</f>
        <v>487,00</v>
      </c>
      <c r="L1936" s="6" t="str">
        <f>"123,53"</f>
        <v>123,53</v>
      </c>
      <c r="M1936" s="6" t="str">
        <f>"617,63"</f>
        <v>617,63</v>
      </c>
      <c r="N1936" s="5">
        <v>43629</v>
      </c>
      <c r="O1936" s="7"/>
      <c r="P1936" s="6" t="str">
        <f>"617,62"</f>
        <v>617,62</v>
      </c>
      <c r="Q1936" s="7"/>
      <c r="R1936" s="1"/>
      <c r="S1936" s="1" t="str">
        <f>"8-19/NOS-29-C/18"</f>
        <v>8-19/NOS-29-C/18</v>
      </c>
      <c r="T1936" s="2" t="s">
        <v>33</v>
      </c>
    </row>
    <row r="1937" spans="1:20" ht="25.5" x14ac:dyDescent="0.25">
      <c r="A1937" s="1">
        <v>1933</v>
      </c>
      <c r="B1937" s="1" t="str">
        <f t="shared" si="187"/>
        <v>2018-2774</v>
      </c>
      <c r="C1937" s="2" t="s">
        <v>1096</v>
      </c>
      <c r="D1937" s="1" t="s">
        <v>1097</v>
      </c>
      <c r="E1937" s="3" t="str">
        <f>""</f>
        <v/>
      </c>
      <c r="F1937" s="2" t="s">
        <v>27</v>
      </c>
      <c r="G1937" s="2" t="str">
        <f t="shared" si="189"/>
        <v>PIK VRBOVEC PLUS D.O.O., ZAGREBAČKA 148, 10340 VRBOVEC, OIB: 41976933718</v>
      </c>
      <c r="H1937" s="4"/>
      <c r="I1937" s="1" t="s">
        <v>424</v>
      </c>
      <c r="J1937" s="1" t="s">
        <v>47</v>
      </c>
      <c r="K1937" s="6" t="str">
        <f>"150,00"</f>
        <v>150,00</v>
      </c>
      <c r="L1937" s="6" t="str">
        <f>"48,61"</f>
        <v>48,61</v>
      </c>
      <c r="M1937" s="6" t="str">
        <f>"243,06"</f>
        <v>243,06</v>
      </c>
      <c r="N1937" s="5">
        <v>43637</v>
      </c>
      <c r="O1937" s="7"/>
      <c r="P1937" s="6" t="str">
        <f>"243,06"</f>
        <v>243,06</v>
      </c>
      <c r="Q1937" s="7"/>
      <c r="R1937" s="1"/>
      <c r="S1937" s="1" t="str">
        <f>"9-19/NOS-29-C/18"</f>
        <v>9-19/NOS-29-C/18</v>
      </c>
      <c r="T1937" s="2" t="s">
        <v>33</v>
      </c>
    </row>
    <row r="1938" spans="1:20" ht="25.5" x14ac:dyDescent="0.25">
      <c r="A1938" s="1">
        <v>1934</v>
      </c>
      <c r="B1938" s="1" t="str">
        <f t="shared" si="187"/>
        <v>2018-2774</v>
      </c>
      <c r="C1938" s="2" t="s">
        <v>1096</v>
      </c>
      <c r="D1938" s="1" t="s">
        <v>1097</v>
      </c>
      <c r="E1938" s="3" t="str">
        <f>""</f>
        <v/>
      </c>
      <c r="F1938" s="2" t="s">
        <v>27</v>
      </c>
      <c r="G1938" s="2" t="str">
        <f t="shared" si="189"/>
        <v>PIK VRBOVEC PLUS D.O.O., ZAGREBAČKA 148, 10340 VRBOVEC, OIB: 41976933718</v>
      </c>
      <c r="H1938" s="4"/>
      <c r="I1938" s="1" t="s">
        <v>269</v>
      </c>
      <c r="J1938" s="1" t="s">
        <v>492</v>
      </c>
      <c r="K1938" s="6" t="str">
        <f>"200,00"</f>
        <v>200,00</v>
      </c>
      <c r="L1938" s="6" t="str">
        <f>"50,00"</f>
        <v>50,00</v>
      </c>
      <c r="M1938" s="6" t="str">
        <f>"250,00"</f>
        <v>250,00</v>
      </c>
      <c r="N1938" s="5">
        <v>43635</v>
      </c>
      <c r="O1938" s="7"/>
      <c r="P1938" s="6" t="str">
        <f>"250,00"</f>
        <v>250,00</v>
      </c>
      <c r="Q1938" s="7"/>
      <c r="R1938" s="1"/>
      <c r="S1938" s="1" t="str">
        <f>"10-19/NOS-29-C/18"</f>
        <v>10-19/NOS-29-C/18</v>
      </c>
      <c r="T1938" s="2" t="s">
        <v>33</v>
      </c>
    </row>
    <row r="1939" spans="1:20" ht="25.5" x14ac:dyDescent="0.25">
      <c r="A1939" s="1">
        <v>1935</v>
      </c>
      <c r="B1939" s="1" t="str">
        <f t="shared" si="187"/>
        <v>2018-2774</v>
      </c>
      <c r="C1939" s="2" t="s">
        <v>1096</v>
      </c>
      <c r="D1939" s="1" t="s">
        <v>1097</v>
      </c>
      <c r="E1939" s="3" t="str">
        <f>""</f>
        <v/>
      </c>
      <c r="F1939" s="2" t="s">
        <v>27</v>
      </c>
      <c r="G1939" s="2" t="str">
        <f t="shared" si="189"/>
        <v>PIK VRBOVEC PLUS D.O.O., ZAGREBAČKA 148, 10340 VRBOVEC, OIB: 41976933718</v>
      </c>
      <c r="H1939" s="4"/>
      <c r="I1939" s="1" t="s">
        <v>930</v>
      </c>
      <c r="J1939" s="1" t="s">
        <v>492</v>
      </c>
      <c r="K1939" s="6" t="str">
        <f>"100,00"</f>
        <v>100,00</v>
      </c>
      <c r="L1939" s="6" t="str">
        <f>"27,89"</f>
        <v>27,89</v>
      </c>
      <c r="M1939" s="6" t="str">
        <f>"139,44"</f>
        <v>139,44</v>
      </c>
      <c r="N1939" s="5">
        <v>43642</v>
      </c>
      <c r="O1939" s="7"/>
      <c r="P1939" s="6" t="str">
        <f>"139,44"</f>
        <v>139,44</v>
      </c>
      <c r="Q1939" s="7"/>
      <c r="R1939" s="1"/>
      <c r="S1939" s="1" t="str">
        <f>"11-19/NOS-29-C/18"</f>
        <v>11-19/NOS-29-C/18</v>
      </c>
      <c r="T1939" s="2" t="s">
        <v>33</v>
      </c>
    </row>
    <row r="1940" spans="1:20" ht="25.5" x14ac:dyDescent="0.25">
      <c r="A1940" s="1">
        <v>1936</v>
      </c>
      <c r="B1940" s="1" t="str">
        <f t="shared" si="187"/>
        <v>2018-2774</v>
      </c>
      <c r="C1940" s="2" t="s">
        <v>1096</v>
      </c>
      <c r="D1940" s="1" t="s">
        <v>1097</v>
      </c>
      <c r="E1940" s="3" t="str">
        <f>""</f>
        <v/>
      </c>
      <c r="F1940" s="2" t="s">
        <v>27</v>
      </c>
      <c r="G1940" s="2" t="str">
        <f t="shared" si="189"/>
        <v>PIK VRBOVEC PLUS D.O.O., ZAGREBAČKA 148, 10340 VRBOVEC, OIB: 41976933718</v>
      </c>
      <c r="H1940" s="4"/>
      <c r="I1940" s="1" t="s">
        <v>396</v>
      </c>
      <c r="J1940" s="1" t="s">
        <v>242</v>
      </c>
      <c r="K1940" s="6" t="str">
        <f>"267,50"</f>
        <v>267,50</v>
      </c>
      <c r="L1940" s="6" t="str">
        <f>"0,00"</f>
        <v>0,00</v>
      </c>
      <c r="M1940" s="6" t="str">
        <f>"0,00"</f>
        <v>0,00</v>
      </c>
      <c r="N1940" s="1" t="s">
        <v>117</v>
      </c>
      <c r="O1940" s="7"/>
      <c r="P1940" s="6" t="str">
        <f>"0,00"</f>
        <v>0,00</v>
      </c>
      <c r="Q1940" s="7"/>
      <c r="R1940" s="1"/>
      <c r="S1940" s="1" t="str">
        <f>"12-19/NOS-29-C/18"</f>
        <v>12-19/NOS-29-C/18</v>
      </c>
      <c r="T1940" s="2" t="s">
        <v>33</v>
      </c>
    </row>
    <row r="1941" spans="1:20" ht="25.5" x14ac:dyDescent="0.25">
      <c r="A1941" s="1">
        <v>1937</v>
      </c>
      <c r="B1941" s="1" t="str">
        <f t="shared" si="187"/>
        <v>2018-2774</v>
      </c>
      <c r="C1941" s="2" t="s">
        <v>1096</v>
      </c>
      <c r="D1941" s="1" t="s">
        <v>1097</v>
      </c>
      <c r="E1941" s="3" t="str">
        <f>""</f>
        <v/>
      </c>
      <c r="F1941" s="2" t="s">
        <v>27</v>
      </c>
      <c r="G1941" s="2" t="str">
        <f t="shared" si="189"/>
        <v>PIK VRBOVEC PLUS D.O.O., ZAGREBAČKA 148, 10340 VRBOVEC, OIB: 41976933718</v>
      </c>
      <c r="H1941" s="4"/>
      <c r="I1941" s="1" t="s">
        <v>396</v>
      </c>
      <c r="J1941" s="1" t="s">
        <v>242</v>
      </c>
      <c r="K1941" s="6" t="str">
        <f>"1.008,00"</f>
        <v>1.008,00</v>
      </c>
      <c r="L1941" s="6" t="str">
        <f>"0,00"</f>
        <v>0,00</v>
      </c>
      <c r="M1941" s="6" t="str">
        <f>"0,00"</f>
        <v>0,00</v>
      </c>
      <c r="N1941" s="1" t="s">
        <v>117</v>
      </c>
      <c r="O1941" s="7"/>
      <c r="P1941" s="6" t="str">
        <f>"0,00"</f>
        <v>0,00</v>
      </c>
      <c r="Q1941" s="7"/>
      <c r="R1941" s="1"/>
      <c r="S1941" s="1" t="str">
        <f>"13-19/NOS-29-C/18"</f>
        <v>13-19/NOS-29-C/18</v>
      </c>
      <c r="T1941" s="2" t="s">
        <v>33</v>
      </c>
    </row>
    <row r="1942" spans="1:20" ht="38.25" x14ac:dyDescent="0.25">
      <c r="A1942" s="1">
        <v>1938</v>
      </c>
      <c r="B1942" s="1" t="str">
        <f>"2018-1596"</f>
        <v>2018-1596</v>
      </c>
      <c r="C1942" s="2" t="s">
        <v>1098</v>
      </c>
      <c r="D1942" s="1" t="s">
        <v>625</v>
      </c>
      <c r="E1942" s="3" t="str">
        <f>"2018/S 0F2-0019193"</f>
        <v>2018/S 0F2-0019193</v>
      </c>
      <c r="F1942" s="2" t="s">
        <v>23</v>
      </c>
      <c r="G1942" s="2" t="str">
        <f>CONCATENATE("NASTAVNI ZAVOD ZA JAVNO ZDRAVSTVO DR. ANDRIJA ŠTAMPAR,"," MIROGOJSKA CESTA 16,"," 10000 ZAGREB,"," OIB: 3339200596")</f>
        <v>NASTAVNI ZAVOD ZA JAVNO ZDRAVSTVO DR. ANDRIJA ŠTAMPAR, MIROGOJSKA CESTA 16, 10000 ZAGREB, OIB: 3339200596</v>
      </c>
      <c r="H1942" s="4"/>
      <c r="I1942" s="1" t="s">
        <v>1009</v>
      </c>
      <c r="J1942" s="1" t="s">
        <v>1010</v>
      </c>
      <c r="K1942" s="6" t="str">
        <f>"600.000,00"</f>
        <v>600.000,00</v>
      </c>
      <c r="L1942" s="6" t="str">
        <f>"150.000,00"</f>
        <v>150.000,00</v>
      </c>
      <c r="M1942" s="6" t="str">
        <f>"750.000,00"</f>
        <v>750.000,00</v>
      </c>
      <c r="N1942" s="7"/>
      <c r="O1942" s="7"/>
      <c r="P1942" s="6" t="str">
        <f>""</f>
        <v/>
      </c>
      <c r="Q1942" s="7"/>
      <c r="R1942" s="1"/>
      <c r="S1942" s="1" t="str">
        <f>"NOS-30/18"</f>
        <v>NOS-30/18</v>
      </c>
      <c r="T1942" s="2" t="s">
        <v>29</v>
      </c>
    </row>
    <row r="1943" spans="1:20" ht="38.25" x14ac:dyDescent="0.25">
      <c r="A1943" s="1">
        <v>1939</v>
      </c>
      <c r="B1943" s="1" t="str">
        <f>"2018-1596"</f>
        <v>2018-1596</v>
      </c>
      <c r="C1943" s="2" t="s">
        <v>1098</v>
      </c>
      <c r="D1943" s="1" t="s">
        <v>625</v>
      </c>
      <c r="E1943" s="3" t="str">
        <f>""</f>
        <v/>
      </c>
      <c r="F1943" s="2" t="s">
        <v>27</v>
      </c>
      <c r="G1943" s="2" t="str">
        <f>CONCATENATE("NASTAVNI ZAVOD ZA JAVNO ZDRAVSTVO DR. ANDRIJA ŠTAMPAR,"," MIROGOJSKA CESTA 16,"," 10000 ZAGREB,"," OIB: 3339200596")</f>
        <v>NASTAVNI ZAVOD ZA JAVNO ZDRAVSTVO DR. ANDRIJA ŠTAMPAR, MIROGOJSKA CESTA 16, 10000 ZAGREB, OIB: 3339200596</v>
      </c>
      <c r="H1943" s="4"/>
      <c r="I1943" s="1" t="s">
        <v>398</v>
      </c>
      <c r="J1943" s="1" t="s">
        <v>42</v>
      </c>
      <c r="K1943" s="6" t="str">
        <f>"174.455,00"</f>
        <v>174.455,00</v>
      </c>
      <c r="L1943" s="6" t="str">
        <f>"43.613,75"</f>
        <v>43.613,75</v>
      </c>
      <c r="M1943" s="6" t="str">
        <f>"218.068,75"</f>
        <v>218.068,75</v>
      </c>
      <c r="N1943" s="5">
        <v>43719</v>
      </c>
      <c r="O1943" s="7"/>
      <c r="P1943" s="6" t="str">
        <f>"123.608,75"</f>
        <v>123.608,75</v>
      </c>
      <c r="Q1943" s="7"/>
      <c r="R1943" s="1"/>
      <c r="S1943" s="1" t="str">
        <f>"1-18/NOS-30/18"</f>
        <v>1-18/NOS-30/18</v>
      </c>
      <c r="T1943" s="2" t="s">
        <v>29</v>
      </c>
    </row>
    <row r="1944" spans="1:20" ht="51" x14ac:dyDescent="0.25">
      <c r="A1944" s="1">
        <v>1940</v>
      </c>
      <c r="B1944" s="1" t="str">
        <f>"2018-2806"</f>
        <v>2018-2806</v>
      </c>
      <c r="C1944" s="2" t="s">
        <v>1099</v>
      </c>
      <c r="D1944" s="1" t="s">
        <v>239</v>
      </c>
      <c r="E1944" s="3" t="str">
        <f>"2018/S 0F2-0016890"</f>
        <v>2018/S 0F2-0016890</v>
      </c>
      <c r="F1944" s="2" t="s">
        <v>23</v>
      </c>
      <c r="G1944" s="2" t="str">
        <f>CONCATENATE("GEOGIS D.O.O.,"," 2. MAKSIMIRSKO NASELJE 3,"," 10 000 ZAGREB,"," OIB: 6304681775")</f>
        <v>GEOGIS D.O.O., 2. MAKSIMIRSKO NASELJE 3, 10 000 ZAGREB, OIB: 6304681775</v>
      </c>
      <c r="H1944" s="4"/>
      <c r="I1944" s="1" t="s">
        <v>1009</v>
      </c>
      <c r="J1944" s="1" t="s">
        <v>1010</v>
      </c>
      <c r="K1944" s="6" t="str">
        <f>"2.000.000,00"</f>
        <v>2.000.000,00</v>
      </c>
      <c r="L1944" s="6" t="str">
        <f>"500.000,00"</f>
        <v>500.000,00</v>
      </c>
      <c r="M1944" s="6" t="str">
        <f>"2.500.000,00"</f>
        <v>2.500.000,00</v>
      </c>
      <c r="N1944" s="7"/>
      <c r="O1944" s="7"/>
      <c r="P1944" s="6" t="str">
        <f>""</f>
        <v/>
      </c>
      <c r="Q1944" s="7"/>
      <c r="R1944" s="1"/>
      <c r="S1944" s="1" t="str">
        <f>"NOS-31/18"</f>
        <v>NOS-31/18</v>
      </c>
      <c r="T1944" s="2" t="s">
        <v>33</v>
      </c>
    </row>
    <row r="1945" spans="1:20" ht="51" x14ac:dyDescent="0.25">
      <c r="A1945" s="1">
        <v>1941</v>
      </c>
      <c r="B1945" s="1" t="str">
        <f>"2018-2806"</f>
        <v>2018-2806</v>
      </c>
      <c r="C1945" s="2" t="s">
        <v>1099</v>
      </c>
      <c r="D1945" s="1" t="s">
        <v>239</v>
      </c>
      <c r="E1945" s="3" t="str">
        <f>""</f>
        <v/>
      </c>
      <c r="F1945" s="2" t="s">
        <v>27</v>
      </c>
      <c r="G1945" s="2" t="str">
        <f>CONCATENATE("GEOGIS D.O.O.,"," 2. MAKSIMIRSKO NASELJE 3,"," 10 000 ZAGREB,"," OIB: 6304681775")</f>
        <v>GEOGIS D.O.O., 2. MAKSIMIRSKO NASELJE 3, 10 000 ZAGREB, OIB: 6304681775</v>
      </c>
      <c r="H1945" s="4"/>
      <c r="I1945" s="1" t="s">
        <v>263</v>
      </c>
      <c r="J1945" s="1" t="s">
        <v>395</v>
      </c>
      <c r="K1945" s="6" t="str">
        <f>"646.224,00"</f>
        <v>646.224,00</v>
      </c>
      <c r="L1945" s="6" t="str">
        <f>"161.556,00"</f>
        <v>161.556,00</v>
      </c>
      <c r="M1945" s="6" t="str">
        <f>"807.780,00"</f>
        <v>807.780,00</v>
      </c>
      <c r="N1945" s="5">
        <v>43678</v>
      </c>
      <c r="O1945" s="7"/>
      <c r="P1945" s="6" t="str">
        <f>"663.930,00"</f>
        <v>663.930,00</v>
      </c>
      <c r="Q1945" s="7"/>
      <c r="R1945" s="1"/>
      <c r="S1945" s="1" t="str">
        <f>"1-18/NOS-31/18"</f>
        <v>1-18/NOS-31/18</v>
      </c>
      <c r="T1945" s="2" t="s">
        <v>33</v>
      </c>
    </row>
    <row r="1946" spans="1:20" ht="51" x14ac:dyDescent="0.25">
      <c r="A1946" s="1">
        <v>1942</v>
      </c>
      <c r="B1946" s="1" t="str">
        <f>"2018-2806"</f>
        <v>2018-2806</v>
      </c>
      <c r="C1946" s="2" t="s">
        <v>1099</v>
      </c>
      <c r="D1946" s="1" t="s">
        <v>239</v>
      </c>
      <c r="E1946" s="3" t="str">
        <f>""</f>
        <v/>
      </c>
      <c r="F1946" s="2" t="s">
        <v>27</v>
      </c>
      <c r="G1946" s="2" t="str">
        <f>CONCATENATE("GEOGIS D.O.O.,"," 2. MAKSIMIRSKO NASELJE 3,"," 10 000 ZAGREB,"," OIB: 6304681775")</f>
        <v>GEOGIS D.O.O., 2. MAKSIMIRSKO NASELJE 3, 10 000 ZAGREB, OIB: 6304681775</v>
      </c>
      <c r="H1946" s="4"/>
      <c r="I1946" s="1" t="s">
        <v>475</v>
      </c>
      <c r="J1946" s="1" t="s">
        <v>469</v>
      </c>
      <c r="K1946" s="6" t="str">
        <f>"84.800,00"</f>
        <v>84.800,00</v>
      </c>
      <c r="L1946" s="6" t="str">
        <f>"21.200,00"</f>
        <v>21.200,00</v>
      </c>
      <c r="M1946" s="6" t="str">
        <f>"106.000,00"</f>
        <v>106.000,00</v>
      </c>
      <c r="N1946" s="5">
        <v>43650</v>
      </c>
      <c r="O1946" s="7"/>
      <c r="P1946" s="6" t="str">
        <f>"106.000,00"</f>
        <v>106.000,00</v>
      </c>
      <c r="Q1946" s="7"/>
      <c r="R1946" s="1"/>
      <c r="S1946" s="1" t="str">
        <f>"1-19/NOS-31/18"</f>
        <v>1-19/NOS-31/18</v>
      </c>
      <c r="T1946" s="2" t="s">
        <v>33</v>
      </c>
    </row>
    <row r="1947" spans="1:20" ht="38.25" x14ac:dyDescent="0.25">
      <c r="A1947" s="1">
        <v>1943</v>
      </c>
      <c r="B1947" s="1" t="str">
        <f t="shared" ref="B1947:B1961" si="190">"2018-2781"</f>
        <v>2018-2781</v>
      </c>
      <c r="C1947" s="2" t="s">
        <v>1100</v>
      </c>
      <c r="D1947" s="1" t="s">
        <v>299</v>
      </c>
      <c r="E1947" s="3" t="str">
        <f>"2018/S 0F2-0015104"</f>
        <v>2018/S 0F2-0015104</v>
      </c>
      <c r="F1947" s="2" t="s">
        <v>23</v>
      </c>
      <c r="G1947" s="2" t="str">
        <f t="shared" ref="G1947:G1952" si="191">CONCATENATE("ZAGREBAČKO ELEKTROTEHNIČKO PODUZEĆE D.D.,"," DRAŠKOVIĆEVA 54,"," 10000 ZAGREB,"," OIB: 04058897454")</f>
        <v>ZAGREBAČKO ELEKTROTEHNIČKO PODUZEĆE D.D., DRAŠKOVIĆEVA 54, 10000 ZAGREB, OIB: 04058897454</v>
      </c>
      <c r="H1947" s="4"/>
      <c r="I1947" s="1" t="s">
        <v>1094</v>
      </c>
      <c r="J1947" s="1" t="s">
        <v>1095</v>
      </c>
      <c r="K1947" s="6" t="str">
        <f>"1.300.000,00"</f>
        <v>1.300.000,00</v>
      </c>
      <c r="L1947" s="6" t="str">
        <f>"325.000,00"</f>
        <v>325.000,00</v>
      </c>
      <c r="M1947" s="6" t="str">
        <f>"1.625.000,00"</f>
        <v>1.625.000,00</v>
      </c>
      <c r="N1947" s="7"/>
      <c r="O1947" s="7"/>
      <c r="P1947" s="6" t="str">
        <f>""</f>
        <v/>
      </c>
      <c r="Q1947" s="7"/>
      <c r="R1947" s="1"/>
      <c r="S1947" s="1" t="str">
        <f>"NOS-32-A/18"</f>
        <v>NOS-32-A/18</v>
      </c>
      <c r="T1947" s="2" t="s">
        <v>26</v>
      </c>
    </row>
    <row r="1948" spans="1:20" ht="38.25" x14ac:dyDescent="0.25">
      <c r="A1948" s="1">
        <v>1944</v>
      </c>
      <c r="B1948" s="1" t="str">
        <f t="shared" si="190"/>
        <v>2018-2781</v>
      </c>
      <c r="C1948" s="2" t="s">
        <v>1100</v>
      </c>
      <c r="D1948" s="1" t="s">
        <v>299</v>
      </c>
      <c r="E1948" s="3" t="str">
        <f>""</f>
        <v/>
      </c>
      <c r="F1948" s="2" t="s">
        <v>27</v>
      </c>
      <c r="G1948" s="2" t="str">
        <f t="shared" si="191"/>
        <v>ZAGREBAČKO ELEKTROTEHNIČKO PODUZEĆE D.D., DRAŠKOVIĆEVA 54, 10000 ZAGREB, OIB: 04058897454</v>
      </c>
      <c r="H1948" s="4"/>
      <c r="I1948" s="1" t="s">
        <v>225</v>
      </c>
      <c r="J1948" s="1" t="s">
        <v>121</v>
      </c>
      <c r="K1948" s="6" t="str">
        <f>"4.590,00"</f>
        <v>4.590,00</v>
      </c>
      <c r="L1948" s="6" t="str">
        <f>"1.147,50"</f>
        <v>1.147,50</v>
      </c>
      <c r="M1948" s="6" t="str">
        <f>"5.737,50"</f>
        <v>5.737,50</v>
      </c>
      <c r="N1948" s="5">
        <v>43563</v>
      </c>
      <c r="O1948" s="7"/>
      <c r="P1948" s="6" t="str">
        <f>"5.737,50"</f>
        <v>5.737,50</v>
      </c>
      <c r="Q1948" s="7"/>
      <c r="R1948" s="1"/>
      <c r="S1948" s="1" t="str">
        <f>"1-19/NOS-32-A/18"</f>
        <v>1-19/NOS-32-A/18</v>
      </c>
      <c r="T1948" s="2" t="s">
        <v>33</v>
      </c>
    </row>
    <row r="1949" spans="1:20" ht="38.25" x14ac:dyDescent="0.25">
      <c r="A1949" s="1">
        <v>1945</v>
      </c>
      <c r="B1949" s="1" t="str">
        <f t="shared" si="190"/>
        <v>2018-2781</v>
      </c>
      <c r="C1949" s="2" t="s">
        <v>1100</v>
      </c>
      <c r="D1949" s="1" t="s">
        <v>299</v>
      </c>
      <c r="E1949" s="3" t="str">
        <f>""</f>
        <v/>
      </c>
      <c r="F1949" s="2" t="s">
        <v>27</v>
      </c>
      <c r="G1949" s="2" t="str">
        <f t="shared" si="191"/>
        <v>ZAGREBAČKO ELEKTROTEHNIČKO PODUZEĆE D.D., DRAŠKOVIĆEVA 54, 10000 ZAGREB, OIB: 04058897454</v>
      </c>
      <c r="H1949" s="4"/>
      <c r="I1949" s="1" t="s">
        <v>301</v>
      </c>
      <c r="J1949" s="1" t="s">
        <v>469</v>
      </c>
      <c r="K1949" s="6" t="str">
        <f>"17.284,32"</f>
        <v>17.284,32</v>
      </c>
      <c r="L1949" s="6" t="str">
        <f>"4.321,08"</f>
        <v>4.321,08</v>
      </c>
      <c r="M1949" s="6" t="str">
        <f>"21.605,40"</f>
        <v>21.605,40</v>
      </c>
      <c r="N1949" s="5">
        <v>43571</v>
      </c>
      <c r="O1949" s="7"/>
      <c r="P1949" s="6" t="str">
        <f>"21.605,40"</f>
        <v>21.605,40</v>
      </c>
      <c r="Q1949" s="7"/>
      <c r="R1949" s="1"/>
      <c r="S1949" s="1" t="str">
        <f>"2-19/NOS-32-A/18"</f>
        <v>2-19/NOS-32-A/18</v>
      </c>
      <c r="T1949" s="2" t="s">
        <v>29</v>
      </c>
    </row>
    <row r="1950" spans="1:20" ht="38.25" x14ac:dyDescent="0.25">
      <c r="A1950" s="1">
        <v>1946</v>
      </c>
      <c r="B1950" s="1" t="str">
        <f t="shared" si="190"/>
        <v>2018-2781</v>
      </c>
      <c r="C1950" s="2" t="s">
        <v>1100</v>
      </c>
      <c r="D1950" s="1" t="s">
        <v>299</v>
      </c>
      <c r="E1950" s="3" t="str">
        <f>""</f>
        <v/>
      </c>
      <c r="F1950" s="2" t="s">
        <v>27</v>
      </c>
      <c r="G1950" s="2" t="str">
        <f t="shared" si="191"/>
        <v>ZAGREBAČKO ELEKTROTEHNIČKO PODUZEĆE D.D., DRAŠKOVIĆEVA 54, 10000 ZAGREB, OIB: 04058897454</v>
      </c>
      <c r="H1950" s="4"/>
      <c r="I1950" s="1" t="s">
        <v>590</v>
      </c>
      <c r="J1950" s="1" t="s">
        <v>492</v>
      </c>
      <c r="K1950" s="6" t="str">
        <f>"3.087,00"</f>
        <v>3.087,00</v>
      </c>
      <c r="L1950" s="6" t="str">
        <f>"771,75"</f>
        <v>771,75</v>
      </c>
      <c r="M1950" s="6" t="str">
        <f>"3.858,75"</f>
        <v>3.858,75</v>
      </c>
      <c r="N1950" s="5">
        <v>43616</v>
      </c>
      <c r="O1950" s="7"/>
      <c r="P1950" s="6" t="str">
        <f>"3.858,75"</f>
        <v>3.858,75</v>
      </c>
      <c r="Q1950" s="7"/>
      <c r="R1950" s="1"/>
      <c r="S1950" s="1" t="str">
        <f>"3-19/NOS-32-A/18"</f>
        <v>3-19/NOS-32-A/18</v>
      </c>
      <c r="T1950" s="2" t="s">
        <v>29</v>
      </c>
    </row>
    <row r="1951" spans="1:20" ht="38.25" x14ac:dyDescent="0.25">
      <c r="A1951" s="1">
        <v>1947</v>
      </c>
      <c r="B1951" s="1" t="str">
        <f t="shared" si="190"/>
        <v>2018-2781</v>
      </c>
      <c r="C1951" s="2" t="s">
        <v>1100</v>
      </c>
      <c r="D1951" s="1" t="s">
        <v>299</v>
      </c>
      <c r="E1951" s="3" t="str">
        <f>""</f>
        <v/>
      </c>
      <c r="F1951" s="2" t="s">
        <v>27</v>
      </c>
      <c r="G1951" s="2" t="str">
        <f t="shared" si="191"/>
        <v>ZAGREBAČKO ELEKTROTEHNIČKO PODUZEĆE D.D., DRAŠKOVIĆEVA 54, 10000 ZAGREB, OIB: 04058897454</v>
      </c>
      <c r="H1951" s="4"/>
      <c r="I1951" s="1" t="s">
        <v>402</v>
      </c>
      <c r="J1951" s="1" t="s">
        <v>121</v>
      </c>
      <c r="K1951" s="6" t="str">
        <f>"17.185,50"</f>
        <v>17.185,50</v>
      </c>
      <c r="L1951" s="6" t="str">
        <f>"0,00"</f>
        <v>0,00</v>
      </c>
      <c r="M1951" s="6" t="str">
        <f>"0,00"</f>
        <v>0,00</v>
      </c>
      <c r="N1951" s="1" t="s">
        <v>117</v>
      </c>
      <c r="O1951" s="7"/>
      <c r="P1951" s="6" t="str">
        <f>"0,00"</f>
        <v>0,00</v>
      </c>
      <c r="Q1951" s="7"/>
      <c r="R1951" s="1"/>
      <c r="S1951" s="1" t="str">
        <f>"4-19/NOS-32-A/18"</f>
        <v>4-19/NOS-32-A/18</v>
      </c>
      <c r="T1951" s="2" t="s">
        <v>29</v>
      </c>
    </row>
    <row r="1952" spans="1:20" ht="38.25" x14ac:dyDescent="0.25">
      <c r="A1952" s="1">
        <v>1948</v>
      </c>
      <c r="B1952" s="1" t="str">
        <f t="shared" si="190"/>
        <v>2018-2781</v>
      </c>
      <c r="C1952" s="2" t="s">
        <v>1100</v>
      </c>
      <c r="D1952" s="1" t="s">
        <v>299</v>
      </c>
      <c r="E1952" s="3" t="str">
        <f>""</f>
        <v/>
      </c>
      <c r="F1952" s="2" t="s">
        <v>27</v>
      </c>
      <c r="G1952" s="2" t="str">
        <f t="shared" si="191"/>
        <v>ZAGREBAČKO ELEKTROTEHNIČKO PODUZEĆE D.D., DRAŠKOVIĆEVA 54, 10000 ZAGREB, OIB: 04058897454</v>
      </c>
      <c r="H1952" s="4"/>
      <c r="I1952" s="1" t="s">
        <v>46</v>
      </c>
      <c r="J1952" s="1" t="s">
        <v>121</v>
      </c>
      <c r="K1952" s="6" t="str">
        <f>"14.904,00"</f>
        <v>14.904,00</v>
      </c>
      <c r="L1952" s="6" t="str">
        <f>"3.726,00"</f>
        <v>3.726,00</v>
      </c>
      <c r="M1952" s="6" t="str">
        <f>"18.630,00"</f>
        <v>18.630,00</v>
      </c>
      <c r="N1952" s="5">
        <v>43713</v>
      </c>
      <c r="O1952" s="7"/>
      <c r="P1952" s="6" t="str">
        <f>"18.630,00"</f>
        <v>18.630,00</v>
      </c>
      <c r="Q1952" s="7"/>
      <c r="R1952" s="1"/>
      <c r="S1952" s="1" t="str">
        <f>"5-19/NOS-32-A/18"</f>
        <v>5-19/NOS-32-A/18</v>
      </c>
      <c r="T1952" s="2" t="s">
        <v>33</v>
      </c>
    </row>
    <row r="1953" spans="1:20" ht="38.25" x14ac:dyDescent="0.25">
      <c r="A1953" s="1">
        <v>1949</v>
      </c>
      <c r="B1953" s="1" t="str">
        <f t="shared" si="190"/>
        <v>2018-2781</v>
      </c>
      <c r="C1953" s="2" t="s">
        <v>1100</v>
      </c>
      <c r="D1953" s="1" t="s">
        <v>299</v>
      </c>
      <c r="E1953" s="3" t="str">
        <f>"2018/S 0F2-0015104"</f>
        <v>2018/S 0F2-0015104</v>
      </c>
      <c r="F1953" s="2" t="s">
        <v>23</v>
      </c>
      <c r="G1953" s="2" t="str">
        <f t="shared" ref="G1953:G1961" si="192">CONCATENATE("SERVIS IMP CRPKE,"," vl. Dražen Kovačić,"," STROSSMAYEROV TRG 12,"," 10450 JASTREBARSKO,"," OIB: 13145108322")</f>
        <v>SERVIS IMP CRPKE, vl. Dražen Kovačić, STROSSMAYEROV TRG 12, 10450 JASTREBARSKO, OIB: 13145108322</v>
      </c>
      <c r="H1953" s="4"/>
      <c r="I1953" s="1" t="s">
        <v>1094</v>
      </c>
      <c r="J1953" s="1" t="s">
        <v>1095</v>
      </c>
      <c r="K1953" s="6" t="str">
        <f>"500.000,00"</f>
        <v>500.000,00</v>
      </c>
      <c r="L1953" s="6" t="str">
        <f>"125.000,00"</f>
        <v>125.000,00</v>
      </c>
      <c r="M1953" s="6" t="str">
        <f>"625.000,00"</f>
        <v>625.000,00</v>
      </c>
      <c r="N1953" s="7"/>
      <c r="O1953" s="7"/>
      <c r="P1953" s="6" t="str">
        <f>""</f>
        <v/>
      </c>
      <c r="Q1953" s="7"/>
      <c r="R1953" s="1"/>
      <c r="S1953" s="1" t="str">
        <f>"NOS-32-B/18"</f>
        <v>NOS-32-B/18</v>
      </c>
      <c r="T1953" s="2" t="s">
        <v>26</v>
      </c>
    </row>
    <row r="1954" spans="1:20" ht="38.25" x14ac:dyDescent="0.25">
      <c r="A1954" s="1">
        <v>1950</v>
      </c>
      <c r="B1954" s="1" t="str">
        <f t="shared" si="190"/>
        <v>2018-2781</v>
      </c>
      <c r="C1954" s="2" t="s">
        <v>1100</v>
      </c>
      <c r="D1954" s="1" t="s">
        <v>299</v>
      </c>
      <c r="E1954" s="3" t="str">
        <f>""</f>
        <v/>
      </c>
      <c r="F1954" s="2" t="s">
        <v>27</v>
      </c>
      <c r="G1954" s="2" t="str">
        <f t="shared" si="192"/>
        <v>SERVIS IMP CRPKE, vl. Dražen Kovačić, STROSSMAYEROV TRG 12, 10450 JASTREBARSKO, OIB: 13145108322</v>
      </c>
      <c r="H1954" s="4"/>
      <c r="I1954" s="1" t="s">
        <v>254</v>
      </c>
      <c r="J1954" s="1" t="s">
        <v>31</v>
      </c>
      <c r="K1954" s="6" t="str">
        <f>"1.900,00"</f>
        <v>1.900,00</v>
      </c>
      <c r="L1954" s="6" t="str">
        <f>"475,00"</f>
        <v>475,00</v>
      </c>
      <c r="M1954" s="6" t="str">
        <f>"2.375,00"</f>
        <v>2.375,00</v>
      </c>
      <c r="N1954" s="5">
        <v>43535</v>
      </c>
      <c r="O1954" s="7"/>
      <c r="P1954" s="6" t="str">
        <f>"2.375,00"</f>
        <v>2.375,00</v>
      </c>
      <c r="Q1954" s="7"/>
      <c r="R1954" s="1"/>
      <c r="S1954" s="1" t="str">
        <f>"1-19/NOS-32-B/18"</f>
        <v>1-19/NOS-32-B/18</v>
      </c>
      <c r="T1954" s="2" t="s">
        <v>33</v>
      </c>
    </row>
    <row r="1955" spans="1:20" ht="38.25" x14ac:dyDescent="0.25">
      <c r="A1955" s="1">
        <v>1951</v>
      </c>
      <c r="B1955" s="1" t="str">
        <f t="shared" si="190"/>
        <v>2018-2781</v>
      </c>
      <c r="C1955" s="2" t="s">
        <v>1100</v>
      </c>
      <c r="D1955" s="1" t="s">
        <v>299</v>
      </c>
      <c r="E1955" s="3" t="str">
        <f>""</f>
        <v/>
      </c>
      <c r="F1955" s="2" t="s">
        <v>27</v>
      </c>
      <c r="G1955" s="2" t="str">
        <f t="shared" si="192"/>
        <v>SERVIS IMP CRPKE, vl. Dražen Kovačić, STROSSMAYEROV TRG 12, 10450 JASTREBARSKO, OIB: 13145108322</v>
      </c>
      <c r="H1955" s="4"/>
      <c r="I1955" s="1" t="s">
        <v>44</v>
      </c>
      <c r="J1955" s="1" t="s">
        <v>251</v>
      </c>
      <c r="K1955" s="6" t="str">
        <f>"2.070,00"</f>
        <v>2.070,00</v>
      </c>
      <c r="L1955" s="6" t="str">
        <f>"517,50"</f>
        <v>517,50</v>
      </c>
      <c r="M1955" s="6" t="str">
        <f>"2.587,50"</f>
        <v>2.587,50</v>
      </c>
      <c r="N1955" s="5">
        <v>43557</v>
      </c>
      <c r="O1955" s="7"/>
      <c r="P1955" s="6" t="str">
        <f>"2.587,50"</f>
        <v>2.587,50</v>
      </c>
      <c r="Q1955" s="7"/>
      <c r="R1955" s="1"/>
      <c r="S1955" s="1" t="str">
        <f>"2-19/NOS-32-B/18"</f>
        <v>2-19/NOS-32-B/18</v>
      </c>
      <c r="T1955" s="2" t="s">
        <v>33</v>
      </c>
    </row>
    <row r="1956" spans="1:20" ht="38.25" x14ac:dyDescent="0.25">
      <c r="A1956" s="1">
        <v>1952</v>
      </c>
      <c r="B1956" s="1" t="str">
        <f t="shared" si="190"/>
        <v>2018-2781</v>
      </c>
      <c r="C1956" s="2" t="s">
        <v>1100</v>
      </c>
      <c r="D1956" s="1" t="s">
        <v>299</v>
      </c>
      <c r="E1956" s="3" t="str">
        <f>""</f>
        <v/>
      </c>
      <c r="F1956" s="2" t="s">
        <v>27</v>
      </c>
      <c r="G1956" s="2" t="str">
        <f t="shared" si="192"/>
        <v>SERVIS IMP CRPKE, vl. Dražen Kovačić, STROSSMAYEROV TRG 12, 10450 JASTREBARSKO, OIB: 13145108322</v>
      </c>
      <c r="H1956" s="4"/>
      <c r="I1956" s="1" t="s">
        <v>301</v>
      </c>
      <c r="J1956" s="1" t="s">
        <v>303</v>
      </c>
      <c r="K1956" s="6" t="str">
        <f>"4.980,00"</f>
        <v>4.980,00</v>
      </c>
      <c r="L1956" s="6" t="str">
        <f>"1.245,00"</f>
        <v>1.245,00</v>
      </c>
      <c r="M1956" s="6" t="str">
        <f>"6.225,00"</f>
        <v>6.225,00</v>
      </c>
      <c r="N1956" s="5">
        <v>43572</v>
      </c>
      <c r="O1956" s="7"/>
      <c r="P1956" s="6" t="str">
        <f>"6.225,00"</f>
        <v>6.225,00</v>
      </c>
      <c r="Q1956" s="7"/>
      <c r="R1956" s="1"/>
      <c r="S1956" s="1" t="str">
        <f>"3-19/NOS-32-B/18"</f>
        <v>3-19/NOS-32-B/18</v>
      </c>
      <c r="T1956" s="2" t="s">
        <v>33</v>
      </c>
    </row>
    <row r="1957" spans="1:20" ht="38.25" x14ac:dyDescent="0.25">
      <c r="A1957" s="1">
        <v>1953</v>
      </c>
      <c r="B1957" s="1" t="str">
        <f t="shared" si="190"/>
        <v>2018-2781</v>
      </c>
      <c r="C1957" s="2" t="s">
        <v>1100</v>
      </c>
      <c r="D1957" s="1" t="s">
        <v>299</v>
      </c>
      <c r="E1957" s="3" t="str">
        <f>""</f>
        <v/>
      </c>
      <c r="F1957" s="2" t="s">
        <v>27</v>
      </c>
      <c r="G1957" s="2" t="str">
        <f t="shared" si="192"/>
        <v>SERVIS IMP CRPKE, vl. Dražen Kovačić, STROSSMAYEROV TRG 12, 10450 JASTREBARSKO, OIB: 13145108322</v>
      </c>
      <c r="H1957" s="4"/>
      <c r="I1957" s="1" t="s">
        <v>311</v>
      </c>
      <c r="J1957" s="1" t="s">
        <v>242</v>
      </c>
      <c r="K1957" s="6" t="str">
        <f>"3.040,00"</f>
        <v>3.040,00</v>
      </c>
      <c r="L1957" s="6" t="str">
        <f>"760,00"</f>
        <v>760,00</v>
      </c>
      <c r="M1957" s="6" t="str">
        <f>"3.800,00"</f>
        <v>3.800,00</v>
      </c>
      <c r="N1957" s="5">
        <v>43579</v>
      </c>
      <c r="O1957" s="7"/>
      <c r="P1957" s="6" t="str">
        <f>"3.800,00"</f>
        <v>3.800,00</v>
      </c>
      <c r="Q1957" s="7"/>
      <c r="R1957" s="1"/>
      <c r="S1957" s="1" t="str">
        <f>"4-19/NOS-32-B/18"</f>
        <v>4-19/NOS-32-B/18</v>
      </c>
      <c r="T1957" s="2" t="s">
        <v>33</v>
      </c>
    </row>
    <row r="1958" spans="1:20" ht="38.25" x14ac:dyDescent="0.25">
      <c r="A1958" s="1">
        <v>1954</v>
      </c>
      <c r="B1958" s="1" t="str">
        <f t="shared" si="190"/>
        <v>2018-2781</v>
      </c>
      <c r="C1958" s="2" t="s">
        <v>1100</v>
      </c>
      <c r="D1958" s="1" t="s">
        <v>299</v>
      </c>
      <c r="E1958" s="3" t="str">
        <f>""</f>
        <v/>
      </c>
      <c r="F1958" s="2" t="s">
        <v>27</v>
      </c>
      <c r="G1958" s="2" t="str">
        <f t="shared" si="192"/>
        <v>SERVIS IMP CRPKE, vl. Dražen Kovačić, STROSSMAYEROV TRG 12, 10450 JASTREBARSKO, OIB: 13145108322</v>
      </c>
      <c r="H1958" s="4"/>
      <c r="I1958" s="1" t="s">
        <v>464</v>
      </c>
      <c r="J1958" s="1" t="s">
        <v>121</v>
      </c>
      <c r="K1958" s="6" t="str">
        <f>"3.220,00"</f>
        <v>3.220,00</v>
      </c>
      <c r="L1958" s="6" t="str">
        <f>"805,00"</f>
        <v>805,00</v>
      </c>
      <c r="M1958" s="6" t="str">
        <f>"4.025,00"</f>
        <v>4.025,00</v>
      </c>
      <c r="N1958" s="5">
        <v>43598</v>
      </c>
      <c r="O1958" s="7"/>
      <c r="P1958" s="6" t="str">
        <f>"4.025,00"</f>
        <v>4.025,00</v>
      </c>
      <c r="Q1958" s="7"/>
      <c r="R1958" s="1"/>
      <c r="S1958" s="1" t="str">
        <f>"5-19/NOS-32-B/18"</f>
        <v>5-19/NOS-32-B/18</v>
      </c>
      <c r="T1958" s="2" t="s">
        <v>33</v>
      </c>
    </row>
    <row r="1959" spans="1:20" ht="38.25" x14ac:dyDescent="0.25">
      <c r="A1959" s="1">
        <v>1955</v>
      </c>
      <c r="B1959" s="1" t="str">
        <f t="shared" si="190"/>
        <v>2018-2781</v>
      </c>
      <c r="C1959" s="2" t="s">
        <v>1100</v>
      </c>
      <c r="D1959" s="1" t="s">
        <v>299</v>
      </c>
      <c r="E1959" s="3" t="str">
        <f>""</f>
        <v/>
      </c>
      <c r="F1959" s="2" t="s">
        <v>27</v>
      </c>
      <c r="G1959" s="2" t="str">
        <f t="shared" si="192"/>
        <v>SERVIS IMP CRPKE, vl. Dražen Kovačić, STROSSMAYEROV TRG 12, 10450 JASTREBARSKO, OIB: 13145108322</v>
      </c>
      <c r="H1959" s="4"/>
      <c r="I1959" s="1" t="s">
        <v>25</v>
      </c>
      <c r="J1959" s="1" t="s">
        <v>492</v>
      </c>
      <c r="K1959" s="6" t="str">
        <f>"3.690,00"</f>
        <v>3.690,00</v>
      </c>
      <c r="L1959" s="6" t="str">
        <f>"922,50"</f>
        <v>922,50</v>
      </c>
      <c r="M1959" s="6" t="str">
        <f>"4.612,50"</f>
        <v>4.612,50</v>
      </c>
      <c r="N1959" s="5">
        <v>43608</v>
      </c>
      <c r="O1959" s="7"/>
      <c r="P1959" s="6" t="str">
        <f>"4.612,50"</f>
        <v>4.612,50</v>
      </c>
      <c r="Q1959" s="7"/>
      <c r="R1959" s="1"/>
      <c r="S1959" s="1" t="str">
        <f>"6-19/NOS-32-B/18"</f>
        <v>6-19/NOS-32-B/18</v>
      </c>
      <c r="T1959" s="2" t="s">
        <v>33</v>
      </c>
    </row>
    <row r="1960" spans="1:20" ht="38.25" x14ac:dyDescent="0.25">
      <c r="A1960" s="1">
        <v>1956</v>
      </c>
      <c r="B1960" s="1" t="str">
        <f t="shared" si="190"/>
        <v>2018-2781</v>
      </c>
      <c r="C1960" s="2" t="s">
        <v>1100</v>
      </c>
      <c r="D1960" s="1" t="s">
        <v>299</v>
      </c>
      <c r="E1960" s="3" t="str">
        <f>""</f>
        <v/>
      </c>
      <c r="F1960" s="2" t="s">
        <v>27</v>
      </c>
      <c r="G1960" s="2" t="str">
        <f t="shared" si="192"/>
        <v>SERVIS IMP CRPKE, vl. Dražen Kovačić, STROSSMAYEROV TRG 12, 10450 JASTREBARSKO, OIB: 13145108322</v>
      </c>
      <c r="H1960" s="4"/>
      <c r="I1960" s="1" t="s">
        <v>424</v>
      </c>
      <c r="J1960" s="1" t="s">
        <v>1082</v>
      </c>
      <c r="K1960" s="6" t="str">
        <f>"5.720,00"</f>
        <v>5.720,00</v>
      </c>
      <c r="L1960" s="6" t="str">
        <f>"1.430,00"</f>
        <v>1.430,00</v>
      </c>
      <c r="M1960" s="6" t="str">
        <f>"7.150,00"</f>
        <v>7.150,00</v>
      </c>
      <c r="N1960" s="5">
        <v>43644</v>
      </c>
      <c r="O1960" s="7"/>
      <c r="P1960" s="6" t="str">
        <f>"7.150,00"</f>
        <v>7.150,00</v>
      </c>
      <c r="Q1960" s="7"/>
      <c r="R1960" s="1"/>
      <c r="S1960" s="1" t="str">
        <f>"7-19/NOS-32-B/18"</f>
        <v>7-19/NOS-32-B/18</v>
      </c>
      <c r="T1960" s="2" t="s">
        <v>33</v>
      </c>
    </row>
    <row r="1961" spans="1:20" ht="38.25" x14ac:dyDescent="0.25">
      <c r="A1961" s="1">
        <v>1957</v>
      </c>
      <c r="B1961" s="1" t="str">
        <f t="shared" si="190"/>
        <v>2018-2781</v>
      </c>
      <c r="C1961" s="2" t="s">
        <v>1100</v>
      </c>
      <c r="D1961" s="1" t="s">
        <v>299</v>
      </c>
      <c r="E1961" s="3" t="str">
        <f>""</f>
        <v/>
      </c>
      <c r="F1961" s="2" t="s">
        <v>27</v>
      </c>
      <c r="G1961" s="2" t="str">
        <f t="shared" si="192"/>
        <v>SERVIS IMP CRPKE, vl. Dražen Kovačić, STROSSMAYEROV TRG 12, 10450 JASTREBARSKO, OIB: 13145108322</v>
      </c>
      <c r="H1961" s="4"/>
      <c r="I1961" s="1" t="s">
        <v>46</v>
      </c>
      <c r="J1961" s="1" t="s">
        <v>121</v>
      </c>
      <c r="K1961" s="6" t="str">
        <f>"44.660,00"</f>
        <v>44.660,00</v>
      </c>
      <c r="L1961" s="6" t="str">
        <f>"0,00"</f>
        <v>0,00</v>
      </c>
      <c r="M1961" s="6" t="str">
        <f>"0,00"</f>
        <v>0,00</v>
      </c>
      <c r="N1961" s="1" t="s">
        <v>117</v>
      </c>
      <c r="O1961" s="7"/>
      <c r="P1961" s="6" t="str">
        <f>"0,00"</f>
        <v>0,00</v>
      </c>
      <c r="Q1961" s="7"/>
      <c r="R1961" s="1"/>
      <c r="S1961" s="1" t="str">
        <f>"8-19/NOS-32-B/18"</f>
        <v>8-19/NOS-32-B/18</v>
      </c>
      <c r="T1961" s="2" t="s">
        <v>33</v>
      </c>
    </row>
    <row r="1962" spans="1:20" ht="255" x14ac:dyDescent="0.25">
      <c r="A1962" s="1">
        <v>1958</v>
      </c>
      <c r="B1962" s="1" t="str">
        <f>"2018-2916"</f>
        <v>2018-2916</v>
      </c>
      <c r="C1962" s="2" t="s">
        <v>1101</v>
      </c>
      <c r="D1962" s="1" t="s">
        <v>119</v>
      </c>
      <c r="E1962" s="3" t="str">
        <f>"2018/S 0F2-0012743"</f>
        <v>2018/S 0F2-0012743</v>
      </c>
      <c r="F1962" s="2" t="s">
        <v>23</v>
      </c>
      <c r="G1962" s="2" t="str">
        <f>CONCATENATE("TEMEX D.O.O.,"," JANUŠEVEČKA 11,"," 10000 ZAGREB,"," OIB: 89610149986",CHAR(10),"MONTER-STROJARSKE MONTAŽE D.D.,"," VELIMIRA ŠKORPIKA 28,"," 10000 ZAGREB,"," OIB: 13887374452",CHAR(10),"AGROPLAN D.O.O.,"," UGLJANSKA 14,"," 10000 ZAGREB,"," OIB: 13652531417",CHAR(10),"MONTMONTAŽA-OPREMA D.O.O.,"," SAMOBORSKA CESTA 145,"," 10090 ZAGREB,"," OIB: 06544535948")</f>
        <v>TEMEX D.O.O., JANUŠEVEČKA 11, 10000 ZAGREB, OIB: 89610149986
MONTER-STROJARSKE MONTAŽE D.D., VELIMIRA ŠKORPIKA 28, 10000 ZAGREB, OIB: 13887374452
AGROPLAN D.O.O., UGLJANSKA 14, 10000 ZAGREB, OIB: 13652531417
MONTMONTAŽA-OPREMA D.O.O., SAMOBORSKA CESTA 145, 10090 ZAGREB, OIB: 06544535948</v>
      </c>
      <c r="H1962" s="1" t="str">
        <f>CONCATENATE("GEO 6 D.O.O.,"," OIB: 56516261347",CHAR(10),"PALIĆ INŽENJERING D.O.O.,"," OIB: 99750077832",CHAR(10),"GEOANDA D.O.O.,"," OIB: 70840886172",CHAR(10),"GEAMEDITOR D.O.O.,"," OIB: 35959507784",CHAR(10),"WML-INTERNATIONAL J.D.O.O.,"," OIB: 37469723217",CHAR(10),"M.P. PEMONT D.O.O.,"," OIB: 91851849734")</f>
        <v>GEO 6 D.O.O., OIB: 56516261347
PALIĆ INŽENJERING D.O.O., OIB: 99750077832
GEOANDA D.O.O., OIB: 70840886172
GEAMEDITOR D.O.O., OIB: 35959507784
WML-INTERNATIONAL J.D.O.O., OIB: 37469723217
M.P. PEMONT D.O.O., OIB: 91851849734</v>
      </c>
      <c r="I1962" s="1" t="s">
        <v>88</v>
      </c>
      <c r="J1962" s="1" t="s">
        <v>578</v>
      </c>
      <c r="K1962" s="6" t="str">
        <f>"22.299.947,43"</f>
        <v>22.299.947,43</v>
      </c>
      <c r="L1962" s="6" t="str">
        <f>"5.574.986,86"</f>
        <v>5.574.986,86</v>
      </c>
      <c r="M1962" s="6" t="str">
        <f>"27.874.934,29"</f>
        <v>27.874.934,29</v>
      </c>
      <c r="N1962" s="7"/>
      <c r="O1962" s="7"/>
      <c r="P1962" s="6" t="str">
        <f>""</f>
        <v/>
      </c>
      <c r="Q1962" s="7"/>
      <c r="R1962" s="1"/>
      <c r="S1962" s="1" t="str">
        <f>"NOS-33/18"</f>
        <v>NOS-33/18</v>
      </c>
      <c r="T1962" s="2" t="s">
        <v>538</v>
      </c>
    </row>
    <row r="1963" spans="1:20" ht="51" x14ac:dyDescent="0.25">
      <c r="A1963" s="1">
        <v>1959</v>
      </c>
      <c r="B1963" s="1" t="str">
        <f t="shared" ref="B1963:B2008" si="193">"2018-2775"</f>
        <v>2018-2775</v>
      </c>
      <c r="C1963" s="2" t="s">
        <v>1102</v>
      </c>
      <c r="D1963" s="1" t="s">
        <v>1103</v>
      </c>
      <c r="E1963" s="3" t="str">
        <f>"2018/S 0F2-0011897"</f>
        <v>2018/S 0F2-0011897</v>
      </c>
      <c r="F1963" s="2" t="s">
        <v>23</v>
      </c>
      <c r="G1963" s="2" t="str">
        <f>CONCATENATE("DELTRON D.O.O.,"," VUKOVARSKA 148,"," 21000 SPLIT,"," OIB: 36118056137",CHAR(10),"PAMAJO D.O.O.,"," VRANIČKA 7/A,"," 10000 ZAGREB,"," OIB: 46401136513")</f>
        <v>DELTRON D.O.O., VUKOVARSKA 148, 21000 SPLIT, OIB: 36118056137
PAMAJO D.O.O., VRANIČKA 7/A, 10000 ZAGREB, OIB: 46401136513</v>
      </c>
      <c r="H1963" s="4"/>
      <c r="I1963" s="1" t="s">
        <v>1104</v>
      </c>
      <c r="J1963" s="1" t="s">
        <v>1105</v>
      </c>
      <c r="K1963" s="6" t="str">
        <f>"919.000,00"</f>
        <v>919.000,00</v>
      </c>
      <c r="L1963" s="6" t="str">
        <f>"229.750,00"</f>
        <v>229.750,00</v>
      </c>
      <c r="M1963" s="6" t="str">
        <f>"1.148.750,00"</f>
        <v>1.148.750,00</v>
      </c>
      <c r="N1963" s="7"/>
      <c r="O1963" s="7"/>
      <c r="P1963" s="6" t="str">
        <f>""</f>
        <v/>
      </c>
      <c r="Q1963" s="7"/>
      <c r="R1963" s="1"/>
      <c r="S1963" s="1" t="str">
        <f>"NOS-34-A/18"</f>
        <v>NOS-34-A/18</v>
      </c>
      <c r="T1963" s="2" t="s">
        <v>33</v>
      </c>
    </row>
    <row r="1964" spans="1:20" ht="25.5" x14ac:dyDescent="0.25">
      <c r="A1964" s="1">
        <v>1960</v>
      </c>
      <c r="B1964" s="1" t="str">
        <f t="shared" si="193"/>
        <v>2018-2775</v>
      </c>
      <c r="C1964" s="2" t="s">
        <v>1102</v>
      </c>
      <c r="D1964" s="1" t="s">
        <v>1103</v>
      </c>
      <c r="E1964" s="3" t="str">
        <f>""</f>
        <v/>
      </c>
      <c r="F1964" s="2" t="s">
        <v>27</v>
      </c>
      <c r="G1964" s="2" t="str">
        <f t="shared" ref="G1964:G1988" si="194">CONCATENATE("PAMAJO D.O.O.,"," VRANIČKA 7/A,"," 10000 ZAGREB,"," OIB: 46401136513")</f>
        <v>PAMAJO D.O.O., VRANIČKA 7/A, 10000 ZAGREB, OIB: 46401136513</v>
      </c>
      <c r="H1964" s="4"/>
      <c r="I1964" s="1" t="s">
        <v>339</v>
      </c>
      <c r="J1964" s="1" t="s">
        <v>436</v>
      </c>
      <c r="K1964" s="6" t="str">
        <f>"3.100,00"</f>
        <v>3.100,00</v>
      </c>
      <c r="L1964" s="6" t="str">
        <f>"372,50"</f>
        <v>372,50</v>
      </c>
      <c r="M1964" s="6" t="str">
        <f>"1.862,50"</f>
        <v>1.862,50</v>
      </c>
      <c r="N1964" s="5">
        <v>43708</v>
      </c>
      <c r="O1964" s="7"/>
      <c r="P1964" s="6" t="str">
        <f>"1.862,50"</f>
        <v>1.862,50</v>
      </c>
      <c r="Q1964" s="7"/>
      <c r="R1964" s="1"/>
      <c r="S1964" s="1" t="str">
        <f>"3-19/NOS-34-A/18"</f>
        <v>3-19/NOS-34-A/18</v>
      </c>
      <c r="T1964" s="2" t="s">
        <v>33</v>
      </c>
    </row>
    <row r="1965" spans="1:20" ht="25.5" x14ac:dyDescent="0.25">
      <c r="A1965" s="1">
        <v>1961</v>
      </c>
      <c r="B1965" s="1" t="str">
        <f t="shared" si="193"/>
        <v>2018-2775</v>
      </c>
      <c r="C1965" s="2" t="s">
        <v>1102</v>
      </c>
      <c r="D1965" s="1" t="s">
        <v>1103</v>
      </c>
      <c r="E1965" s="3" t="str">
        <f>""</f>
        <v/>
      </c>
      <c r="F1965" s="2" t="s">
        <v>27</v>
      </c>
      <c r="G1965" s="2" t="str">
        <f t="shared" si="194"/>
        <v>PAMAJO D.O.O., VRANIČKA 7/A, 10000 ZAGREB, OIB: 46401136513</v>
      </c>
      <c r="H1965" s="4"/>
      <c r="I1965" s="1" t="s">
        <v>463</v>
      </c>
      <c r="J1965" s="1" t="s">
        <v>469</v>
      </c>
      <c r="K1965" s="6" t="str">
        <f>"2.240,00"</f>
        <v>2.240,00</v>
      </c>
      <c r="L1965" s="6" t="str">
        <f t="shared" ref="L1965:M1967" si="195">"0,00"</f>
        <v>0,00</v>
      </c>
      <c r="M1965" s="6" t="str">
        <f t="shared" si="195"/>
        <v>0,00</v>
      </c>
      <c r="N1965" s="1" t="s">
        <v>117</v>
      </c>
      <c r="O1965" s="7"/>
      <c r="P1965" s="6" t="str">
        <f>"0,00"</f>
        <v>0,00</v>
      </c>
      <c r="Q1965" s="7"/>
      <c r="R1965" s="1"/>
      <c r="S1965" s="1" t="str">
        <f>"4-19/NOS-34-A/18"</f>
        <v>4-19/NOS-34-A/18</v>
      </c>
      <c r="T1965" s="2" t="s">
        <v>33</v>
      </c>
    </row>
    <row r="1966" spans="1:20" ht="38.25" x14ac:dyDescent="0.25">
      <c r="A1966" s="1">
        <v>1962</v>
      </c>
      <c r="B1966" s="1" t="str">
        <f t="shared" si="193"/>
        <v>2018-2775</v>
      </c>
      <c r="C1966" s="2" t="s">
        <v>1102</v>
      </c>
      <c r="D1966" s="1" t="s">
        <v>1103</v>
      </c>
      <c r="E1966" s="3" t="str">
        <f>""</f>
        <v/>
      </c>
      <c r="F1966" s="2" t="s">
        <v>27</v>
      </c>
      <c r="G1966" s="2" t="str">
        <f t="shared" si="194"/>
        <v>PAMAJO D.O.O., VRANIČKA 7/A, 10000 ZAGREB, OIB: 46401136513</v>
      </c>
      <c r="H1966" s="4"/>
      <c r="I1966" s="1" t="s">
        <v>308</v>
      </c>
      <c r="J1966" s="1" t="s">
        <v>121</v>
      </c>
      <c r="K1966" s="6" t="str">
        <f>"17.015,00"</f>
        <v>17.015,00</v>
      </c>
      <c r="L1966" s="6" t="str">
        <f t="shared" si="195"/>
        <v>0,00</v>
      </c>
      <c r="M1966" s="6" t="str">
        <f t="shared" si="195"/>
        <v>0,00</v>
      </c>
      <c r="N1966" s="1" t="s">
        <v>117</v>
      </c>
      <c r="O1966" s="7"/>
      <c r="P1966" s="6" t="str">
        <f>"0,00"</f>
        <v>0,00</v>
      </c>
      <c r="Q1966" s="7"/>
      <c r="R1966" s="1"/>
      <c r="S1966" s="1" t="str">
        <f>"5-19/NOS-34-A/18"</f>
        <v>5-19/NOS-34-A/18</v>
      </c>
      <c r="T1966" s="2" t="s">
        <v>65</v>
      </c>
    </row>
    <row r="1967" spans="1:20" ht="25.5" x14ac:dyDescent="0.25">
      <c r="A1967" s="1">
        <v>1963</v>
      </c>
      <c r="B1967" s="1" t="str">
        <f t="shared" si="193"/>
        <v>2018-2775</v>
      </c>
      <c r="C1967" s="2" t="s">
        <v>1102</v>
      </c>
      <c r="D1967" s="1" t="s">
        <v>1103</v>
      </c>
      <c r="E1967" s="3" t="str">
        <f>""</f>
        <v/>
      </c>
      <c r="F1967" s="2" t="s">
        <v>27</v>
      </c>
      <c r="G1967" s="2" t="str">
        <f t="shared" si="194"/>
        <v>PAMAJO D.O.O., VRANIČKA 7/A, 10000 ZAGREB, OIB: 46401136513</v>
      </c>
      <c r="H1967" s="4"/>
      <c r="I1967" s="1" t="s">
        <v>32</v>
      </c>
      <c r="J1967" s="1" t="s">
        <v>121</v>
      </c>
      <c r="K1967" s="6" t="str">
        <f>"2.532,50"</f>
        <v>2.532,50</v>
      </c>
      <c r="L1967" s="6" t="str">
        <f t="shared" si="195"/>
        <v>0,00</v>
      </c>
      <c r="M1967" s="6" t="str">
        <f t="shared" si="195"/>
        <v>0,00</v>
      </c>
      <c r="N1967" s="1" t="s">
        <v>117</v>
      </c>
      <c r="O1967" s="7"/>
      <c r="P1967" s="6" t="str">
        <f>"0,00"</f>
        <v>0,00</v>
      </c>
      <c r="Q1967" s="7"/>
      <c r="R1967" s="1"/>
      <c r="S1967" s="1" t="str">
        <f>"6-19/NOS-34-A/18"</f>
        <v>6-19/NOS-34-A/18</v>
      </c>
      <c r="T1967" s="2" t="s">
        <v>112</v>
      </c>
    </row>
    <row r="1968" spans="1:20" ht="25.5" x14ac:dyDescent="0.25">
      <c r="A1968" s="1">
        <v>1964</v>
      </c>
      <c r="B1968" s="1" t="str">
        <f t="shared" si="193"/>
        <v>2018-2775</v>
      </c>
      <c r="C1968" s="2" t="s">
        <v>1102</v>
      </c>
      <c r="D1968" s="1" t="s">
        <v>1103</v>
      </c>
      <c r="E1968" s="3" t="str">
        <f>""</f>
        <v/>
      </c>
      <c r="F1968" s="2" t="s">
        <v>27</v>
      </c>
      <c r="G1968" s="2" t="str">
        <f t="shared" si="194"/>
        <v>PAMAJO D.O.O., VRANIČKA 7/A, 10000 ZAGREB, OIB: 46401136513</v>
      </c>
      <c r="H1968" s="4"/>
      <c r="I1968" s="1" t="s">
        <v>455</v>
      </c>
      <c r="J1968" s="1" t="s">
        <v>469</v>
      </c>
      <c r="K1968" s="6" t="str">
        <f>"3.500,00"</f>
        <v>3.500,00</v>
      </c>
      <c r="L1968" s="6" t="str">
        <f>"875,00"</f>
        <v>875,00</v>
      </c>
      <c r="M1968" s="6" t="str">
        <f>"4.375,00"</f>
        <v>4.375,00</v>
      </c>
      <c r="N1968" s="5">
        <v>43708</v>
      </c>
      <c r="O1968" s="7"/>
      <c r="P1968" s="6" t="str">
        <f>"4.375,00"</f>
        <v>4.375,00</v>
      </c>
      <c r="Q1968" s="7"/>
      <c r="R1968" s="1"/>
      <c r="S1968" s="1" t="str">
        <f>"7-19/NOS-34-A/18"</f>
        <v>7-19/NOS-34-A/18</v>
      </c>
      <c r="T1968" s="2" t="s">
        <v>33</v>
      </c>
    </row>
    <row r="1969" spans="1:20" ht="25.5" x14ac:dyDescent="0.25">
      <c r="A1969" s="1">
        <v>1965</v>
      </c>
      <c r="B1969" s="1" t="str">
        <f t="shared" si="193"/>
        <v>2018-2775</v>
      </c>
      <c r="C1969" s="2" t="s">
        <v>1102</v>
      </c>
      <c r="D1969" s="1" t="s">
        <v>1103</v>
      </c>
      <c r="E1969" s="3" t="str">
        <f>""</f>
        <v/>
      </c>
      <c r="F1969" s="2" t="s">
        <v>27</v>
      </c>
      <c r="G1969" s="2" t="str">
        <f t="shared" si="194"/>
        <v>PAMAJO D.O.O., VRANIČKA 7/A, 10000 ZAGREB, OIB: 46401136513</v>
      </c>
      <c r="H1969" s="4"/>
      <c r="I1969" s="1" t="s">
        <v>642</v>
      </c>
      <c r="J1969" s="1" t="s">
        <v>492</v>
      </c>
      <c r="K1969" s="6" t="str">
        <f>"735,00"</f>
        <v>735,00</v>
      </c>
      <c r="L1969" s="6" t="str">
        <f>"183,75"</f>
        <v>183,75</v>
      </c>
      <c r="M1969" s="6" t="str">
        <f>"918,75"</f>
        <v>918,75</v>
      </c>
      <c r="N1969" s="5">
        <v>43630</v>
      </c>
      <c r="O1969" s="7"/>
      <c r="P1969" s="6" t="str">
        <f>"918,75"</f>
        <v>918,75</v>
      </c>
      <c r="Q1969" s="7"/>
      <c r="R1969" s="1"/>
      <c r="S1969" s="1" t="str">
        <f>"8-19/NOS-34-A/18"</f>
        <v>8-19/NOS-34-A/18</v>
      </c>
      <c r="T1969" s="2" t="s">
        <v>33</v>
      </c>
    </row>
    <row r="1970" spans="1:20" ht="25.5" x14ac:dyDescent="0.25">
      <c r="A1970" s="1">
        <v>1966</v>
      </c>
      <c r="B1970" s="1" t="str">
        <f t="shared" si="193"/>
        <v>2018-2775</v>
      </c>
      <c r="C1970" s="2" t="s">
        <v>1102</v>
      </c>
      <c r="D1970" s="1" t="s">
        <v>1103</v>
      </c>
      <c r="E1970" s="3" t="str">
        <f>""</f>
        <v/>
      </c>
      <c r="F1970" s="2" t="s">
        <v>27</v>
      </c>
      <c r="G1970" s="2" t="str">
        <f t="shared" si="194"/>
        <v>PAMAJO D.O.O., VRANIČKA 7/A, 10000 ZAGREB, OIB: 46401136513</v>
      </c>
      <c r="H1970" s="4"/>
      <c r="I1970" s="1" t="s">
        <v>499</v>
      </c>
      <c r="J1970" s="1" t="s">
        <v>121</v>
      </c>
      <c r="K1970" s="6" t="str">
        <f>"1.350,00"</f>
        <v>1.350,00</v>
      </c>
      <c r="L1970" s="6" t="str">
        <f>"0,00"</f>
        <v>0,00</v>
      </c>
      <c r="M1970" s="6" t="str">
        <f>"0,00"</f>
        <v>0,00</v>
      </c>
      <c r="N1970" s="1" t="s">
        <v>117</v>
      </c>
      <c r="O1970" s="7"/>
      <c r="P1970" s="6" t="str">
        <f>"0,00"</f>
        <v>0,00</v>
      </c>
      <c r="Q1970" s="7"/>
      <c r="R1970" s="1"/>
      <c r="S1970" s="1" t="str">
        <f>"9-19/NOS-34-A/18"</f>
        <v>9-19/NOS-34-A/18</v>
      </c>
      <c r="T1970" s="2" t="s">
        <v>29</v>
      </c>
    </row>
    <row r="1971" spans="1:20" ht="25.5" x14ac:dyDescent="0.25">
      <c r="A1971" s="1">
        <v>1967</v>
      </c>
      <c r="B1971" s="1" t="str">
        <f t="shared" si="193"/>
        <v>2018-2775</v>
      </c>
      <c r="C1971" s="2" t="s">
        <v>1102</v>
      </c>
      <c r="D1971" s="1" t="s">
        <v>1103</v>
      </c>
      <c r="E1971" s="3" t="str">
        <f>""</f>
        <v/>
      </c>
      <c r="F1971" s="2" t="s">
        <v>27</v>
      </c>
      <c r="G1971" s="2" t="str">
        <f t="shared" si="194"/>
        <v>PAMAJO D.O.O., VRANIČKA 7/A, 10000 ZAGREB, OIB: 46401136513</v>
      </c>
      <c r="H1971" s="4"/>
      <c r="I1971" s="1" t="s">
        <v>25</v>
      </c>
      <c r="J1971" s="1" t="s">
        <v>251</v>
      </c>
      <c r="K1971" s="6" t="str">
        <f>"3.540,00"</f>
        <v>3.540,00</v>
      </c>
      <c r="L1971" s="6" t="str">
        <f>"885,00"</f>
        <v>885,00</v>
      </c>
      <c r="M1971" s="6" t="str">
        <f>"4.425,00"</f>
        <v>4.425,00</v>
      </c>
      <c r="N1971" s="5">
        <v>43584</v>
      </c>
      <c r="O1971" s="7"/>
      <c r="P1971" s="6" t="str">
        <f>"4.425,00"</f>
        <v>4.425,00</v>
      </c>
      <c r="Q1971" s="7"/>
      <c r="R1971" s="1"/>
      <c r="S1971" s="1" t="str">
        <f>"10-19/NOS-34-A/18"</f>
        <v>10-19/NOS-34-A/18</v>
      </c>
      <c r="T1971" s="2" t="s">
        <v>33</v>
      </c>
    </row>
    <row r="1972" spans="1:20" ht="25.5" x14ac:dyDescent="0.25">
      <c r="A1972" s="1">
        <v>1968</v>
      </c>
      <c r="B1972" s="1" t="str">
        <f t="shared" si="193"/>
        <v>2018-2775</v>
      </c>
      <c r="C1972" s="2" t="s">
        <v>1102</v>
      </c>
      <c r="D1972" s="1" t="s">
        <v>1103</v>
      </c>
      <c r="E1972" s="3" t="str">
        <f>""</f>
        <v/>
      </c>
      <c r="F1972" s="2" t="s">
        <v>27</v>
      </c>
      <c r="G1972" s="2" t="str">
        <f t="shared" si="194"/>
        <v>PAMAJO D.O.O., VRANIČKA 7/A, 10000 ZAGREB, OIB: 46401136513</v>
      </c>
      <c r="H1972" s="4"/>
      <c r="I1972" s="1" t="s">
        <v>32</v>
      </c>
      <c r="J1972" s="1" t="s">
        <v>492</v>
      </c>
      <c r="K1972" s="6" t="str">
        <f>"750,00"</f>
        <v>750,00</v>
      </c>
      <c r="L1972" s="6" t="str">
        <f>"187,50"</f>
        <v>187,50</v>
      </c>
      <c r="M1972" s="6" t="str">
        <f>"937,50"</f>
        <v>937,50</v>
      </c>
      <c r="N1972" s="5">
        <v>43609</v>
      </c>
      <c r="O1972" s="7"/>
      <c r="P1972" s="6" t="str">
        <f>"937,50"</f>
        <v>937,50</v>
      </c>
      <c r="Q1972" s="7"/>
      <c r="R1972" s="1"/>
      <c r="S1972" s="1" t="str">
        <f>"11-19/NOS-34-A/18"</f>
        <v>11-19/NOS-34-A/18</v>
      </c>
      <c r="T1972" s="2" t="s">
        <v>33</v>
      </c>
    </row>
    <row r="1973" spans="1:20" ht="25.5" x14ac:dyDescent="0.25">
      <c r="A1973" s="1">
        <v>1969</v>
      </c>
      <c r="B1973" s="1" t="str">
        <f t="shared" si="193"/>
        <v>2018-2775</v>
      </c>
      <c r="C1973" s="2" t="s">
        <v>1102</v>
      </c>
      <c r="D1973" s="1" t="s">
        <v>1103</v>
      </c>
      <c r="E1973" s="3" t="str">
        <f>""</f>
        <v/>
      </c>
      <c r="F1973" s="2" t="s">
        <v>27</v>
      </c>
      <c r="G1973" s="2" t="str">
        <f t="shared" si="194"/>
        <v>PAMAJO D.O.O., VRANIČKA 7/A, 10000 ZAGREB, OIB: 46401136513</v>
      </c>
      <c r="H1973" s="4"/>
      <c r="I1973" s="1" t="s">
        <v>435</v>
      </c>
      <c r="J1973" s="1" t="s">
        <v>121</v>
      </c>
      <c r="K1973" s="6" t="str">
        <f>"3.912,00"</f>
        <v>3.912,00</v>
      </c>
      <c r="L1973" s="6" t="str">
        <f>"978,00"</f>
        <v>978,00</v>
      </c>
      <c r="M1973" s="6" t="str">
        <f>"4.890,00"</f>
        <v>4.890,00</v>
      </c>
      <c r="N1973" s="5">
        <v>43613</v>
      </c>
      <c r="O1973" s="7"/>
      <c r="P1973" s="6" t="str">
        <f>"4.890,00"</f>
        <v>4.890,00</v>
      </c>
      <c r="Q1973" s="7"/>
      <c r="R1973" s="1"/>
      <c r="S1973" s="1" t="str">
        <f>"12-19/NOS-34-A/18"</f>
        <v>12-19/NOS-34-A/18</v>
      </c>
      <c r="T1973" s="2" t="s">
        <v>29</v>
      </c>
    </row>
    <row r="1974" spans="1:20" ht="25.5" x14ac:dyDescent="0.25">
      <c r="A1974" s="1">
        <v>1970</v>
      </c>
      <c r="B1974" s="1" t="str">
        <f t="shared" si="193"/>
        <v>2018-2775</v>
      </c>
      <c r="C1974" s="2" t="s">
        <v>1102</v>
      </c>
      <c r="D1974" s="1" t="s">
        <v>1103</v>
      </c>
      <c r="E1974" s="3" t="str">
        <f>""</f>
        <v/>
      </c>
      <c r="F1974" s="2" t="s">
        <v>27</v>
      </c>
      <c r="G1974" s="2" t="str">
        <f t="shared" si="194"/>
        <v>PAMAJO D.O.O., VRANIČKA 7/A, 10000 ZAGREB, OIB: 46401136513</v>
      </c>
      <c r="H1974" s="4"/>
      <c r="I1974" s="1" t="s">
        <v>435</v>
      </c>
      <c r="J1974" s="1" t="s">
        <v>251</v>
      </c>
      <c r="K1974" s="6" t="str">
        <f>"3.750,00"</f>
        <v>3.750,00</v>
      </c>
      <c r="L1974" s="6" t="str">
        <f>"0,00"</f>
        <v>0,00</v>
      </c>
      <c r="M1974" s="6" t="str">
        <f>"0,00"</f>
        <v>0,00</v>
      </c>
      <c r="N1974" s="1" t="s">
        <v>117</v>
      </c>
      <c r="O1974" s="7"/>
      <c r="P1974" s="6" t="str">
        <f>"0,00"</f>
        <v>0,00</v>
      </c>
      <c r="Q1974" s="7"/>
      <c r="R1974" s="1"/>
      <c r="S1974" s="1" t="str">
        <f>"13-19/NOS-34-A/18"</f>
        <v>13-19/NOS-34-A/18</v>
      </c>
      <c r="T1974" s="2" t="s">
        <v>33</v>
      </c>
    </row>
    <row r="1975" spans="1:20" ht="25.5" x14ac:dyDescent="0.25">
      <c r="A1975" s="1">
        <v>1971</v>
      </c>
      <c r="B1975" s="1" t="str">
        <f t="shared" si="193"/>
        <v>2018-2775</v>
      </c>
      <c r="C1975" s="2" t="s">
        <v>1102</v>
      </c>
      <c r="D1975" s="1" t="s">
        <v>1103</v>
      </c>
      <c r="E1975" s="3" t="str">
        <f>""</f>
        <v/>
      </c>
      <c r="F1975" s="2" t="s">
        <v>27</v>
      </c>
      <c r="G1975" s="2" t="str">
        <f t="shared" si="194"/>
        <v>PAMAJO D.O.O., VRANIČKA 7/A, 10000 ZAGREB, OIB: 46401136513</v>
      </c>
      <c r="H1975" s="4"/>
      <c r="I1975" s="1" t="s">
        <v>435</v>
      </c>
      <c r="J1975" s="1" t="s">
        <v>251</v>
      </c>
      <c r="K1975" s="6" t="str">
        <f>"7.150,00"</f>
        <v>7.150,00</v>
      </c>
      <c r="L1975" s="6" t="str">
        <f>"0,00"</f>
        <v>0,00</v>
      </c>
      <c r="M1975" s="6" t="str">
        <f>"0,00"</f>
        <v>0,00</v>
      </c>
      <c r="N1975" s="1" t="s">
        <v>117</v>
      </c>
      <c r="O1975" s="7"/>
      <c r="P1975" s="6" t="str">
        <f>"0,00"</f>
        <v>0,00</v>
      </c>
      <c r="Q1975" s="7"/>
      <c r="R1975" s="1"/>
      <c r="S1975" s="1" t="str">
        <f>"14-19/NOS-34-A/18"</f>
        <v>14-19/NOS-34-A/18</v>
      </c>
      <c r="T1975" s="2" t="s">
        <v>33</v>
      </c>
    </row>
    <row r="1976" spans="1:20" ht="25.5" x14ac:dyDescent="0.25">
      <c r="A1976" s="1">
        <v>1972</v>
      </c>
      <c r="B1976" s="1" t="str">
        <f t="shared" si="193"/>
        <v>2018-2775</v>
      </c>
      <c r="C1976" s="2" t="s">
        <v>1102</v>
      </c>
      <c r="D1976" s="1" t="s">
        <v>1103</v>
      </c>
      <c r="E1976" s="3" t="str">
        <f>""</f>
        <v/>
      </c>
      <c r="F1976" s="2" t="s">
        <v>27</v>
      </c>
      <c r="G1976" s="2" t="str">
        <f t="shared" si="194"/>
        <v>PAMAJO D.O.O., VRANIČKA 7/A, 10000 ZAGREB, OIB: 46401136513</v>
      </c>
      <c r="H1976" s="4"/>
      <c r="I1976" s="1" t="s">
        <v>74</v>
      </c>
      <c r="J1976" s="1" t="s">
        <v>121</v>
      </c>
      <c r="K1976" s="6" t="str">
        <f>"2.240,00"</f>
        <v>2.240,00</v>
      </c>
      <c r="L1976" s="6" t="str">
        <f>"560,00"</f>
        <v>560,00</v>
      </c>
      <c r="M1976" s="6" t="str">
        <f>"2.800,00"</f>
        <v>2.800,00</v>
      </c>
      <c r="N1976" s="5">
        <v>43631</v>
      </c>
      <c r="O1976" s="7"/>
      <c r="P1976" s="6" t="str">
        <f>"2.800,00"</f>
        <v>2.800,00</v>
      </c>
      <c r="Q1976" s="7"/>
      <c r="R1976" s="1"/>
      <c r="S1976" s="1" t="str">
        <f>"15-19/NOS-34-A/18"</f>
        <v>15-19/NOS-34-A/18</v>
      </c>
      <c r="T1976" s="2" t="s">
        <v>33</v>
      </c>
    </row>
    <row r="1977" spans="1:20" ht="25.5" x14ac:dyDescent="0.25">
      <c r="A1977" s="1">
        <v>1973</v>
      </c>
      <c r="B1977" s="1" t="str">
        <f t="shared" si="193"/>
        <v>2018-2775</v>
      </c>
      <c r="C1977" s="2" t="s">
        <v>1102</v>
      </c>
      <c r="D1977" s="1" t="s">
        <v>1103</v>
      </c>
      <c r="E1977" s="3" t="str">
        <f>""</f>
        <v/>
      </c>
      <c r="F1977" s="2" t="s">
        <v>27</v>
      </c>
      <c r="G1977" s="2" t="str">
        <f t="shared" si="194"/>
        <v>PAMAJO D.O.O., VRANIČKA 7/A, 10000 ZAGREB, OIB: 46401136513</v>
      </c>
      <c r="H1977" s="4"/>
      <c r="I1977" s="1" t="s">
        <v>74</v>
      </c>
      <c r="J1977" s="1" t="s">
        <v>121</v>
      </c>
      <c r="K1977" s="6" t="str">
        <f>"510,00"</f>
        <v>510,00</v>
      </c>
      <c r="L1977" s="6" t="str">
        <f>"127,50"</f>
        <v>127,50</v>
      </c>
      <c r="M1977" s="6" t="str">
        <f>"637,50"</f>
        <v>637,50</v>
      </c>
      <c r="N1977" s="5">
        <v>43631</v>
      </c>
      <c r="O1977" s="7"/>
      <c r="P1977" s="6" t="str">
        <f>"637,50"</f>
        <v>637,50</v>
      </c>
      <c r="Q1977" s="7"/>
      <c r="R1977" s="1"/>
      <c r="S1977" s="1" t="str">
        <f>"16-19/NOS-34-A/18"</f>
        <v>16-19/NOS-34-A/18</v>
      </c>
      <c r="T1977" s="2" t="s">
        <v>33</v>
      </c>
    </row>
    <row r="1978" spans="1:20" ht="25.5" x14ac:dyDescent="0.25">
      <c r="A1978" s="1">
        <v>1974</v>
      </c>
      <c r="B1978" s="1" t="str">
        <f t="shared" si="193"/>
        <v>2018-2775</v>
      </c>
      <c r="C1978" s="2" t="s">
        <v>1102</v>
      </c>
      <c r="D1978" s="1" t="s">
        <v>1103</v>
      </c>
      <c r="E1978" s="3" t="str">
        <f>""</f>
        <v/>
      </c>
      <c r="F1978" s="2" t="s">
        <v>27</v>
      </c>
      <c r="G1978" s="2" t="str">
        <f t="shared" si="194"/>
        <v>PAMAJO D.O.O., VRANIČKA 7/A, 10000 ZAGREB, OIB: 46401136513</v>
      </c>
      <c r="H1978" s="4"/>
      <c r="I1978" s="1" t="s">
        <v>162</v>
      </c>
      <c r="J1978" s="1" t="s">
        <v>121</v>
      </c>
      <c r="K1978" s="6" t="str">
        <f>"1.640,00"</f>
        <v>1.640,00</v>
      </c>
      <c r="L1978" s="6" t="str">
        <f>"0,00"</f>
        <v>0,00</v>
      </c>
      <c r="M1978" s="6" t="str">
        <f>"0,00"</f>
        <v>0,00</v>
      </c>
      <c r="N1978" s="1" t="s">
        <v>117</v>
      </c>
      <c r="O1978" s="7"/>
      <c r="P1978" s="6" t="str">
        <f>"0,00"</f>
        <v>0,00</v>
      </c>
      <c r="Q1978" s="7"/>
      <c r="R1978" s="1"/>
      <c r="S1978" s="1" t="str">
        <f>"17-19/NOS-34-A/18"</f>
        <v>17-19/NOS-34-A/18</v>
      </c>
      <c r="T1978" s="2" t="s">
        <v>33</v>
      </c>
    </row>
    <row r="1979" spans="1:20" ht="25.5" x14ac:dyDescent="0.25">
      <c r="A1979" s="1">
        <v>1975</v>
      </c>
      <c r="B1979" s="1" t="str">
        <f t="shared" si="193"/>
        <v>2018-2775</v>
      </c>
      <c r="C1979" s="2" t="s">
        <v>1102</v>
      </c>
      <c r="D1979" s="1" t="s">
        <v>1103</v>
      </c>
      <c r="E1979" s="3" t="str">
        <f>""</f>
        <v/>
      </c>
      <c r="F1979" s="2" t="s">
        <v>27</v>
      </c>
      <c r="G1979" s="2" t="str">
        <f t="shared" si="194"/>
        <v>PAMAJO D.O.O., VRANIČKA 7/A, 10000 ZAGREB, OIB: 46401136513</v>
      </c>
      <c r="H1979" s="4"/>
      <c r="I1979" s="1" t="s">
        <v>414</v>
      </c>
      <c r="J1979" s="1" t="s">
        <v>121</v>
      </c>
      <c r="K1979" s="6" t="str">
        <f>"11.230,00"</f>
        <v>11.230,00</v>
      </c>
      <c r="L1979" s="6" t="str">
        <f>"2.807,50"</f>
        <v>2.807,50</v>
      </c>
      <c r="M1979" s="6" t="str">
        <f>"14.037,50"</f>
        <v>14.037,50</v>
      </c>
      <c r="N1979" s="5">
        <v>43628</v>
      </c>
      <c r="O1979" s="7"/>
      <c r="P1979" s="6" t="str">
        <f>"14.037,50"</f>
        <v>14.037,50</v>
      </c>
      <c r="Q1979" s="7"/>
      <c r="R1979" s="1"/>
      <c r="S1979" s="1" t="str">
        <f>"18-19/NOS-34-A/18"</f>
        <v>18-19/NOS-34-A/18</v>
      </c>
      <c r="T1979" s="2" t="s">
        <v>29</v>
      </c>
    </row>
    <row r="1980" spans="1:20" ht="25.5" x14ac:dyDescent="0.25">
      <c r="A1980" s="1">
        <v>1976</v>
      </c>
      <c r="B1980" s="1" t="str">
        <f t="shared" si="193"/>
        <v>2018-2775</v>
      </c>
      <c r="C1980" s="2" t="s">
        <v>1102</v>
      </c>
      <c r="D1980" s="1" t="s">
        <v>1103</v>
      </c>
      <c r="E1980" s="3" t="str">
        <f>""</f>
        <v/>
      </c>
      <c r="F1980" s="2" t="s">
        <v>27</v>
      </c>
      <c r="G1980" s="2" t="str">
        <f t="shared" si="194"/>
        <v>PAMAJO D.O.O., VRANIČKA 7/A, 10000 ZAGREB, OIB: 46401136513</v>
      </c>
      <c r="H1980" s="4"/>
      <c r="I1980" s="1" t="s">
        <v>269</v>
      </c>
      <c r="J1980" s="1" t="s">
        <v>121</v>
      </c>
      <c r="K1980" s="6" t="str">
        <f>"315,00"</f>
        <v>315,00</v>
      </c>
      <c r="L1980" s="6" t="str">
        <f>"0,00"</f>
        <v>0,00</v>
      </c>
      <c r="M1980" s="6" t="str">
        <f>"0,00"</f>
        <v>0,00</v>
      </c>
      <c r="N1980" s="1" t="s">
        <v>117</v>
      </c>
      <c r="O1980" s="7"/>
      <c r="P1980" s="6" t="str">
        <f>"0,00"</f>
        <v>0,00</v>
      </c>
      <c r="Q1980" s="7"/>
      <c r="R1980" s="1"/>
      <c r="S1980" s="1" t="str">
        <f>"22-19/NOS-34-A/18"</f>
        <v>22-19/NOS-34-A/18</v>
      </c>
      <c r="T1980" s="2" t="s">
        <v>29</v>
      </c>
    </row>
    <row r="1981" spans="1:20" ht="25.5" x14ac:dyDescent="0.25">
      <c r="A1981" s="1">
        <v>1977</v>
      </c>
      <c r="B1981" s="1" t="str">
        <f t="shared" si="193"/>
        <v>2018-2775</v>
      </c>
      <c r="C1981" s="2" t="s">
        <v>1102</v>
      </c>
      <c r="D1981" s="1" t="s">
        <v>1103</v>
      </c>
      <c r="E1981" s="3" t="str">
        <f>""</f>
        <v/>
      </c>
      <c r="F1981" s="2" t="s">
        <v>27</v>
      </c>
      <c r="G1981" s="2" t="str">
        <f t="shared" si="194"/>
        <v>PAMAJO D.O.O., VRANIČKA 7/A, 10000 ZAGREB, OIB: 46401136513</v>
      </c>
      <c r="H1981" s="4"/>
      <c r="I1981" s="1" t="s">
        <v>414</v>
      </c>
      <c r="J1981" s="1" t="s">
        <v>121</v>
      </c>
      <c r="K1981" s="6" t="str">
        <f>"405,00"</f>
        <v>405,00</v>
      </c>
      <c r="L1981" s="6" t="str">
        <f>"101,25"</f>
        <v>101,25</v>
      </c>
      <c r="M1981" s="6" t="str">
        <f>"506,25"</f>
        <v>506,25</v>
      </c>
      <c r="N1981" s="5">
        <v>43628</v>
      </c>
      <c r="O1981" s="7"/>
      <c r="P1981" s="6" t="str">
        <f>"506,25"</f>
        <v>506,25</v>
      </c>
      <c r="Q1981" s="7"/>
      <c r="R1981" s="1"/>
      <c r="S1981" s="1" t="str">
        <f>"23-19/NOS-34-A/18"</f>
        <v>23-19/NOS-34-A/18</v>
      </c>
      <c r="T1981" s="2" t="s">
        <v>29</v>
      </c>
    </row>
    <row r="1982" spans="1:20" ht="25.5" x14ac:dyDescent="0.25">
      <c r="A1982" s="1">
        <v>1978</v>
      </c>
      <c r="B1982" s="1" t="str">
        <f t="shared" si="193"/>
        <v>2018-2775</v>
      </c>
      <c r="C1982" s="2" t="s">
        <v>1102</v>
      </c>
      <c r="D1982" s="1" t="s">
        <v>1103</v>
      </c>
      <c r="E1982" s="3" t="str">
        <f>""</f>
        <v/>
      </c>
      <c r="F1982" s="2" t="s">
        <v>27</v>
      </c>
      <c r="G1982" s="2" t="str">
        <f t="shared" si="194"/>
        <v>PAMAJO D.O.O., VRANIČKA 7/A, 10000 ZAGREB, OIB: 46401136513</v>
      </c>
      <c r="H1982" s="4"/>
      <c r="I1982" s="1" t="s">
        <v>374</v>
      </c>
      <c r="J1982" s="1" t="s">
        <v>121</v>
      </c>
      <c r="K1982" s="6" t="str">
        <f>"3.317,00"</f>
        <v>3.317,00</v>
      </c>
      <c r="L1982" s="6" t="str">
        <f>"829,25"</f>
        <v>829,25</v>
      </c>
      <c r="M1982" s="6" t="str">
        <f>"4.146,25"</f>
        <v>4.146,25</v>
      </c>
      <c r="N1982" s="5">
        <v>43628</v>
      </c>
      <c r="O1982" s="7"/>
      <c r="P1982" s="6" t="str">
        <f>"4.146,25"</f>
        <v>4.146,25</v>
      </c>
      <c r="Q1982" s="7"/>
      <c r="R1982" s="1"/>
      <c r="S1982" s="1" t="str">
        <f>"24-19/NOS-34-A/18"</f>
        <v>24-19/NOS-34-A/18</v>
      </c>
      <c r="T1982" s="2" t="s">
        <v>33</v>
      </c>
    </row>
    <row r="1983" spans="1:20" ht="25.5" x14ac:dyDescent="0.25">
      <c r="A1983" s="1">
        <v>1979</v>
      </c>
      <c r="B1983" s="1" t="str">
        <f t="shared" si="193"/>
        <v>2018-2775</v>
      </c>
      <c r="C1983" s="2" t="s">
        <v>1102</v>
      </c>
      <c r="D1983" s="1" t="s">
        <v>1103</v>
      </c>
      <c r="E1983" s="3" t="str">
        <f>""</f>
        <v/>
      </c>
      <c r="F1983" s="2" t="s">
        <v>27</v>
      </c>
      <c r="G1983" s="2" t="str">
        <f t="shared" si="194"/>
        <v>PAMAJO D.O.O., VRANIČKA 7/A, 10000 ZAGREB, OIB: 46401136513</v>
      </c>
      <c r="H1983" s="4"/>
      <c r="I1983" s="1" t="s">
        <v>414</v>
      </c>
      <c r="J1983" s="1" t="s">
        <v>121</v>
      </c>
      <c r="K1983" s="6" t="str">
        <f>"1.117,00"</f>
        <v>1.117,00</v>
      </c>
      <c r="L1983" s="6" t="str">
        <f>"279,25"</f>
        <v>279,25</v>
      </c>
      <c r="M1983" s="6" t="str">
        <f>"1.396,25"</f>
        <v>1.396,25</v>
      </c>
      <c r="N1983" s="5">
        <v>43628</v>
      </c>
      <c r="O1983" s="7"/>
      <c r="P1983" s="6" t="str">
        <f>"1.396,25"</f>
        <v>1.396,25</v>
      </c>
      <c r="Q1983" s="7"/>
      <c r="R1983" s="1"/>
      <c r="S1983" s="1" t="str">
        <f>"25-19/NOS-34-A/18"</f>
        <v>25-19/NOS-34-A/18</v>
      </c>
      <c r="T1983" s="2" t="s">
        <v>33</v>
      </c>
    </row>
    <row r="1984" spans="1:20" ht="25.5" x14ac:dyDescent="0.25">
      <c r="A1984" s="1">
        <v>1980</v>
      </c>
      <c r="B1984" s="1" t="str">
        <f t="shared" si="193"/>
        <v>2018-2775</v>
      </c>
      <c r="C1984" s="2" t="s">
        <v>1102</v>
      </c>
      <c r="D1984" s="1" t="s">
        <v>1103</v>
      </c>
      <c r="E1984" s="3" t="str">
        <f>""</f>
        <v/>
      </c>
      <c r="F1984" s="2" t="s">
        <v>27</v>
      </c>
      <c r="G1984" s="2" t="str">
        <f t="shared" si="194"/>
        <v>PAMAJO D.O.O., VRANIČKA 7/A, 10000 ZAGREB, OIB: 46401136513</v>
      </c>
      <c r="H1984" s="4"/>
      <c r="I1984" s="1" t="s">
        <v>579</v>
      </c>
      <c r="J1984" s="1" t="s">
        <v>492</v>
      </c>
      <c r="K1984" s="6" t="str">
        <f>"2.522,00"</f>
        <v>2.522,00</v>
      </c>
      <c r="L1984" s="6" t="str">
        <f>"630,50"</f>
        <v>630,50</v>
      </c>
      <c r="M1984" s="6" t="str">
        <f>"3.152,50"</f>
        <v>3.152,50</v>
      </c>
      <c r="N1984" s="5">
        <v>43634</v>
      </c>
      <c r="O1984" s="7"/>
      <c r="P1984" s="6" t="str">
        <f>"3.152,50"</f>
        <v>3.152,50</v>
      </c>
      <c r="Q1984" s="7"/>
      <c r="R1984" s="1"/>
      <c r="S1984" s="1" t="str">
        <f>"26-19/NOS-34-A/18"</f>
        <v>26-19/NOS-34-A/18</v>
      </c>
      <c r="T1984" s="2" t="s">
        <v>33</v>
      </c>
    </row>
    <row r="1985" spans="1:20" ht="25.5" x14ac:dyDescent="0.25">
      <c r="A1985" s="1">
        <v>1981</v>
      </c>
      <c r="B1985" s="1" t="str">
        <f t="shared" si="193"/>
        <v>2018-2775</v>
      </c>
      <c r="C1985" s="2" t="s">
        <v>1102</v>
      </c>
      <c r="D1985" s="1" t="s">
        <v>1103</v>
      </c>
      <c r="E1985" s="3" t="str">
        <f>""</f>
        <v/>
      </c>
      <c r="F1985" s="2" t="s">
        <v>27</v>
      </c>
      <c r="G1985" s="2" t="str">
        <f t="shared" si="194"/>
        <v>PAMAJO D.O.O., VRANIČKA 7/A, 10000 ZAGREB, OIB: 46401136513</v>
      </c>
      <c r="H1985" s="4"/>
      <c r="I1985" s="1" t="s">
        <v>579</v>
      </c>
      <c r="J1985" s="1" t="s">
        <v>492</v>
      </c>
      <c r="K1985" s="6" t="str">
        <f>"11.130,00"</f>
        <v>11.130,00</v>
      </c>
      <c r="L1985" s="6" t="str">
        <f>"2.782,50"</f>
        <v>2.782,50</v>
      </c>
      <c r="M1985" s="6" t="str">
        <f>"13.912,50"</f>
        <v>13.912,50</v>
      </c>
      <c r="N1985" s="5">
        <v>43708</v>
      </c>
      <c r="O1985" s="7"/>
      <c r="P1985" s="6" t="str">
        <f>"13.912,50"</f>
        <v>13.912,50</v>
      </c>
      <c r="Q1985" s="7"/>
      <c r="R1985" s="1"/>
      <c r="S1985" s="1" t="str">
        <f>"27-19/NOS-34-A/18"</f>
        <v>27-19/NOS-34-A/18</v>
      </c>
      <c r="T1985" s="2" t="s">
        <v>33</v>
      </c>
    </row>
    <row r="1986" spans="1:20" ht="25.5" x14ac:dyDescent="0.25">
      <c r="A1986" s="1">
        <v>1982</v>
      </c>
      <c r="B1986" s="1" t="str">
        <f t="shared" si="193"/>
        <v>2018-2775</v>
      </c>
      <c r="C1986" s="2" t="s">
        <v>1102</v>
      </c>
      <c r="D1986" s="1" t="s">
        <v>1103</v>
      </c>
      <c r="E1986" s="3" t="str">
        <f>""</f>
        <v/>
      </c>
      <c r="F1986" s="2" t="s">
        <v>27</v>
      </c>
      <c r="G1986" s="2" t="str">
        <f t="shared" si="194"/>
        <v>PAMAJO D.O.O., VRANIČKA 7/A, 10000 ZAGREB, OIB: 46401136513</v>
      </c>
      <c r="H1986" s="4"/>
      <c r="I1986" s="1" t="s">
        <v>46</v>
      </c>
      <c r="J1986" s="1" t="s">
        <v>242</v>
      </c>
      <c r="K1986" s="6" t="str">
        <f>"7.555,00"</f>
        <v>7.555,00</v>
      </c>
      <c r="L1986" s="6" t="str">
        <f>"1.888,75"</f>
        <v>1.888,75</v>
      </c>
      <c r="M1986" s="6" t="str">
        <f>"9.443,75"</f>
        <v>9.443,75</v>
      </c>
      <c r="N1986" s="5">
        <v>43634</v>
      </c>
      <c r="O1986" s="7"/>
      <c r="P1986" s="6" t="str">
        <f>"9.443,75"</f>
        <v>9.443,75</v>
      </c>
      <c r="Q1986" s="7"/>
      <c r="R1986" s="1"/>
      <c r="S1986" s="1" t="str">
        <f>"28-19/NOS-34-A/18"</f>
        <v>28-19/NOS-34-A/18</v>
      </c>
      <c r="T1986" s="2" t="s">
        <v>33</v>
      </c>
    </row>
    <row r="1987" spans="1:20" ht="25.5" x14ac:dyDescent="0.25">
      <c r="A1987" s="1">
        <v>1983</v>
      </c>
      <c r="B1987" s="1" t="str">
        <f t="shared" si="193"/>
        <v>2018-2775</v>
      </c>
      <c r="C1987" s="2" t="s">
        <v>1102</v>
      </c>
      <c r="D1987" s="1" t="s">
        <v>1103</v>
      </c>
      <c r="E1987" s="3" t="str">
        <f>""</f>
        <v/>
      </c>
      <c r="F1987" s="2" t="s">
        <v>27</v>
      </c>
      <c r="G1987" s="2" t="str">
        <f t="shared" si="194"/>
        <v>PAMAJO D.O.O., VRANIČKA 7/A, 10000 ZAGREB, OIB: 46401136513</v>
      </c>
      <c r="H1987" s="4"/>
      <c r="I1987" s="1" t="s">
        <v>46</v>
      </c>
      <c r="J1987" s="1" t="s">
        <v>492</v>
      </c>
      <c r="K1987" s="6" t="str">
        <f>"1.865,00"</f>
        <v>1.865,00</v>
      </c>
      <c r="L1987" s="6" t="str">
        <f>"466,25"</f>
        <v>466,25</v>
      </c>
      <c r="M1987" s="6" t="str">
        <f>"2.331,25"</f>
        <v>2.331,25</v>
      </c>
      <c r="N1987" s="5">
        <v>43670</v>
      </c>
      <c r="O1987" s="7"/>
      <c r="P1987" s="6" t="str">
        <f>"2.331,25"</f>
        <v>2.331,25</v>
      </c>
      <c r="Q1987" s="7"/>
      <c r="R1987" s="1"/>
      <c r="S1987" s="1" t="str">
        <f>"29-19/NOS-34-A/18"</f>
        <v>29-19/NOS-34-A/18</v>
      </c>
      <c r="T1987" s="2" t="s">
        <v>33</v>
      </c>
    </row>
    <row r="1988" spans="1:20" ht="25.5" x14ac:dyDescent="0.25">
      <c r="A1988" s="1">
        <v>1984</v>
      </c>
      <c r="B1988" s="1" t="str">
        <f t="shared" si="193"/>
        <v>2018-2775</v>
      </c>
      <c r="C1988" s="2" t="s">
        <v>1102</v>
      </c>
      <c r="D1988" s="1" t="s">
        <v>1103</v>
      </c>
      <c r="E1988" s="3" t="str">
        <f>""</f>
        <v/>
      </c>
      <c r="F1988" s="2" t="s">
        <v>27</v>
      </c>
      <c r="G1988" s="2" t="str">
        <f t="shared" si="194"/>
        <v>PAMAJO D.O.O., VRANIČKA 7/A, 10000 ZAGREB, OIB: 46401136513</v>
      </c>
      <c r="H1988" s="4"/>
      <c r="I1988" s="1" t="s">
        <v>640</v>
      </c>
      <c r="J1988" s="1" t="s">
        <v>121</v>
      </c>
      <c r="K1988" s="6" t="str">
        <f>"787,00"</f>
        <v>787,00</v>
      </c>
      <c r="L1988" s="6" t="str">
        <f>"196,75"</f>
        <v>196,75</v>
      </c>
      <c r="M1988" s="6" t="str">
        <f>"983,75"</f>
        <v>983,75</v>
      </c>
      <c r="N1988" s="5">
        <v>43644</v>
      </c>
      <c r="O1988" s="7"/>
      <c r="P1988" s="6" t="str">
        <f>"983,75"</f>
        <v>983,75</v>
      </c>
      <c r="Q1988" s="7"/>
      <c r="R1988" s="1"/>
      <c r="S1988" s="1" t="str">
        <f>"31-19/NOS-34-A/18"</f>
        <v>31-19/NOS-34-A/18</v>
      </c>
      <c r="T1988" s="2" t="s">
        <v>33</v>
      </c>
    </row>
    <row r="1989" spans="1:20" ht="51" x14ac:dyDescent="0.25">
      <c r="A1989" s="1">
        <v>1985</v>
      </c>
      <c r="B1989" s="1" t="str">
        <f t="shared" si="193"/>
        <v>2018-2775</v>
      </c>
      <c r="C1989" s="2" t="s">
        <v>1102</v>
      </c>
      <c r="D1989" s="1" t="s">
        <v>1103</v>
      </c>
      <c r="E1989" s="3" t="str">
        <f>"2018/S 0F2-0011897"</f>
        <v>2018/S 0F2-0011897</v>
      </c>
      <c r="F1989" s="2" t="s">
        <v>23</v>
      </c>
      <c r="G1989" s="2" t="str">
        <f>CONCATENATE("DELTRON D.O.O.,"," VUKOVARSKA 148,"," 21000 SPLIT,"," OIB: 36118056137",CHAR(10),"KLIMA EXPERT D.O.O.,"," KARLOVAČKA CESTA 203A,"," 10250 LUČKO,"," OIB: 49766965594")</f>
        <v>DELTRON D.O.O., VUKOVARSKA 148, 21000 SPLIT, OIB: 36118056137
KLIMA EXPERT D.O.O., KARLOVAČKA CESTA 203A, 10250 LUČKO, OIB: 49766965594</v>
      </c>
      <c r="H1989" s="4"/>
      <c r="I1989" s="1" t="s">
        <v>1104</v>
      </c>
      <c r="J1989" s="1" t="s">
        <v>1105</v>
      </c>
      <c r="K1989" s="6" t="str">
        <f>"55.000,00"</f>
        <v>55.000,00</v>
      </c>
      <c r="L1989" s="6" t="str">
        <f>"13.750,00"</f>
        <v>13.750,00</v>
      </c>
      <c r="M1989" s="6" t="str">
        <f>"68.750,00"</f>
        <v>68.750,00</v>
      </c>
      <c r="N1989" s="7"/>
      <c r="O1989" s="7"/>
      <c r="P1989" s="6" t="str">
        <f>""</f>
        <v/>
      </c>
      <c r="Q1989" s="7"/>
      <c r="R1989" s="1"/>
      <c r="S1989" s="1" t="str">
        <f>"NOS-34-B/18"</f>
        <v>NOS-34-B/18</v>
      </c>
      <c r="T1989" s="2" t="s">
        <v>33</v>
      </c>
    </row>
    <row r="1990" spans="1:20" ht="25.5" x14ac:dyDescent="0.25">
      <c r="A1990" s="1">
        <v>1986</v>
      </c>
      <c r="B1990" s="1" t="str">
        <f t="shared" si="193"/>
        <v>2018-2775</v>
      </c>
      <c r="C1990" s="2" t="s">
        <v>1102</v>
      </c>
      <c r="D1990" s="1" t="s">
        <v>1103</v>
      </c>
      <c r="E1990" s="3" t="str">
        <f>""</f>
        <v/>
      </c>
      <c r="F1990" s="2" t="s">
        <v>27</v>
      </c>
      <c r="G1990" s="2" t="str">
        <f>CONCATENATE("KLIMA EXPERT D.O.O.,"," KARLOVAČKA CESTA 203A,"," 10250 LUČKO,"," OIB: 49766965594")</f>
        <v>KLIMA EXPERT D.O.O., KARLOVAČKA CESTA 203A, 10250 LUČKO, OIB: 49766965594</v>
      </c>
      <c r="H1990" s="4"/>
      <c r="I1990" s="1" t="s">
        <v>463</v>
      </c>
      <c r="J1990" s="1" t="s">
        <v>121</v>
      </c>
      <c r="K1990" s="6" t="str">
        <f>"5.000,00"</f>
        <v>5.000,00</v>
      </c>
      <c r="L1990" s="6" t="str">
        <f>"1.250,00"</f>
        <v>1.250,00</v>
      </c>
      <c r="M1990" s="6" t="str">
        <f>"6.250,00"</f>
        <v>6.250,00</v>
      </c>
      <c r="N1990" s="5">
        <v>43565</v>
      </c>
      <c r="O1990" s="7"/>
      <c r="P1990" s="6" t="str">
        <f>"6.250,00"</f>
        <v>6.250,00</v>
      </c>
      <c r="Q1990" s="7"/>
      <c r="R1990" s="1"/>
      <c r="S1990" s="1" t="str">
        <f>"1-19/NOS-34-B/18"</f>
        <v>1-19/NOS-34-B/18</v>
      </c>
      <c r="T1990" s="2" t="s">
        <v>33</v>
      </c>
    </row>
    <row r="1991" spans="1:20" ht="51" x14ac:dyDescent="0.25">
      <c r="A1991" s="1">
        <v>1987</v>
      </c>
      <c r="B1991" s="1" t="str">
        <f t="shared" si="193"/>
        <v>2018-2775</v>
      </c>
      <c r="C1991" s="2" t="s">
        <v>1102</v>
      </c>
      <c r="D1991" s="1" t="s">
        <v>1103</v>
      </c>
      <c r="E1991" s="3" t="str">
        <f>"2018/S 0F2-0011897"</f>
        <v>2018/S 0F2-0011897</v>
      </c>
      <c r="F1991" s="2" t="s">
        <v>23</v>
      </c>
      <c r="G1991" s="2" t="str">
        <f>CONCATENATE("DELTRON D.O.O.,"," VUKOVARSKA 148,"," 21000 SPLIT,"," OIB: 36118056137",CHAR(10),"KLIMA EXPERT D.O.O.,"," KARLOVAČKA CESTA 203A,"," 10250 LUČKO,"," OIB: 49766965594")</f>
        <v>DELTRON D.O.O., VUKOVARSKA 148, 21000 SPLIT, OIB: 36118056137
KLIMA EXPERT D.O.O., KARLOVAČKA CESTA 203A, 10250 LUČKO, OIB: 49766965594</v>
      </c>
      <c r="H1991" s="4"/>
      <c r="I1991" s="1" t="s">
        <v>1104</v>
      </c>
      <c r="J1991" s="1" t="s">
        <v>1105</v>
      </c>
      <c r="K1991" s="6" t="str">
        <f>"20.000,00"</f>
        <v>20.000,00</v>
      </c>
      <c r="L1991" s="6" t="str">
        <f>"5.000,00"</f>
        <v>5.000,00</v>
      </c>
      <c r="M1991" s="6" t="str">
        <f>"25.000,00"</f>
        <v>25.000,00</v>
      </c>
      <c r="N1991" s="7"/>
      <c r="O1991" s="7"/>
      <c r="P1991" s="6" t="str">
        <f>""</f>
        <v/>
      </c>
      <c r="Q1991" s="7"/>
      <c r="R1991" s="1"/>
      <c r="S1991" s="1" t="str">
        <f>"NOS-34-C/18"</f>
        <v>NOS-34-C/18</v>
      </c>
      <c r="T1991" s="2" t="s">
        <v>33</v>
      </c>
    </row>
    <row r="1992" spans="1:20" ht="51" x14ac:dyDescent="0.25">
      <c r="A1992" s="1">
        <v>1988</v>
      </c>
      <c r="B1992" s="1" t="str">
        <f t="shared" si="193"/>
        <v>2018-2775</v>
      </c>
      <c r="C1992" s="2" t="s">
        <v>1102</v>
      </c>
      <c r="D1992" s="1" t="s">
        <v>1103</v>
      </c>
      <c r="E1992" s="3" t="str">
        <f>"2018/S 0F2-0011897"</f>
        <v>2018/S 0F2-0011897</v>
      </c>
      <c r="F1992" s="2" t="s">
        <v>23</v>
      </c>
      <c r="G1992" s="2" t="str">
        <f>CONCATENATE("DELTRON D.O.O.,"," VUKOVARSKA 148,"," 21000 SPLIT,"," OIB: 36118056137",CHAR(10),"KLIMA EXPERT D.O.O.,"," KARLOVAČKA CESTA 203A,"," 10250 LUČKO,"," OIB: 49766965594")</f>
        <v>DELTRON D.O.O., VUKOVARSKA 148, 21000 SPLIT, OIB: 36118056137
KLIMA EXPERT D.O.O., KARLOVAČKA CESTA 203A, 10250 LUČKO, OIB: 49766965594</v>
      </c>
      <c r="H1992" s="4"/>
      <c r="I1992" s="1" t="s">
        <v>1104</v>
      </c>
      <c r="J1992" s="1" t="s">
        <v>1105</v>
      </c>
      <c r="K1992" s="6" t="str">
        <f>"100.000,00"</f>
        <v>100.000,00</v>
      </c>
      <c r="L1992" s="6" t="str">
        <f>"25.000,00"</f>
        <v>25.000,00</v>
      </c>
      <c r="M1992" s="6" t="str">
        <f>"125.000,00"</f>
        <v>125.000,00</v>
      </c>
      <c r="N1992" s="7"/>
      <c r="O1992" s="7"/>
      <c r="P1992" s="6" t="str">
        <f>""</f>
        <v/>
      </c>
      <c r="Q1992" s="7"/>
      <c r="R1992" s="1"/>
      <c r="S1992" s="1" t="str">
        <f>"NOS-34-D/18"</f>
        <v>NOS-34-D/18</v>
      </c>
      <c r="T1992" s="2" t="s">
        <v>33</v>
      </c>
    </row>
    <row r="1993" spans="1:20" ht="25.5" x14ac:dyDescent="0.25">
      <c r="A1993" s="1">
        <v>1989</v>
      </c>
      <c r="B1993" s="1" t="str">
        <f t="shared" si="193"/>
        <v>2018-2775</v>
      </c>
      <c r="C1993" s="2" t="s">
        <v>1102</v>
      </c>
      <c r="D1993" s="1" t="s">
        <v>1103</v>
      </c>
      <c r="E1993" s="3" t="str">
        <f>""</f>
        <v/>
      </c>
      <c r="F1993" s="2" t="s">
        <v>27</v>
      </c>
      <c r="G1993" s="2" t="str">
        <f>CONCATENATE("KLIMA EXPERT D.O.O.,"," KARLOVAČKA CESTA 203A,"," 10250 LUČKO,"," OIB: 49766965594")</f>
        <v>KLIMA EXPERT D.O.O., KARLOVAČKA CESTA 203A, 10250 LUČKO, OIB: 49766965594</v>
      </c>
      <c r="H1993" s="4"/>
      <c r="I1993" s="1" t="s">
        <v>566</v>
      </c>
      <c r="J1993" s="1" t="s">
        <v>436</v>
      </c>
      <c r="K1993" s="6" t="str">
        <f>"2.600,00"</f>
        <v>2.600,00</v>
      </c>
      <c r="L1993" s="6" t="str">
        <f>"650,00"</f>
        <v>650,00</v>
      </c>
      <c r="M1993" s="6" t="str">
        <f>"3.250,00"</f>
        <v>3.250,00</v>
      </c>
      <c r="N1993" s="5">
        <v>43614</v>
      </c>
      <c r="O1993" s="7"/>
      <c r="P1993" s="6" t="str">
        <f>"3.250,00"</f>
        <v>3.250,00</v>
      </c>
      <c r="Q1993" s="7"/>
      <c r="R1993" s="1"/>
      <c r="S1993" s="1" t="str">
        <f>"1-19/NOS-34-D/18"</f>
        <v>1-19/NOS-34-D/18</v>
      </c>
      <c r="T1993" s="2" t="s">
        <v>33</v>
      </c>
    </row>
    <row r="1994" spans="1:20" ht="25.5" x14ac:dyDescent="0.25">
      <c r="A1994" s="1">
        <v>1990</v>
      </c>
      <c r="B1994" s="1" t="str">
        <f t="shared" si="193"/>
        <v>2018-2775</v>
      </c>
      <c r="C1994" s="2" t="s">
        <v>1102</v>
      </c>
      <c r="D1994" s="1" t="s">
        <v>1103</v>
      </c>
      <c r="E1994" s="3" t="str">
        <f>""</f>
        <v/>
      </c>
      <c r="F1994" s="2" t="s">
        <v>27</v>
      </c>
      <c r="G1994" s="2" t="str">
        <f>CONCATENATE("KLIMA EXPERT D.O.O.,"," KARLOVAČKA CESTA 203A,"," 10250 LUČKO,"," OIB: 49766965594")</f>
        <v>KLIMA EXPERT D.O.O., KARLOVAČKA CESTA 203A, 10250 LUČKO, OIB: 49766965594</v>
      </c>
      <c r="H1994" s="4"/>
      <c r="I1994" s="1" t="s">
        <v>574</v>
      </c>
      <c r="J1994" s="1" t="s">
        <v>31</v>
      </c>
      <c r="K1994" s="6" t="str">
        <f>"13.500,00"</f>
        <v>13.500,00</v>
      </c>
      <c r="L1994" s="6" t="str">
        <f>"0,00"</f>
        <v>0,00</v>
      </c>
      <c r="M1994" s="6" t="str">
        <f>"0,00"</f>
        <v>0,00</v>
      </c>
      <c r="N1994" s="1" t="s">
        <v>117</v>
      </c>
      <c r="O1994" s="7"/>
      <c r="P1994" s="6" t="str">
        <f>"0,00"</f>
        <v>0,00</v>
      </c>
      <c r="Q1994" s="7"/>
      <c r="R1994" s="1"/>
      <c r="S1994" s="1" t="str">
        <f>"3-19/NOS-34-D/18"</f>
        <v>3-19/NOS-34-D/18</v>
      </c>
      <c r="T1994" s="2" t="s">
        <v>33</v>
      </c>
    </row>
    <row r="1995" spans="1:20" ht="25.5" x14ac:dyDescent="0.25">
      <c r="A1995" s="1">
        <v>1991</v>
      </c>
      <c r="B1995" s="1" t="str">
        <f t="shared" si="193"/>
        <v>2018-2775</v>
      </c>
      <c r="C1995" s="2" t="s">
        <v>1102</v>
      </c>
      <c r="D1995" s="1" t="s">
        <v>1103</v>
      </c>
      <c r="E1995" s="3" t="str">
        <f>""</f>
        <v/>
      </c>
      <c r="F1995" s="2" t="s">
        <v>27</v>
      </c>
      <c r="G1995" s="2" t="str">
        <f>CONCATENATE("KLIMA EXPERT D.O.O.,"," KARLOVAČKA CESTA 203A,"," 10250 LUČKO,"," OIB: 49766965594")</f>
        <v>KLIMA EXPERT D.O.O., KARLOVAČKA CESTA 203A, 10250 LUČKO, OIB: 49766965594</v>
      </c>
      <c r="H1995" s="4"/>
      <c r="I1995" s="1" t="s">
        <v>195</v>
      </c>
      <c r="J1995" s="1" t="s">
        <v>31</v>
      </c>
      <c r="K1995" s="6" t="str">
        <f>"2.850,00"</f>
        <v>2.850,00</v>
      </c>
      <c r="L1995" s="6" t="str">
        <f>"712,50"</f>
        <v>712,50</v>
      </c>
      <c r="M1995" s="6" t="str">
        <f>"3.562,50"</f>
        <v>3.562,50</v>
      </c>
      <c r="N1995" s="5">
        <v>43539</v>
      </c>
      <c r="O1995" s="7"/>
      <c r="P1995" s="6" t="str">
        <f>"3.562,50"</f>
        <v>3.562,50</v>
      </c>
      <c r="Q1995" s="7"/>
      <c r="R1995" s="1"/>
      <c r="S1995" s="1" t="str">
        <f>"4-19/NOS-34-D/18"</f>
        <v>4-19/NOS-34-D/18</v>
      </c>
      <c r="T1995" s="2" t="s">
        <v>33</v>
      </c>
    </row>
    <row r="1996" spans="1:20" ht="25.5" x14ac:dyDescent="0.25">
      <c r="A1996" s="1">
        <v>1992</v>
      </c>
      <c r="B1996" s="1" t="str">
        <f t="shared" si="193"/>
        <v>2018-2775</v>
      </c>
      <c r="C1996" s="2" t="s">
        <v>1102</v>
      </c>
      <c r="D1996" s="1" t="s">
        <v>1103</v>
      </c>
      <c r="E1996" s="3" t="str">
        <f>""</f>
        <v/>
      </c>
      <c r="F1996" s="2" t="s">
        <v>27</v>
      </c>
      <c r="G1996" s="2" t="str">
        <f>CONCATENATE("KLIMA EXPERT D.O.O.,"," KARLOVAČKA CESTA 203A,"," 10250 LUČKO,"," OIB: 49766965594")</f>
        <v>KLIMA EXPERT D.O.O., KARLOVAČKA CESTA 203A, 10250 LUČKO, OIB: 49766965594</v>
      </c>
      <c r="H1996" s="4"/>
      <c r="I1996" s="1" t="s">
        <v>44</v>
      </c>
      <c r="J1996" s="1" t="s">
        <v>31</v>
      </c>
      <c r="K1996" s="6" t="str">
        <f>"17.400,00"</f>
        <v>17.400,00</v>
      </c>
      <c r="L1996" s="6" t="str">
        <f>"4.350,00"</f>
        <v>4.350,00</v>
      </c>
      <c r="M1996" s="6" t="str">
        <f>"21.750,00"</f>
        <v>21.750,00</v>
      </c>
      <c r="N1996" s="5">
        <v>43614</v>
      </c>
      <c r="O1996" s="7"/>
      <c r="P1996" s="6" t="str">
        <f>"21.750,00"</f>
        <v>21.750,00</v>
      </c>
      <c r="Q1996" s="7"/>
      <c r="R1996" s="1"/>
      <c r="S1996" s="1" t="str">
        <f>"5-19/NOS-34-D/18"</f>
        <v>5-19/NOS-34-D/18</v>
      </c>
      <c r="T1996" s="2" t="s">
        <v>33</v>
      </c>
    </row>
    <row r="1997" spans="1:20" ht="25.5" x14ac:dyDescent="0.25">
      <c r="A1997" s="1">
        <v>1993</v>
      </c>
      <c r="B1997" s="1" t="str">
        <f t="shared" si="193"/>
        <v>2018-2775</v>
      </c>
      <c r="C1997" s="2" t="s">
        <v>1102</v>
      </c>
      <c r="D1997" s="1" t="s">
        <v>1103</v>
      </c>
      <c r="E1997" s="3" t="str">
        <f>""</f>
        <v/>
      </c>
      <c r="F1997" s="2" t="s">
        <v>27</v>
      </c>
      <c r="G1997" s="2" t="str">
        <f>CONCATENATE("KLIMA EXPERT D.O.O.,"," KARLOVAČKA CESTA 203A,"," 10250 LUČKO,"," OIB: 49766965594")</f>
        <v>KLIMA EXPERT D.O.O., KARLOVAČKA CESTA 203A, 10250 LUČKO, OIB: 49766965594</v>
      </c>
      <c r="H1997" s="4"/>
      <c r="I1997" s="1" t="s">
        <v>30</v>
      </c>
      <c r="J1997" s="1" t="s">
        <v>251</v>
      </c>
      <c r="K1997" s="6" t="str">
        <f>"9.150,00"</f>
        <v>9.150,00</v>
      </c>
      <c r="L1997" s="6" t="str">
        <f>"2.287,50"</f>
        <v>2.287,50</v>
      </c>
      <c r="M1997" s="6" t="str">
        <f>"11.437,50"</f>
        <v>11.437,50</v>
      </c>
      <c r="N1997" s="5">
        <v>43571</v>
      </c>
      <c r="O1997" s="7"/>
      <c r="P1997" s="6" t="str">
        <f>"11.437,50"</f>
        <v>11.437,50</v>
      </c>
      <c r="Q1997" s="7"/>
      <c r="R1997" s="1"/>
      <c r="S1997" s="1" t="str">
        <f>"6-19/NOS-34-D/18"</f>
        <v>6-19/NOS-34-D/18</v>
      </c>
      <c r="T1997" s="2" t="s">
        <v>33</v>
      </c>
    </row>
    <row r="1998" spans="1:20" ht="51" x14ac:dyDescent="0.25">
      <c r="A1998" s="1">
        <v>1994</v>
      </c>
      <c r="B1998" s="1" t="str">
        <f t="shared" si="193"/>
        <v>2018-2775</v>
      </c>
      <c r="C1998" s="2" t="s">
        <v>1102</v>
      </c>
      <c r="D1998" s="1" t="s">
        <v>1103</v>
      </c>
      <c r="E1998" s="3" t="str">
        <f>"2018/S 0F2-0011897"</f>
        <v>2018/S 0F2-0011897</v>
      </c>
      <c r="F1998" s="2" t="s">
        <v>23</v>
      </c>
      <c r="G1998" s="2" t="str">
        <f>CONCATENATE("DELTRON D.O.O.,"," VUKOVARSKA 148,"," 21000 SPLIT,"," OIB: 36118056137",CHAR(10),"KLIMA EXPERT D.O.O.,"," KARLOVAČKA CESTA 203A,"," 10250 LUČKO,"," OIB: 49766965594")</f>
        <v>DELTRON D.O.O., VUKOVARSKA 148, 21000 SPLIT, OIB: 36118056137
KLIMA EXPERT D.O.O., KARLOVAČKA CESTA 203A, 10250 LUČKO, OIB: 49766965594</v>
      </c>
      <c r="H1998" s="4"/>
      <c r="I1998" s="1" t="s">
        <v>1104</v>
      </c>
      <c r="J1998" s="1" t="s">
        <v>1105</v>
      </c>
      <c r="K1998" s="6" t="str">
        <f>"20.000,00"</f>
        <v>20.000,00</v>
      </c>
      <c r="L1998" s="6" t="str">
        <f>"5.000,00"</f>
        <v>5.000,00</v>
      </c>
      <c r="M1998" s="6" t="str">
        <f>"25.000,00"</f>
        <v>25.000,00</v>
      </c>
      <c r="N1998" s="7"/>
      <c r="O1998" s="7"/>
      <c r="P1998" s="6" t="str">
        <f>""</f>
        <v/>
      </c>
      <c r="Q1998" s="7"/>
      <c r="R1998" s="1"/>
      <c r="S1998" s="1" t="str">
        <f>"NOS-34-E/18"</f>
        <v>NOS-34-E/18</v>
      </c>
      <c r="T1998" s="2" t="s">
        <v>33</v>
      </c>
    </row>
    <row r="1999" spans="1:20" ht="25.5" x14ac:dyDescent="0.25">
      <c r="A1999" s="1">
        <v>1995</v>
      </c>
      <c r="B1999" s="1" t="str">
        <f t="shared" si="193"/>
        <v>2018-2775</v>
      </c>
      <c r="C1999" s="2" t="s">
        <v>1102</v>
      </c>
      <c r="D1999" s="1" t="s">
        <v>1103</v>
      </c>
      <c r="E1999" s="3" t="str">
        <f>""</f>
        <v/>
      </c>
      <c r="F1999" s="2" t="s">
        <v>27</v>
      </c>
      <c r="G1999" s="2" t="str">
        <f>CONCATENATE("KLIMA EXPERT D.O.O.,"," KARLOVAČKA CESTA 203A,"," 10250 LUČKO,"," OIB: 49766965594")</f>
        <v>KLIMA EXPERT D.O.O., KARLOVAČKA CESTA 203A, 10250 LUČKO, OIB: 49766965594</v>
      </c>
      <c r="H1999" s="4"/>
      <c r="I1999" s="1" t="s">
        <v>455</v>
      </c>
      <c r="J1999" s="1" t="s">
        <v>436</v>
      </c>
      <c r="K1999" s="6" t="str">
        <f>"1.010,00"</f>
        <v>1.010,00</v>
      </c>
      <c r="L1999" s="6" t="str">
        <f>"252,50"</f>
        <v>252,50</v>
      </c>
      <c r="M1999" s="6" t="str">
        <f>"1.262,50"</f>
        <v>1.262,50</v>
      </c>
      <c r="N1999" s="5">
        <v>43657</v>
      </c>
      <c r="O1999" s="7"/>
      <c r="P1999" s="6" t="str">
        <f>"1.262,50"</f>
        <v>1.262,50</v>
      </c>
      <c r="Q1999" s="7"/>
      <c r="R1999" s="1"/>
      <c r="S1999" s="1" t="str">
        <f>"1-19/NOS-34-E/18"</f>
        <v>1-19/NOS-34-E/18</v>
      </c>
      <c r="T1999" s="2" t="s">
        <v>33</v>
      </c>
    </row>
    <row r="2000" spans="1:20" ht="38.25" x14ac:dyDescent="0.25">
      <c r="A2000" s="1">
        <v>1996</v>
      </c>
      <c r="B2000" s="1" t="str">
        <f t="shared" si="193"/>
        <v>2018-2775</v>
      </c>
      <c r="C2000" s="2" t="s">
        <v>1102</v>
      </c>
      <c r="D2000" s="1" t="s">
        <v>1103</v>
      </c>
      <c r="E2000" s="3" t="str">
        <f>"2018/S 0F2-0011897"</f>
        <v>2018/S 0F2-0011897</v>
      </c>
      <c r="F2000" s="2" t="s">
        <v>23</v>
      </c>
      <c r="G2000" s="2" t="str">
        <f>CONCATENATE("DELTRON D.O.O.,"," VUKOVARSKA 148,"," 21000 SPLIT,"," OIB: 36118056137")</f>
        <v>DELTRON D.O.O., VUKOVARSKA 148, 21000 SPLIT, OIB: 36118056137</v>
      </c>
      <c r="H2000" s="4"/>
      <c r="I2000" s="1" t="s">
        <v>1106</v>
      </c>
      <c r="J2000" s="1" t="s">
        <v>1107</v>
      </c>
      <c r="K2000" s="6" t="str">
        <f>"800.000,00"</f>
        <v>800.000,00</v>
      </c>
      <c r="L2000" s="6" t="str">
        <f>"200.000,00"</f>
        <v>200.000,00</v>
      </c>
      <c r="M2000" s="6" t="str">
        <f>"1.000.000,00"</f>
        <v>1.000.000,00</v>
      </c>
      <c r="N2000" s="7"/>
      <c r="O2000" s="7"/>
      <c r="P2000" s="6" t="str">
        <f>""</f>
        <v/>
      </c>
      <c r="Q2000" s="7"/>
      <c r="R2000" s="1"/>
      <c r="S2000" s="1" t="str">
        <f>"NOS-34-G/18"</f>
        <v>NOS-34-G/18</v>
      </c>
      <c r="T2000" s="2" t="s">
        <v>33</v>
      </c>
    </row>
    <row r="2001" spans="1:20" ht="38.25" x14ac:dyDescent="0.25">
      <c r="A2001" s="1">
        <v>1997</v>
      </c>
      <c r="B2001" s="1" t="str">
        <f t="shared" si="193"/>
        <v>2018-2775</v>
      </c>
      <c r="C2001" s="2" t="s">
        <v>1102</v>
      </c>
      <c r="D2001" s="1" t="s">
        <v>1103</v>
      </c>
      <c r="E2001" s="3" t="str">
        <f>"2018/S 0F2-0011897"</f>
        <v>2018/S 0F2-0011897</v>
      </c>
      <c r="F2001" s="2" t="s">
        <v>23</v>
      </c>
      <c r="G2001" s="2" t="str">
        <f t="shared" ref="G2001:G2008" si="196">CONCATENATE("RO-TERMO D.O.O.,"," LJUDEVITA GAJA 13,"," 10410 VELIKA GORICA,"," OIB: 24452310712")</f>
        <v>RO-TERMO D.O.O., LJUDEVITA GAJA 13, 10410 VELIKA GORICA, OIB: 24452310712</v>
      </c>
      <c r="H2001" s="4"/>
      <c r="I2001" s="1" t="s">
        <v>1106</v>
      </c>
      <c r="J2001" s="1" t="s">
        <v>1107</v>
      </c>
      <c r="K2001" s="6" t="str">
        <f>"230.000,00"</f>
        <v>230.000,00</v>
      </c>
      <c r="L2001" s="6" t="str">
        <f>"57.500,00"</f>
        <v>57.500,00</v>
      </c>
      <c r="M2001" s="6" t="str">
        <f>"287.500,00"</f>
        <v>287.500,00</v>
      </c>
      <c r="N2001" s="7"/>
      <c r="O2001" s="7"/>
      <c r="P2001" s="6" t="str">
        <f>""</f>
        <v/>
      </c>
      <c r="Q2001" s="7"/>
      <c r="R2001" s="1"/>
      <c r="S2001" s="1" t="str">
        <f>"NOS-34-H/18"</f>
        <v>NOS-34-H/18</v>
      </c>
      <c r="T2001" s="2" t="s">
        <v>33</v>
      </c>
    </row>
    <row r="2002" spans="1:20" ht="25.5" x14ac:dyDescent="0.25">
      <c r="A2002" s="1">
        <v>1998</v>
      </c>
      <c r="B2002" s="1" t="str">
        <f t="shared" si="193"/>
        <v>2018-2775</v>
      </c>
      <c r="C2002" s="2" t="s">
        <v>1102</v>
      </c>
      <c r="D2002" s="1" t="s">
        <v>1103</v>
      </c>
      <c r="E2002" s="3" t="str">
        <f>""</f>
        <v/>
      </c>
      <c r="F2002" s="2" t="s">
        <v>27</v>
      </c>
      <c r="G2002" s="2" t="str">
        <f t="shared" si="196"/>
        <v>RO-TERMO D.O.O., LJUDEVITA GAJA 13, 10410 VELIKA GORICA, OIB: 24452310712</v>
      </c>
      <c r="H2002" s="4"/>
      <c r="I2002" s="1" t="s">
        <v>194</v>
      </c>
      <c r="J2002" s="1" t="s">
        <v>31</v>
      </c>
      <c r="K2002" s="6" t="str">
        <f>"18.757,20"</f>
        <v>18.757,20</v>
      </c>
      <c r="L2002" s="6" t="str">
        <f>"2.622,50"</f>
        <v>2.622,50</v>
      </c>
      <c r="M2002" s="6" t="str">
        <f>"13.112,50"</f>
        <v>13.112,50</v>
      </c>
      <c r="N2002" s="5">
        <v>43566</v>
      </c>
      <c r="O2002" s="7"/>
      <c r="P2002" s="6" t="str">
        <f>"13.112,50"</f>
        <v>13.112,50</v>
      </c>
      <c r="Q2002" s="7"/>
      <c r="R2002" s="1"/>
      <c r="S2002" s="1" t="str">
        <f>"1-19/NOS-34-H/18"</f>
        <v>1-19/NOS-34-H/18</v>
      </c>
      <c r="T2002" s="2" t="s">
        <v>33</v>
      </c>
    </row>
    <row r="2003" spans="1:20" ht="25.5" x14ac:dyDescent="0.25">
      <c r="A2003" s="1">
        <v>1999</v>
      </c>
      <c r="B2003" s="1" t="str">
        <f t="shared" si="193"/>
        <v>2018-2775</v>
      </c>
      <c r="C2003" s="2" t="s">
        <v>1102</v>
      </c>
      <c r="D2003" s="1" t="s">
        <v>1103</v>
      </c>
      <c r="E2003" s="3" t="str">
        <f>""</f>
        <v/>
      </c>
      <c r="F2003" s="2" t="s">
        <v>27</v>
      </c>
      <c r="G2003" s="2" t="str">
        <f t="shared" si="196"/>
        <v>RO-TERMO D.O.O., LJUDEVITA GAJA 13, 10410 VELIKA GORICA, OIB: 24452310712</v>
      </c>
      <c r="H2003" s="4"/>
      <c r="I2003" s="1" t="s">
        <v>339</v>
      </c>
      <c r="J2003" s="1" t="s">
        <v>380</v>
      </c>
      <c r="K2003" s="6" t="str">
        <f>"12.900,00"</f>
        <v>12.900,00</v>
      </c>
      <c r="L2003" s="6" t="str">
        <f>"3.405,96"</f>
        <v>3.405,96</v>
      </c>
      <c r="M2003" s="6" t="str">
        <f>"17.029,80"</f>
        <v>17.029,80</v>
      </c>
      <c r="N2003" s="5">
        <v>43620</v>
      </c>
      <c r="O2003" s="7"/>
      <c r="P2003" s="6" t="str">
        <f>"17.029,80"</f>
        <v>17.029,80</v>
      </c>
      <c r="Q2003" s="7"/>
      <c r="R2003" s="1"/>
      <c r="S2003" s="1" t="str">
        <f>"2-19/NOS-34-H/18"</f>
        <v>2-19/NOS-34-H/18</v>
      </c>
      <c r="T2003" s="2" t="s">
        <v>33</v>
      </c>
    </row>
    <row r="2004" spans="1:20" ht="25.5" x14ac:dyDescent="0.25">
      <c r="A2004" s="1">
        <v>2000</v>
      </c>
      <c r="B2004" s="1" t="str">
        <f t="shared" si="193"/>
        <v>2018-2775</v>
      </c>
      <c r="C2004" s="2" t="s">
        <v>1102</v>
      </c>
      <c r="D2004" s="1" t="s">
        <v>1103</v>
      </c>
      <c r="E2004" s="3" t="str">
        <f>""</f>
        <v/>
      </c>
      <c r="F2004" s="2" t="s">
        <v>27</v>
      </c>
      <c r="G2004" s="2" t="str">
        <f t="shared" si="196"/>
        <v>RO-TERMO D.O.O., LJUDEVITA GAJA 13, 10410 VELIKA GORICA, OIB: 24452310712</v>
      </c>
      <c r="H2004" s="4"/>
      <c r="I2004" s="1" t="s">
        <v>463</v>
      </c>
      <c r="J2004" s="1" t="s">
        <v>492</v>
      </c>
      <c r="K2004" s="6" t="str">
        <f>"3.695,00"</f>
        <v>3.695,00</v>
      </c>
      <c r="L2004" s="6" t="str">
        <f>"923,75"</f>
        <v>923,75</v>
      </c>
      <c r="M2004" s="6" t="str">
        <f>"4.618,75"</f>
        <v>4.618,75</v>
      </c>
      <c r="N2004" s="5">
        <v>43557</v>
      </c>
      <c r="O2004" s="7"/>
      <c r="P2004" s="6" t="str">
        <f>"4.618,75"</f>
        <v>4.618,75</v>
      </c>
      <c r="Q2004" s="7"/>
      <c r="R2004" s="1"/>
      <c r="S2004" s="1" t="str">
        <f>"3-19/NOS-34-H/18"</f>
        <v>3-19/NOS-34-H/18</v>
      </c>
      <c r="T2004" s="2" t="s">
        <v>33</v>
      </c>
    </row>
    <row r="2005" spans="1:20" ht="25.5" x14ac:dyDescent="0.25">
      <c r="A2005" s="1">
        <v>2001</v>
      </c>
      <c r="B2005" s="1" t="str">
        <f t="shared" si="193"/>
        <v>2018-2775</v>
      </c>
      <c r="C2005" s="2" t="s">
        <v>1102</v>
      </c>
      <c r="D2005" s="1" t="s">
        <v>1103</v>
      </c>
      <c r="E2005" s="3" t="str">
        <f>""</f>
        <v/>
      </c>
      <c r="F2005" s="2" t="s">
        <v>27</v>
      </c>
      <c r="G2005" s="2" t="str">
        <f t="shared" si="196"/>
        <v>RO-TERMO D.O.O., LJUDEVITA GAJA 13, 10410 VELIKA GORICA, OIB: 24452310712</v>
      </c>
      <c r="H2005" s="4"/>
      <c r="I2005" s="1" t="s">
        <v>30</v>
      </c>
      <c r="J2005" s="1" t="s">
        <v>251</v>
      </c>
      <c r="K2005" s="6" t="str">
        <f>"720,00"</f>
        <v>720,00</v>
      </c>
      <c r="L2005" s="6" t="str">
        <f>"180,00"</f>
        <v>180,00</v>
      </c>
      <c r="M2005" s="6" t="str">
        <f>"900,00"</f>
        <v>900,00</v>
      </c>
      <c r="N2005" s="5">
        <v>43579</v>
      </c>
      <c r="O2005" s="7"/>
      <c r="P2005" s="6" t="str">
        <f>"900,00"</f>
        <v>900,00</v>
      </c>
      <c r="Q2005" s="7"/>
      <c r="R2005" s="1"/>
      <c r="S2005" s="1" t="str">
        <f>"5-19/NOS-34-H/18"</f>
        <v>5-19/NOS-34-H/18</v>
      </c>
      <c r="T2005" s="2" t="s">
        <v>33</v>
      </c>
    </row>
    <row r="2006" spans="1:20" ht="25.5" x14ac:dyDescent="0.25">
      <c r="A2006" s="1">
        <v>2002</v>
      </c>
      <c r="B2006" s="1" t="str">
        <f t="shared" si="193"/>
        <v>2018-2775</v>
      </c>
      <c r="C2006" s="2" t="s">
        <v>1102</v>
      </c>
      <c r="D2006" s="1" t="s">
        <v>1103</v>
      </c>
      <c r="E2006" s="3" t="str">
        <f>""</f>
        <v/>
      </c>
      <c r="F2006" s="2" t="s">
        <v>27</v>
      </c>
      <c r="G2006" s="2" t="str">
        <f t="shared" si="196"/>
        <v>RO-TERMO D.O.O., LJUDEVITA GAJA 13, 10410 VELIKA GORICA, OIB: 24452310712</v>
      </c>
      <c r="H2006" s="4"/>
      <c r="I2006" s="1" t="s">
        <v>318</v>
      </c>
      <c r="J2006" s="1" t="s">
        <v>251</v>
      </c>
      <c r="K2006" s="6" t="str">
        <f>"3.141,62"</f>
        <v>3.141,62</v>
      </c>
      <c r="L2006" s="6" t="str">
        <f>"785,41"</f>
        <v>785,41</v>
      </c>
      <c r="M2006" s="6" t="str">
        <f>"3.927,03"</f>
        <v>3.927,03</v>
      </c>
      <c r="N2006" s="5">
        <v>43612</v>
      </c>
      <c r="O2006" s="7"/>
      <c r="P2006" s="6" t="str">
        <f>"3.927,02"</f>
        <v>3.927,02</v>
      </c>
      <c r="Q2006" s="7"/>
      <c r="R2006" s="1"/>
      <c r="S2006" s="1" t="str">
        <f>"6-19/NOS-34-H/18"</f>
        <v>6-19/NOS-34-H/18</v>
      </c>
      <c r="T2006" s="2" t="s">
        <v>33</v>
      </c>
    </row>
    <row r="2007" spans="1:20" ht="25.5" x14ac:dyDescent="0.25">
      <c r="A2007" s="1">
        <v>2003</v>
      </c>
      <c r="B2007" s="1" t="str">
        <f t="shared" si="193"/>
        <v>2018-2775</v>
      </c>
      <c r="C2007" s="2" t="s">
        <v>1102</v>
      </c>
      <c r="D2007" s="1" t="s">
        <v>1103</v>
      </c>
      <c r="E2007" s="3" t="str">
        <f>""</f>
        <v/>
      </c>
      <c r="F2007" s="2" t="s">
        <v>27</v>
      </c>
      <c r="G2007" s="2" t="str">
        <f t="shared" si="196"/>
        <v>RO-TERMO D.O.O., LJUDEVITA GAJA 13, 10410 VELIKA GORICA, OIB: 24452310712</v>
      </c>
      <c r="H2007" s="4"/>
      <c r="I2007" s="1" t="s">
        <v>431</v>
      </c>
      <c r="J2007" s="1" t="s">
        <v>251</v>
      </c>
      <c r="K2007" s="6" t="str">
        <f>"2.709,17"</f>
        <v>2.709,17</v>
      </c>
      <c r="L2007" s="6" t="str">
        <f>"677,29"</f>
        <v>677,29</v>
      </c>
      <c r="M2007" s="6" t="str">
        <f>"3.386,46"</f>
        <v>3.386,46</v>
      </c>
      <c r="N2007" s="5">
        <v>43585</v>
      </c>
      <c r="O2007" s="7"/>
      <c r="P2007" s="6" t="str">
        <f>"3.386,46"</f>
        <v>3.386,46</v>
      </c>
      <c r="Q2007" s="7"/>
      <c r="R2007" s="1"/>
      <c r="S2007" s="1" t="str">
        <f>"7-19/NOS-34-H/18"</f>
        <v>7-19/NOS-34-H/18</v>
      </c>
      <c r="T2007" s="2" t="s">
        <v>33</v>
      </c>
    </row>
    <row r="2008" spans="1:20" ht="25.5" x14ac:dyDescent="0.25">
      <c r="A2008" s="1">
        <v>2004</v>
      </c>
      <c r="B2008" s="1" t="str">
        <f t="shared" si="193"/>
        <v>2018-2775</v>
      </c>
      <c r="C2008" s="2" t="s">
        <v>1102</v>
      </c>
      <c r="D2008" s="1" t="s">
        <v>1103</v>
      </c>
      <c r="E2008" s="3" t="str">
        <f>""</f>
        <v/>
      </c>
      <c r="F2008" s="2" t="s">
        <v>27</v>
      </c>
      <c r="G2008" s="2" t="str">
        <f t="shared" si="196"/>
        <v>RO-TERMO D.O.O., LJUDEVITA GAJA 13, 10410 VELIKA GORICA, OIB: 24452310712</v>
      </c>
      <c r="H2008" s="4"/>
      <c r="I2008" s="1" t="s">
        <v>641</v>
      </c>
      <c r="J2008" s="1" t="s">
        <v>251</v>
      </c>
      <c r="K2008" s="6" t="str">
        <f>"400,00"</f>
        <v>400,00</v>
      </c>
      <c r="L2008" s="6" t="str">
        <f>"100,00"</f>
        <v>100,00</v>
      </c>
      <c r="M2008" s="6" t="str">
        <f>"500,00"</f>
        <v>500,00</v>
      </c>
      <c r="N2008" s="5">
        <v>43601</v>
      </c>
      <c r="O2008" s="7"/>
      <c r="P2008" s="6" t="str">
        <f>"500,00"</f>
        <v>500,00</v>
      </c>
      <c r="Q2008" s="7"/>
      <c r="R2008" s="1"/>
      <c r="S2008" s="1" t="str">
        <f>"8-19/NOS-34-H/18"</f>
        <v>8-19/NOS-34-H/18</v>
      </c>
      <c r="T2008" s="2" t="s">
        <v>33</v>
      </c>
    </row>
    <row r="2009" spans="1:20" ht="38.25" x14ac:dyDescent="0.25">
      <c r="A2009" s="1">
        <v>2005</v>
      </c>
      <c r="B2009" s="1" t="str">
        <f>"2018-2926"</f>
        <v>2018-2926</v>
      </c>
      <c r="C2009" s="2" t="s">
        <v>1108</v>
      </c>
      <c r="D2009" s="1" t="s">
        <v>223</v>
      </c>
      <c r="E2009" s="3" t="str">
        <f>"2018/S 0F2-0020827"</f>
        <v>2018/S 0F2-0020827</v>
      </c>
      <c r="F2009" s="2" t="s">
        <v>23</v>
      </c>
      <c r="G2009" s="2" t="str">
        <f>CONCATENATE("KOR D.O.O.,"," KRANJČEVIĆEVA 69,"," 10000 ZAGREB,"," OIB: 5726156876")</f>
        <v>KOR D.O.O., KRANJČEVIĆEVA 69, 10000 ZAGREB, OIB: 5726156876</v>
      </c>
      <c r="H2009" s="4"/>
      <c r="I2009" s="1" t="s">
        <v>1109</v>
      </c>
      <c r="J2009" s="1" t="s">
        <v>1110</v>
      </c>
      <c r="K2009" s="6" t="str">
        <f>"1.500.000,00"</f>
        <v>1.500.000,00</v>
      </c>
      <c r="L2009" s="6" t="str">
        <f>"375.000,00"</f>
        <v>375.000,00</v>
      </c>
      <c r="M2009" s="6" t="str">
        <f>"1.875.000,00"</f>
        <v>1.875.000,00</v>
      </c>
      <c r="N2009" s="7"/>
      <c r="O2009" s="7"/>
      <c r="P2009" s="6" t="str">
        <f>""</f>
        <v/>
      </c>
      <c r="Q2009" s="7"/>
      <c r="R2009" s="1"/>
      <c r="S2009" s="1" t="str">
        <f>"NOS-36/18"</f>
        <v>NOS-36/18</v>
      </c>
      <c r="T2009" s="2" t="s">
        <v>33</v>
      </c>
    </row>
    <row r="2010" spans="1:20" ht="25.5" x14ac:dyDescent="0.25">
      <c r="A2010" s="1">
        <v>2006</v>
      </c>
      <c r="B2010" s="1" t="str">
        <f>"2018-2926"</f>
        <v>2018-2926</v>
      </c>
      <c r="C2010" s="2" t="s">
        <v>1108</v>
      </c>
      <c r="D2010" s="4"/>
      <c r="E2010" s="3" t="str">
        <f>""</f>
        <v/>
      </c>
      <c r="F2010" s="2" t="s">
        <v>27</v>
      </c>
      <c r="G2010" s="2" t="str">
        <f>CONCATENATE("KOR D.O.O.,"," KRANJČEVIĆEVA 69,"," 10000 ZAGREB,"," OIB: 5726156876")</f>
        <v>KOR D.O.O., KRANJČEVIĆEVA 69, 10000 ZAGREB, OIB: 5726156876</v>
      </c>
      <c r="H2010" s="4"/>
      <c r="I2010" s="1" t="s">
        <v>441</v>
      </c>
      <c r="J2010" s="1" t="s">
        <v>587</v>
      </c>
      <c r="K2010" s="6" t="str">
        <f>"419.327,00"</f>
        <v>419.327,00</v>
      </c>
      <c r="L2010" s="6" t="str">
        <f>"104.831,75"</f>
        <v>104.831,75</v>
      </c>
      <c r="M2010" s="6" t="str">
        <f>"524.158,75"</f>
        <v>524.158,75</v>
      </c>
      <c r="N2010" s="5">
        <v>43685</v>
      </c>
      <c r="O2010" s="7"/>
      <c r="P2010" s="6" t="str">
        <f>"385.405,00"</f>
        <v>385.405,00</v>
      </c>
      <c r="Q2010" s="7"/>
      <c r="R2010" s="1"/>
      <c r="S2010" s="1" t="str">
        <f>"2-18/NOS-36/18"</f>
        <v>2-18/NOS-36/18</v>
      </c>
      <c r="T2010" s="2" t="s">
        <v>33</v>
      </c>
    </row>
    <row r="2011" spans="1:20" ht="38.25" x14ac:dyDescent="0.25">
      <c r="A2011" s="1">
        <v>2007</v>
      </c>
      <c r="B2011" s="1" t="str">
        <f t="shared" ref="B2011:B2018" si="197">"2018-2816"</f>
        <v>2018-2816</v>
      </c>
      <c r="C2011" s="2" t="s">
        <v>89</v>
      </c>
      <c r="D2011" s="1" t="s">
        <v>90</v>
      </c>
      <c r="E2011" s="3" t="str">
        <f>"2018/S 0F2-0019875"</f>
        <v>2018/S 0F2-0019875</v>
      </c>
      <c r="F2011" s="2" t="s">
        <v>23</v>
      </c>
      <c r="G2011" s="2" t="str">
        <f t="shared" ref="G2011:G2018" si="198">CONCATENATE("AUTO HRVATSKA PRODAJNO SERVISNI CENTRI D.O.O.,"," ZASTAVNICE 25/C,"," 10251 HRVATSKI LESKOVAC,"," OIB: 87682591133")</f>
        <v>AUTO HRVATSKA PRODAJNO SERVISNI CENTRI D.O.O., ZASTAVNICE 25/C, 10251 HRVATSKI LESKOVAC, OIB: 87682591133</v>
      </c>
      <c r="H2011" s="4"/>
      <c r="I2011" s="1" t="s">
        <v>1111</v>
      </c>
      <c r="J2011" s="1" t="s">
        <v>1112</v>
      </c>
      <c r="K2011" s="6" t="str">
        <f>"3.000.000,00"</f>
        <v>3.000.000,00</v>
      </c>
      <c r="L2011" s="6" t="str">
        <f>"750.000,00"</f>
        <v>750.000,00</v>
      </c>
      <c r="M2011" s="6" t="str">
        <f>"3.750.000,00"</f>
        <v>3.750.000,00</v>
      </c>
      <c r="N2011" s="7"/>
      <c r="O2011" s="7"/>
      <c r="P2011" s="6" t="str">
        <f>""</f>
        <v/>
      </c>
      <c r="Q2011" s="7"/>
      <c r="R2011" s="1"/>
      <c r="S2011" s="1" t="str">
        <f>"NOS-37/18"</f>
        <v>NOS-37/18</v>
      </c>
      <c r="T2011" s="2" t="s">
        <v>33</v>
      </c>
    </row>
    <row r="2012" spans="1:20" ht="38.25" x14ac:dyDescent="0.25">
      <c r="A2012" s="1">
        <v>2008</v>
      </c>
      <c r="B2012" s="1" t="str">
        <f t="shared" si="197"/>
        <v>2018-2816</v>
      </c>
      <c r="C2012" s="2" t="s">
        <v>89</v>
      </c>
      <c r="D2012" s="4"/>
      <c r="E2012" s="3" t="str">
        <f>""</f>
        <v/>
      </c>
      <c r="F2012" s="2" t="s">
        <v>27</v>
      </c>
      <c r="G2012" s="2" t="str">
        <f t="shared" si="198"/>
        <v>AUTO HRVATSKA PRODAJNO SERVISNI CENTRI D.O.O., ZASTAVNICE 25/C, 10251 HRVATSKI LESKOVAC, OIB: 87682591133</v>
      </c>
      <c r="H2012" s="4"/>
      <c r="I2012" s="1" t="s">
        <v>1113</v>
      </c>
      <c r="J2012" s="1" t="s">
        <v>74</v>
      </c>
      <c r="K2012" s="6" t="str">
        <f>"425.017,30"</f>
        <v>425.017,30</v>
      </c>
      <c r="L2012" s="6" t="str">
        <f>"106.254,33"</f>
        <v>106.254,33</v>
      </c>
      <c r="M2012" s="6" t="str">
        <f>"531.271,63"</f>
        <v>531.271,63</v>
      </c>
      <c r="N2012" s="5">
        <v>43598</v>
      </c>
      <c r="O2012" s="7"/>
      <c r="P2012" s="6" t="str">
        <f>"531.271,62"</f>
        <v>531.271,62</v>
      </c>
      <c r="Q2012" s="7"/>
      <c r="R2012" s="1"/>
      <c r="S2012" s="1" t="str">
        <f>"1-18/NOS-37/18"</f>
        <v>1-18/NOS-37/18</v>
      </c>
      <c r="T2012" s="2" t="s">
        <v>33</v>
      </c>
    </row>
    <row r="2013" spans="1:20" ht="38.25" x14ac:dyDescent="0.25">
      <c r="A2013" s="1">
        <v>2009</v>
      </c>
      <c r="B2013" s="1" t="str">
        <f t="shared" si="197"/>
        <v>2018-2816</v>
      </c>
      <c r="C2013" s="2" t="s">
        <v>89</v>
      </c>
      <c r="D2013" s="1" t="s">
        <v>90</v>
      </c>
      <c r="E2013" s="3" t="str">
        <f>""</f>
        <v/>
      </c>
      <c r="F2013" s="2" t="s">
        <v>27</v>
      </c>
      <c r="G2013" s="2" t="str">
        <f t="shared" si="198"/>
        <v>AUTO HRVATSKA PRODAJNO SERVISNI CENTRI D.O.O., ZASTAVNICE 25/C, 10251 HRVATSKI LESKOVAC, OIB: 87682591133</v>
      </c>
      <c r="H2013" s="4"/>
      <c r="I2013" s="1" t="s">
        <v>499</v>
      </c>
      <c r="J2013" s="1" t="s">
        <v>121</v>
      </c>
      <c r="K2013" s="6" t="str">
        <f>"18.447,71"</f>
        <v>18.447,71</v>
      </c>
      <c r="L2013" s="6" t="str">
        <f>"4.611,93"</f>
        <v>4.611,93</v>
      </c>
      <c r="M2013" s="6" t="str">
        <f>"23.059,64"</f>
        <v>23.059,64</v>
      </c>
      <c r="N2013" s="5">
        <v>43613</v>
      </c>
      <c r="O2013" s="7"/>
      <c r="P2013" s="6" t="str">
        <f>"23.059,64"</f>
        <v>23.059,64</v>
      </c>
      <c r="Q2013" s="7"/>
      <c r="R2013" s="1"/>
      <c r="S2013" s="1" t="str">
        <f>"2-19/NOS-37/18"</f>
        <v>2-19/NOS-37/18</v>
      </c>
      <c r="T2013" s="2" t="s">
        <v>33</v>
      </c>
    </row>
    <row r="2014" spans="1:20" ht="38.25" x14ac:dyDescent="0.25">
      <c r="A2014" s="1">
        <v>2010</v>
      </c>
      <c r="B2014" s="1" t="str">
        <f t="shared" si="197"/>
        <v>2018-2816</v>
      </c>
      <c r="C2014" s="2" t="s">
        <v>89</v>
      </c>
      <c r="D2014" s="1" t="s">
        <v>90</v>
      </c>
      <c r="E2014" s="3" t="str">
        <f>""</f>
        <v/>
      </c>
      <c r="F2014" s="2" t="s">
        <v>27</v>
      </c>
      <c r="G2014" s="2" t="str">
        <f t="shared" si="198"/>
        <v>AUTO HRVATSKA PRODAJNO SERVISNI CENTRI D.O.O., ZASTAVNICE 25/C, 10251 HRVATSKI LESKOVAC, OIB: 87682591133</v>
      </c>
      <c r="H2014" s="4"/>
      <c r="I2014" s="1" t="s">
        <v>642</v>
      </c>
      <c r="J2014" s="1" t="s">
        <v>121</v>
      </c>
      <c r="K2014" s="6" t="str">
        <f>"8.056,52"</f>
        <v>8.056,52</v>
      </c>
      <c r="L2014" s="6" t="str">
        <f>"2.014,13"</f>
        <v>2.014,13</v>
      </c>
      <c r="M2014" s="6" t="str">
        <f>"10.070,65"</f>
        <v>10.070,65</v>
      </c>
      <c r="N2014" s="5">
        <v>43615</v>
      </c>
      <c r="O2014" s="7"/>
      <c r="P2014" s="6" t="str">
        <f>"10.070,65"</f>
        <v>10.070,65</v>
      </c>
      <c r="Q2014" s="7"/>
      <c r="R2014" s="1"/>
      <c r="S2014" s="1" t="str">
        <f>"4-19/NOS-37/18"</f>
        <v>4-19/NOS-37/18</v>
      </c>
      <c r="T2014" s="2" t="s">
        <v>33</v>
      </c>
    </row>
    <row r="2015" spans="1:20" ht="38.25" x14ac:dyDescent="0.25">
      <c r="A2015" s="1">
        <v>2011</v>
      </c>
      <c r="B2015" s="1" t="str">
        <f t="shared" si="197"/>
        <v>2018-2816</v>
      </c>
      <c r="C2015" s="2" t="s">
        <v>89</v>
      </c>
      <c r="D2015" s="1" t="s">
        <v>90</v>
      </c>
      <c r="E2015" s="3" t="str">
        <f>""</f>
        <v/>
      </c>
      <c r="F2015" s="2" t="s">
        <v>27</v>
      </c>
      <c r="G2015" s="2" t="str">
        <f t="shared" si="198"/>
        <v>AUTO HRVATSKA PRODAJNO SERVISNI CENTRI D.O.O., ZASTAVNICE 25/C, 10251 HRVATSKI LESKOVAC, OIB: 87682591133</v>
      </c>
      <c r="H2015" s="4"/>
      <c r="I2015" s="1" t="s">
        <v>73</v>
      </c>
      <c r="J2015" s="1" t="s">
        <v>121</v>
      </c>
      <c r="K2015" s="6" t="str">
        <f>"37.996,72"</f>
        <v>37.996,72</v>
      </c>
      <c r="L2015" s="6" t="str">
        <f>"9.499,18"</f>
        <v>9.499,18</v>
      </c>
      <c r="M2015" s="6" t="str">
        <f>"47.495,90"</f>
        <v>47.495,90</v>
      </c>
      <c r="N2015" s="5">
        <v>43615</v>
      </c>
      <c r="O2015" s="7"/>
      <c r="P2015" s="6" t="str">
        <f>"47.495,90"</f>
        <v>47.495,90</v>
      </c>
      <c r="Q2015" s="7"/>
      <c r="R2015" s="1"/>
      <c r="S2015" s="1" t="str">
        <f>"5-19/NOS-37/18"</f>
        <v>5-19/NOS-37/18</v>
      </c>
      <c r="T2015" s="2" t="s">
        <v>33</v>
      </c>
    </row>
    <row r="2016" spans="1:20" ht="38.25" x14ac:dyDescent="0.25">
      <c r="A2016" s="1">
        <v>2012</v>
      </c>
      <c r="B2016" s="1" t="str">
        <f t="shared" si="197"/>
        <v>2018-2816</v>
      </c>
      <c r="C2016" s="2" t="s">
        <v>89</v>
      </c>
      <c r="D2016" s="1" t="s">
        <v>90</v>
      </c>
      <c r="E2016" s="3" t="str">
        <f>""</f>
        <v/>
      </c>
      <c r="F2016" s="2" t="s">
        <v>27</v>
      </c>
      <c r="G2016" s="2" t="str">
        <f t="shared" si="198"/>
        <v>AUTO HRVATSKA PRODAJNO SERVISNI CENTRI D.O.O., ZASTAVNICE 25/C, 10251 HRVATSKI LESKOVAC, OIB: 87682591133</v>
      </c>
      <c r="H2016" s="4"/>
      <c r="I2016" s="1" t="s">
        <v>74</v>
      </c>
      <c r="J2016" s="1" t="s">
        <v>303</v>
      </c>
      <c r="K2016" s="6" t="str">
        <f>"3.178,00"</f>
        <v>3.178,00</v>
      </c>
      <c r="L2016" s="6" t="str">
        <f>"794,50"</f>
        <v>794,50</v>
      </c>
      <c r="M2016" s="6" t="str">
        <f>"3.972,50"</f>
        <v>3.972,50</v>
      </c>
      <c r="N2016" s="5">
        <v>43619</v>
      </c>
      <c r="O2016" s="7"/>
      <c r="P2016" s="6" t="str">
        <f>"3.972,50"</f>
        <v>3.972,50</v>
      </c>
      <c r="Q2016" s="7"/>
      <c r="R2016" s="1"/>
      <c r="S2016" s="1" t="str">
        <f>"6-19/NOS-37/18"</f>
        <v>6-19/NOS-37/18</v>
      </c>
      <c r="T2016" s="2" t="s">
        <v>33</v>
      </c>
    </row>
    <row r="2017" spans="1:20" ht="38.25" x14ac:dyDescent="0.25">
      <c r="A2017" s="1">
        <v>2013</v>
      </c>
      <c r="B2017" s="1" t="str">
        <f t="shared" si="197"/>
        <v>2018-2816</v>
      </c>
      <c r="C2017" s="2" t="s">
        <v>89</v>
      </c>
      <c r="D2017" s="1" t="s">
        <v>90</v>
      </c>
      <c r="E2017" s="3" t="str">
        <f>""</f>
        <v/>
      </c>
      <c r="F2017" s="2" t="s">
        <v>27</v>
      </c>
      <c r="G2017" s="2" t="str">
        <f t="shared" si="198"/>
        <v>AUTO HRVATSKA PRODAJNO SERVISNI CENTRI D.O.O., ZASTAVNICE 25/C, 10251 HRVATSKI LESKOVAC, OIB: 87682591133</v>
      </c>
      <c r="H2017" s="4"/>
      <c r="I2017" s="1" t="s">
        <v>402</v>
      </c>
      <c r="J2017" s="1" t="s">
        <v>121</v>
      </c>
      <c r="K2017" s="6" t="str">
        <f>"27.368,56"</f>
        <v>27.368,56</v>
      </c>
      <c r="L2017" s="6" t="str">
        <f>"6.842,14"</f>
        <v>6.842,14</v>
      </c>
      <c r="M2017" s="6" t="str">
        <f>"34.210,70"</f>
        <v>34.210,70</v>
      </c>
      <c r="N2017" s="5">
        <v>43622</v>
      </c>
      <c r="O2017" s="7"/>
      <c r="P2017" s="6" t="str">
        <f>"34.210,70"</f>
        <v>34.210,70</v>
      </c>
      <c r="Q2017" s="7"/>
      <c r="R2017" s="1"/>
      <c r="S2017" s="1" t="str">
        <f>"7-19/NOS-37/18"</f>
        <v>7-19/NOS-37/18</v>
      </c>
      <c r="T2017" s="2" t="s">
        <v>33</v>
      </c>
    </row>
    <row r="2018" spans="1:20" ht="38.25" x14ac:dyDescent="0.25">
      <c r="A2018" s="1">
        <v>2014</v>
      </c>
      <c r="B2018" s="1" t="str">
        <f t="shared" si="197"/>
        <v>2018-2816</v>
      </c>
      <c r="C2018" s="2" t="s">
        <v>89</v>
      </c>
      <c r="D2018" s="1" t="s">
        <v>90</v>
      </c>
      <c r="E2018" s="3" t="str">
        <f>""</f>
        <v/>
      </c>
      <c r="F2018" s="2" t="s">
        <v>27</v>
      </c>
      <c r="G2018" s="2" t="str">
        <f t="shared" si="198"/>
        <v>AUTO HRVATSKA PRODAJNO SERVISNI CENTRI D.O.O., ZASTAVNICE 25/C, 10251 HRVATSKI LESKOVAC, OIB: 87682591133</v>
      </c>
      <c r="H2018" s="4"/>
      <c r="I2018" s="1" t="s">
        <v>930</v>
      </c>
      <c r="J2018" s="1" t="s">
        <v>457</v>
      </c>
      <c r="K2018" s="6" t="str">
        <f>"96.500,51"</f>
        <v>96.500,51</v>
      </c>
      <c r="L2018" s="6" t="str">
        <f>"24.125,13"</f>
        <v>24.125,13</v>
      </c>
      <c r="M2018" s="6" t="str">
        <f>"120.625,64"</f>
        <v>120.625,64</v>
      </c>
      <c r="N2018" s="5">
        <v>43642</v>
      </c>
      <c r="O2018" s="7"/>
      <c r="P2018" s="6" t="str">
        <f>"120.625,64"</f>
        <v>120.625,64</v>
      </c>
      <c r="Q2018" s="7"/>
      <c r="R2018" s="1"/>
      <c r="S2018" s="1" t="str">
        <f>"9-19/NOS-37/18"</f>
        <v>9-19/NOS-37/18</v>
      </c>
      <c r="T2018" s="2" t="s">
        <v>33</v>
      </c>
    </row>
    <row r="2019" spans="1:20" ht="38.25" x14ac:dyDescent="0.25">
      <c r="A2019" s="1">
        <v>2015</v>
      </c>
      <c r="B2019" s="1" t="str">
        <f>"2018-3021"</f>
        <v>2018-3021</v>
      </c>
      <c r="C2019" s="2" t="s">
        <v>234</v>
      </c>
      <c r="D2019" s="1" t="s">
        <v>235</v>
      </c>
      <c r="E2019" s="3" t="str">
        <f>"2018/S 0F2-0021808"</f>
        <v>2018/S 0F2-0021808</v>
      </c>
      <c r="F2019" s="2" t="s">
        <v>23</v>
      </c>
      <c r="G2019" s="2" t="str">
        <f>CONCATENATE("GUMIIMPEX - GRP D.O.O.,"," PAVLEKA MIŠKINE 64C,"," 42000 VARAŽDIN,"," OIB: 8229856262")</f>
        <v>GUMIIMPEX - GRP D.O.O., PAVLEKA MIŠKINE 64C, 42000 VARAŽDIN, OIB: 8229856262</v>
      </c>
      <c r="H2019" s="4"/>
      <c r="I2019" s="1" t="s">
        <v>1111</v>
      </c>
      <c r="J2019" s="1" t="s">
        <v>1112</v>
      </c>
      <c r="K2019" s="6" t="str">
        <f>"7.500.000,00"</f>
        <v>7.500.000,00</v>
      </c>
      <c r="L2019" s="6" t="str">
        <f>"1.875.000,00"</f>
        <v>1.875.000,00</v>
      </c>
      <c r="M2019" s="6" t="str">
        <f>"9.375.000,00"</f>
        <v>9.375.000,00</v>
      </c>
      <c r="N2019" s="7"/>
      <c r="O2019" s="7"/>
      <c r="P2019" s="6" t="str">
        <f>""</f>
        <v/>
      </c>
      <c r="Q2019" s="7"/>
      <c r="R2019" s="1"/>
      <c r="S2019" s="1" t="str">
        <f>"NOS-38/18"</f>
        <v>NOS-38/18</v>
      </c>
      <c r="T2019" s="2" t="s">
        <v>33</v>
      </c>
    </row>
    <row r="2020" spans="1:20" ht="25.5" x14ac:dyDescent="0.25">
      <c r="A2020" s="1">
        <v>2016</v>
      </c>
      <c r="B2020" s="1" t="str">
        <f>"2018-3021"</f>
        <v>2018-3021</v>
      </c>
      <c r="C2020" s="2" t="s">
        <v>234</v>
      </c>
      <c r="D2020" s="1" t="s">
        <v>235</v>
      </c>
      <c r="E2020" s="3" t="str">
        <f>""</f>
        <v/>
      </c>
      <c r="F2020" s="2" t="s">
        <v>27</v>
      </c>
      <c r="G2020" s="2" t="str">
        <f>CONCATENATE("GUMIIMPEX - GRP D.O.O.,"," PAVLEKA MIŠKINE 64C,"," 42000 VARAŽDIN,"," OIB: 8229856262")</f>
        <v>GUMIIMPEX - GRP D.O.O., PAVLEKA MIŠKINE 64C, 42000 VARAŽDIN, OIB: 8229856262</v>
      </c>
      <c r="H2020" s="4"/>
      <c r="I2020" s="1" t="s">
        <v>248</v>
      </c>
      <c r="J2020" s="1" t="s">
        <v>121</v>
      </c>
      <c r="K2020" s="6" t="str">
        <f>"658.627,00"</f>
        <v>658.627,00</v>
      </c>
      <c r="L2020" s="6" t="str">
        <f>"169.129,75"</f>
        <v>169.129,75</v>
      </c>
      <c r="M2020" s="6" t="str">
        <f>"845.648,75"</f>
        <v>845.648,75</v>
      </c>
      <c r="N2020" s="5">
        <v>43573</v>
      </c>
      <c r="O2020" s="7"/>
      <c r="P2020" s="6" t="str">
        <f>"845.648,75"</f>
        <v>845.648,75</v>
      </c>
      <c r="Q2020" s="7"/>
      <c r="R2020" s="1"/>
      <c r="S2020" s="1" t="str">
        <f>"1-19/NOS-38/18"</f>
        <v>1-19/NOS-38/18</v>
      </c>
      <c r="T2020" s="2" t="s">
        <v>33</v>
      </c>
    </row>
    <row r="2021" spans="1:20" ht="25.5" x14ac:dyDescent="0.25">
      <c r="A2021" s="1">
        <v>2017</v>
      </c>
      <c r="B2021" s="1" t="str">
        <f>"2018-3021"</f>
        <v>2018-3021</v>
      </c>
      <c r="C2021" s="2" t="s">
        <v>234</v>
      </c>
      <c r="D2021" s="1" t="s">
        <v>235</v>
      </c>
      <c r="E2021" s="3" t="str">
        <f>""</f>
        <v/>
      </c>
      <c r="F2021" s="2" t="s">
        <v>27</v>
      </c>
      <c r="G2021" s="2" t="str">
        <f>CONCATENATE("GUMIIMPEX - GRP D.O.O.,"," PAVLEKA MIŠKINE 64C,"," 42000 VARAŽDIN,"," OIB: 8229856262")</f>
        <v>GUMIIMPEX - GRP D.O.O., PAVLEKA MIŠKINE 64C, 42000 VARAŽDIN, OIB: 8229856262</v>
      </c>
      <c r="H2021" s="4"/>
      <c r="I2021" s="1" t="s">
        <v>195</v>
      </c>
      <c r="J2021" s="1" t="s">
        <v>121</v>
      </c>
      <c r="K2021" s="6" t="str">
        <f>"190.260,00"</f>
        <v>190.260,00</v>
      </c>
      <c r="L2021" s="6" t="str">
        <f>"23.520,00"</f>
        <v>23.520,00</v>
      </c>
      <c r="M2021" s="6" t="str">
        <f>"117.600,00"</f>
        <v>117.600,00</v>
      </c>
      <c r="N2021" s="5">
        <v>43532</v>
      </c>
      <c r="O2021" s="7"/>
      <c r="P2021" s="6" t="str">
        <f>"117.600,00"</f>
        <v>117.600,00</v>
      </c>
      <c r="Q2021" s="7"/>
      <c r="R2021" s="1"/>
      <c r="S2021" s="1" t="str">
        <f>"2-19/NOS-38/18"</f>
        <v>2-19/NOS-38/18</v>
      </c>
      <c r="T2021" s="2" t="s">
        <v>33</v>
      </c>
    </row>
    <row r="2022" spans="1:20" ht="25.5" x14ac:dyDescent="0.25">
      <c r="A2022" s="1">
        <v>2018</v>
      </c>
      <c r="B2022" s="1" t="str">
        <f>"2018-3021"</f>
        <v>2018-3021</v>
      </c>
      <c r="C2022" s="2" t="s">
        <v>234</v>
      </c>
      <c r="D2022" s="1" t="s">
        <v>235</v>
      </c>
      <c r="E2022" s="3" t="str">
        <f>""</f>
        <v/>
      </c>
      <c r="F2022" s="2" t="s">
        <v>27</v>
      </c>
      <c r="G2022" s="2" t="str">
        <f>CONCATENATE("GUMIIMPEX - GRP D.O.O.,"," PAVLEKA MIŠKINE 64C,"," 42000 VARAŽDIN,"," OIB: 8229856262")</f>
        <v>GUMIIMPEX - GRP D.O.O., PAVLEKA MIŠKINE 64C, 42000 VARAŽDIN, OIB: 8229856262</v>
      </c>
      <c r="H2022" s="4"/>
      <c r="I2022" s="1" t="s">
        <v>351</v>
      </c>
      <c r="J2022" s="1" t="s">
        <v>121</v>
      </c>
      <c r="K2022" s="6" t="str">
        <f>"24.045,00"</f>
        <v>24.045,00</v>
      </c>
      <c r="L2022" s="6" t="str">
        <f>"6.011,25"</f>
        <v>6.011,25</v>
      </c>
      <c r="M2022" s="6" t="str">
        <f>"30.056,25"</f>
        <v>30.056,25</v>
      </c>
      <c r="N2022" s="5">
        <v>43535</v>
      </c>
      <c r="O2022" s="7"/>
      <c r="P2022" s="6" t="str">
        <f>"30.056,25"</f>
        <v>30.056,25</v>
      </c>
      <c r="Q2022" s="7"/>
      <c r="R2022" s="1"/>
      <c r="S2022" s="1" t="str">
        <f>"3-19/NOS-38/18"</f>
        <v>3-19/NOS-38/18</v>
      </c>
      <c r="T2022" s="2" t="s">
        <v>33</v>
      </c>
    </row>
    <row r="2023" spans="1:20" ht="25.5" x14ac:dyDescent="0.25">
      <c r="A2023" s="1">
        <v>2019</v>
      </c>
      <c r="B2023" s="1" t="str">
        <f>"2018-3021"</f>
        <v>2018-3021</v>
      </c>
      <c r="C2023" s="2" t="s">
        <v>234</v>
      </c>
      <c r="D2023" s="1" t="s">
        <v>235</v>
      </c>
      <c r="E2023" s="3" t="str">
        <f>""</f>
        <v/>
      </c>
      <c r="F2023" s="2" t="s">
        <v>27</v>
      </c>
      <c r="G2023" s="2" t="str">
        <f>CONCATENATE("GUMIIMPEX - GRP D.O.O.,"," PAVLEKA MIŠKINE 64C,"," 42000 VARAŽDIN,"," OIB: 8229856262")</f>
        <v>GUMIIMPEX - GRP D.O.O., PAVLEKA MIŠKINE 64C, 42000 VARAŽDIN, OIB: 8229856262</v>
      </c>
      <c r="H2023" s="4"/>
      <c r="I2023" s="1" t="s">
        <v>334</v>
      </c>
      <c r="J2023" s="1" t="s">
        <v>121</v>
      </c>
      <c r="K2023" s="6" t="str">
        <f>"1.964.515,00"</f>
        <v>1.964.515,00</v>
      </c>
      <c r="L2023" s="6" t="str">
        <f>"479.088,75"</f>
        <v>479.088,75</v>
      </c>
      <c r="M2023" s="6" t="str">
        <f>"2.395.443,75"</f>
        <v>2.395.443,75</v>
      </c>
      <c r="N2023" s="5">
        <v>43705</v>
      </c>
      <c r="O2023" s="7"/>
      <c r="P2023" s="6" t="str">
        <f>"2.395.443,75"</f>
        <v>2.395.443,75</v>
      </c>
      <c r="Q2023" s="7"/>
      <c r="R2023" s="1"/>
      <c r="S2023" s="1" t="str">
        <f>"4-19/NOS-38/18"</f>
        <v>4-19/NOS-38/18</v>
      </c>
      <c r="T2023" s="2" t="s">
        <v>33</v>
      </c>
    </row>
    <row r="2024" spans="1:20" ht="409.5" x14ac:dyDescent="0.25">
      <c r="A2024" s="1">
        <v>2020</v>
      </c>
      <c r="B2024" s="1" t="str">
        <f t="shared" ref="B2024:B2054" si="199">"2018-2772"</f>
        <v>2018-2772</v>
      </c>
      <c r="C2024" s="2" t="s">
        <v>1114</v>
      </c>
      <c r="D2024" s="1" t="s">
        <v>1115</v>
      </c>
      <c r="E2024" s="3" t="str">
        <f>"2018/S 0F2-0016776"</f>
        <v>2018/S 0F2-0016776</v>
      </c>
      <c r="F2024" s="2" t="s">
        <v>23</v>
      </c>
      <c r="G2024" s="2" t="str">
        <f>CONCATENATE("PALIĆ INŽENJERING D.O.O.,"," MEDOVIĆEVA 7,"," 10000 ZAGREB,"," OIB: 99750077832")</f>
        <v>PALIĆ INŽENJERING D.O.O., MEDOVIĆEVA 7, 10000 ZAGREB, OIB: 99750077832</v>
      </c>
      <c r="H2024"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24" s="1" t="s">
        <v>1111</v>
      </c>
      <c r="J2024" s="1" t="s">
        <v>1116</v>
      </c>
      <c r="K2024" s="6" t="str">
        <f>"12.500.000,00"</f>
        <v>12.500.000,00</v>
      </c>
      <c r="L2024" s="6" t="str">
        <f>"3.125.000,00"</f>
        <v>3.125.000,00</v>
      </c>
      <c r="M2024" s="6" t="str">
        <f>"15.625.000,00"</f>
        <v>15.625.000,00</v>
      </c>
      <c r="N2024" s="7"/>
      <c r="O2024" s="7"/>
      <c r="P2024" s="6" t="str">
        <f>""</f>
        <v/>
      </c>
      <c r="Q2024" s="7"/>
      <c r="R2024" s="1"/>
      <c r="S2024" s="1" t="str">
        <f>"NOS-39-A/18"</f>
        <v>NOS-39-A/18</v>
      </c>
      <c r="T2024" s="2" t="s">
        <v>33</v>
      </c>
    </row>
    <row r="2025" spans="1:20" ht="25.5" x14ac:dyDescent="0.25">
      <c r="A2025" s="1">
        <v>2021</v>
      </c>
      <c r="B2025" s="1" t="str">
        <f t="shared" si="199"/>
        <v>2018-2772</v>
      </c>
      <c r="C2025" s="2" t="s">
        <v>1114</v>
      </c>
      <c r="D2025" s="4"/>
      <c r="E2025" s="3" t="str">
        <f>""</f>
        <v/>
      </c>
      <c r="F2025" s="2" t="s">
        <v>27</v>
      </c>
      <c r="G2025" s="2" t="str">
        <f>CONCATENATE("PALIĆ INŽENJERING D.O.O.,"," MEDOVIĆEVA 7,"," 10000 ZAGREB,"," OIB: 99750077832")</f>
        <v>PALIĆ INŽENJERING D.O.O., MEDOVIĆEVA 7, 10000 ZAGREB, OIB: 99750077832</v>
      </c>
      <c r="H2025" s="4"/>
      <c r="I2025" s="1" t="s">
        <v>1117</v>
      </c>
      <c r="J2025" s="1" t="s">
        <v>344</v>
      </c>
      <c r="K2025" s="6" t="str">
        <f>"2.106.965,00"</f>
        <v>2.106.965,00</v>
      </c>
      <c r="L2025" s="6" t="str">
        <f>"526.741,25"</f>
        <v>526.741,25</v>
      </c>
      <c r="M2025" s="6" t="str">
        <f>"2.633.706,25"</f>
        <v>2.633.706,25</v>
      </c>
      <c r="N2025" s="5">
        <v>43571</v>
      </c>
      <c r="O2025" s="7"/>
      <c r="P2025" s="6" t="str">
        <f>"2.166.839,94"</f>
        <v>2.166.839,94</v>
      </c>
      <c r="Q2025" s="7"/>
      <c r="R2025" s="1"/>
      <c r="S2025" s="1" t="str">
        <f>"1-18/NOS-39-A/18"</f>
        <v>1-18/NOS-39-A/18</v>
      </c>
      <c r="T2025" s="2" t="s">
        <v>33</v>
      </c>
    </row>
    <row r="2026" spans="1:20" ht="409.5" x14ac:dyDescent="0.25">
      <c r="A2026" s="1">
        <v>2022</v>
      </c>
      <c r="B2026" s="1" t="str">
        <f t="shared" si="199"/>
        <v>2018-2772</v>
      </c>
      <c r="C2026" s="2" t="s">
        <v>1114</v>
      </c>
      <c r="D2026" s="1" t="s">
        <v>1115</v>
      </c>
      <c r="E2026" s="3" t="str">
        <f>"2018/S 0F2-0016776"</f>
        <v>2018/S 0F2-0016776</v>
      </c>
      <c r="F2026" s="2" t="s">
        <v>23</v>
      </c>
      <c r="G2026" s="2" t="str">
        <f>CONCATENATE("PRIGORAC-GRAĐENJE d.o.o.,"," JELKOVEČKA 4,"," 10360 SESVETE,"," OIB: 53456405017")</f>
        <v>PRIGORAC-GRAĐENJE d.o.o., JELKOVEČKA 4, 10360 SESVETE, OIB: 53456405017</v>
      </c>
      <c r="H2026"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26" s="1" t="s">
        <v>1111</v>
      </c>
      <c r="J2026" s="1" t="s">
        <v>1116</v>
      </c>
      <c r="K2026" s="6" t="str">
        <f>"9.500.000,00"</f>
        <v>9.500.000,00</v>
      </c>
      <c r="L2026" s="6" t="str">
        <f>"2.375.000,00"</f>
        <v>2.375.000,00</v>
      </c>
      <c r="M2026" s="6" t="str">
        <f>"11.875.000,00"</f>
        <v>11.875.000,00</v>
      </c>
      <c r="N2026" s="7"/>
      <c r="O2026" s="7"/>
      <c r="P2026" s="6" t="str">
        <f>""</f>
        <v/>
      </c>
      <c r="Q2026" s="7"/>
      <c r="R2026" s="1"/>
      <c r="S2026" s="1" t="str">
        <f>"NOS-39-B/18"</f>
        <v>NOS-39-B/18</v>
      </c>
      <c r="T2026" s="2" t="s">
        <v>33</v>
      </c>
    </row>
    <row r="2027" spans="1:20" ht="25.5" x14ac:dyDescent="0.25">
      <c r="A2027" s="1">
        <v>2023</v>
      </c>
      <c r="B2027" s="1" t="str">
        <f t="shared" si="199"/>
        <v>2018-2772</v>
      </c>
      <c r="C2027" s="2" t="s">
        <v>1114</v>
      </c>
      <c r="D2027" s="4"/>
      <c r="E2027" s="3" t="str">
        <f>""</f>
        <v/>
      </c>
      <c r="F2027" s="2" t="s">
        <v>27</v>
      </c>
      <c r="G2027" s="2" t="str">
        <f>CONCATENATE("PRIGORAC-GRAĐENJE d.o.o.,"," JELKOVEČKA 4,"," 10360 SESVETE,"," OIB: 53456405017")</f>
        <v>PRIGORAC-GRAĐENJE d.o.o., JELKOVEČKA 4, 10360 SESVETE, OIB: 53456405017</v>
      </c>
      <c r="H2027" s="4"/>
      <c r="I2027" s="1" t="s">
        <v>1117</v>
      </c>
      <c r="J2027" s="1" t="s">
        <v>344</v>
      </c>
      <c r="K2027" s="6" t="str">
        <f>"1.229.883,60"</f>
        <v>1.229.883,60</v>
      </c>
      <c r="L2027" s="6" t="str">
        <f>"307.470,90"</f>
        <v>307.470,90</v>
      </c>
      <c r="M2027" s="6" t="str">
        <f>"1.537.354,50"</f>
        <v>1.537.354,50</v>
      </c>
      <c r="N2027" s="5">
        <v>43579</v>
      </c>
      <c r="O2027" s="7"/>
      <c r="P2027" s="6" t="str">
        <f>"1.216.160,60"</f>
        <v>1.216.160,60</v>
      </c>
      <c r="Q2027" s="7"/>
      <c r="R2027" s="1"/>
      <c r="S2027" s="1" t="str">
        <f>"1-18/NOS-39-B/18"</f>
        <v>1-18/NOS-39-B/18</v>
      </c>
      <c r="T2027" s="2" t="s">
        <v>33</v>
      </c>
    </row>
    <row r="2028" spans="1:20" ht="409.5" x14ac:dyDescent="0.25">
      <c r="A2028" s="1">
        <v>2024</v>
      </c>
      <c r="B2028" s="1" t="str">
        <f t="shared" si="199"/>
        <v>2018-2772</v>
      </c>
      <c r="C2028" s="2" t="s">
        <v>1114</v>
      </c>
      <c r="D2028" s="1" t="s">
        <v>1115</v>
      </c>
      <c r="E2028" s="3" t="str">
        <f>"2018/S 0F2-0016776"</f>
        <v>2018/S 0F2-0016776</v>
      </c>
      <c r="F2028" s="2" t="s">
        <v>23</v>
      </c>
      <c r="G2028" s="2" t="str">
        <f>CONCATENATE("GRADITELJ SVRATIŠTA D.O.O.,"," IVANA ČESMIČKOG 16,"," 10000 ZAGREB,"," OIB: 5204465757")</f>
        <v>GRADITELJ SVRATIŠTA D.O.O., IVANA ČESMIČKOG 16, 10000 ZAGREB, OIB: 5204465757</v>
      </c>
      <c r="H2028"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28" s="1" t="s">
        <v>1111</v>
      </c>
      <c r="J2028" s="1" t="s">
        <v>1116</v>
      </c>
      <c r="K2028" s="6" t="str">
        <f>"11.000.000,00"</f>
        <v>11.000.000,00</v>
      </c>
      <c r="L2028" s="6" t="str">
        <f>"2.750.000,00"</f>
        <v>2.750.000,00</v>
      </c>
      <c r="M2028" s="6" t="str">
        <f>"13.750.000,00"</f>
        <v>13.750.000,00</v>
      </c>
      <c r="N2028" s="7"/>
      <c r="O2028" s="7"/>
      <c r="P2028" s="6" t="str">
        <f>""</f>
        <v/>
      </c>
      <c r="Q2028" s="7"/>
      <c r="R2028" s="1"/>
      <c r="S2028" s="1" t="str">
        <f>"NOS-39-C/18"</f>
        <v>NOS-39-C/18</v>
      </c>
      <c r="T2028" s="2" t="s">
        <v>33</v>
      </c>
    </row>
    <row r="2029" spans="1:20" ht="38.25" x14ac:dyDescent="0.25">
      <c r="A2029" s="1">
        <v>2025</v>
      </c>
      <c r="B2029" s="1" t="str">
        <f t="shared" si="199"/>
        <v>2018-2772</v>
      </c>
      <c r="C2029" s="2" t="s">
        <v>1114</v>
      </c>
      <c r="D2029" s="4"/>
      <c r="E2029" s="3" t="str">
        <f>""</f>
        <v/>
      </c>
      <c r="F2029" s="2" t="s">
        <v>27</v>
      </c>
      <c r="G2029" s="2" t="str">
        <f>CONCATENATE("GRADITELJ SVRATIŠTA D.O.O.,"," IVANA ČESMIČKOG 16,"," 10000 ZAGREB,"," OIB: 5204465757")</f>
        <v>GRADITELJ SVRATIŠTA D.O.O., IVANA ČESMIČKOG 16, 10000 ZAGREB, OIB: 5204465757</v>
      </c>
      <c r="H2029" s="4"/>
      <c r="I2029" s="1" t="s">
        <v>138</v>
      </c>
      <c r="J2029" s="1" t="s">
        <v>344</v>
      </c>
      <c r="K2029" s="6" t="str">
        <f>"1.654.460,00"</f>
        <v>1.654.460,00</v>
      </c>
      <c r="L2029" s="6" t="str">
        <f>"413.615,00"</f>
        <v>413.615,00</v>
      </c>
      <c r="M2029" s="6" t="str">
        <f>"2.068.075,00"</f>
        <v>2.068.075,00</v>
      </c>
      <c r="N2029" s="5">
        <v>43585</v>
      </c>
      <c r="O2029" s="7"/>
      <c r="P2029" s="6" t="str">
        <f>"1.523.599,12"</f>
        <v>1.523.599,12</v>
      </c>
      <c r="Q2029" s="7"/>
      <c r="R2029" s="1"/>
      <c r="S2029" s="1" t="str">
        <f>"1-18/NOS-39-C/18"</f>
        <v>1-18/NOS-39-C/18</v>
      </c>
      <c r="T2029" s="2" t="s">
        <v>33</v>
      </c>
    </row>
    <row r="2030" spans="1:20" ht="409.5" x14ac:dyDescent="0.25">
      <c r="A2030" s="1">
        <v>2026</v>
      </c>
      <c r="B2030" s="1" t="str">
        <f t="shared" si="199"/>
        <v>2018-2772</v>
      </c>
      <c r="C2030" s="2" t="s">
        <v>1114</v>
      </c>
      <c r="D2030" s="1" t="s">
        <v>1115</v>
      </c>
      <c r="E2030" s="3" t="str">
        <f>"2018/S 0F2-0016776"</f>
        <v>2018/S 0F2-0016776</v>
      </c>
      <c r="F2030" s="2" t="s">
        <v>23</v>
      </c>
      <c r="G2030" s="2" t="str">
        <f>CONCATENATE("PMB-BAUTRANS D.O.O.,"," VARAŽDINSKA 48,"," 10363 BELOVAR,"," OIB: 50021390192")</f>
        <v>PMB-BAUTRANS D.O.O., VARAŽDINSKA 48, 10363 BELOVAR, OIB: 50021390192</v>
      </c>
      <c r="H2030"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30" s="1" t="s">
        <v>1111</v>
      </c>
      <c r="J2030" s="1" t="s">
        <v>1116</v>
      </c>
      <c r="K2030" s="6" t="str">
        <f>"11.000.000,00"</f>
        <v>11.000.000,00</v>
      </c>
      <c r="L2030" s="6" t="str">
        <f>"2.750.000,00"</f>
        <v>2.750.000,00</v>
      </c>
      <c r="M2030" s="6" t="str">
        <f>"13.750.000,00"</f>
        <v>13.750.000,00</v>
      </c>
      <c r="N2030" s="7"/>
      <c r="O2030" s="7"/>
      <c r="P2030" s="6" t="str">
        <f>""</f>
        <v/>
      </c>
      <c r="Q2030" s="7"/>
      <c r="R2030" s="1"/>
      <c r="S2030" s="1" t="str">
        <f>"NOS-39-D/18"</f>
        <v>NOS-39-D/18</v>
      </c>
      <c r="T2030" s="2" t="s">
        <v>33</v>
      </c>
    </row>
    <row r="2031" spans="1:20" ht="25.5" x14ac:dyDescent="0.25">
      <c r="A2031" s="1">
        <v>2027</v>
      </c>
      <c r="B2031" s="1" t="str">
        <f t="shared" si="199"/>
        <v>2018-2772</v>
      </c>
      <c r="C2031" s="2" t="s">
        <v>1114</v>
      </c>
      <c r="D2031" s="4"/>
      <c r="E2031" s="3" t="str">
        <f>""</f>
        <v/>
      </c>
      <c r="F2031" s="2" t="s">
        <v>27</v>
      </c>
      <c r="G2031" s="2" t="str">
        <f>CONCATENATE("PMB-BAUTRANS D.O.O.,"," VARAŽDINSKA 48,"," 10363 BELOVAR,"," OIB: 50021390192")</f>
        <v>PMB-BAUTRANS D.O.O., VARAŽDINSKA 48, 10363 BELOVAR, OIB: 50021390192</v>
      </c>
      <c r="H2031" s="4"/>
      <c r="I2031" s="1" t="s">
        <v>1117</v>
      </c>
      <c r="J2031" s="1" t="s">
        <v>344</v>
      </c>
      <c r="K2031" s="6" t="str">
        <f>"1.969.992,00"</f>
        <v>1.969.992,00</v>
      </c>
      <c r="L2031" s="6" t="str">
        <f>"492.498,00"</f>
        <v>492.498,00</v>
      </c>
      <c r="M2031" s="6" t="str">
        <f>"2.462.490,00"</f>
        <v>2.462.490,00</v>
      </c>
      <c r="N2031" s="5">
        <v>43585</v>
      </c>
      <c r="O2031" s="7"/>
      <c r="P2031" s="6" t="str">
        <f>"2.213.267,62"</f>
        <v>2.213.267,62</v>
      </c>
      <c r="Q2031" s="7"/>
      <c r="R2031" s="1"/>
      <c r="S2031" s="1" t="str">
        <f>"1-18/NOS-39-D/18"</f>
        <v>1-18/NOS-39-D/18</v>
      </c>
      <c r="T2031" s="2" t="s">
        <v>33</v>
      </c>
    </row>
    <row r="2032" spans="1:20" ht="409.5" x14ac:dyDescent="0.25">
      <c r="A2032" s="1">
        <v>2028</v>
      </c>
      <c r="B2032" s="1" t="str">
        <f t="shared" si="199"/>
        <v>2018-2772</v>
      </c>
      <c r="C2032" s="2" t="s">
        <v>1114</v>
      </c>
      <c r="D2032" s="1" t="s">
        <v>1115</v>
      </c>
      <c r="E2032" s="3" t="str">
        <f>"2018/S 0F2-0016776"</f>
        <v>2018/S 0F2-0016776</v>
      </c>
      <c r="F2032" s="2" t="s">
        <v>23</v>
      </c>
      <c r="G2032" s="2" t="str">
        <f>CONCATENATE("BISTRA-KOP OBRT,"," vl. Bratislav Škrlin-Batina,"," BUKOVJE BISTRANSKO,"," M. GUPCA 11,"," 10298 DONJA BISTRA,"," OIB: 77220131152")</f>
        <v>BISTRA-KOP OBRT, vl. Bratislav Škrlin-Batina, BUKOVJE BISTRANSKO, M. GUPCA 11, 10298 DONJA BISTRA, OIB: 77220131152</v>
      </c>
      <c r="H2032"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32" s="1" t="s">
        <v>1111</v>
      </c>
      <c r="J2032" s="1" t="s">
        <v>1116</v>
      </c>
      <c r="K2032" s="6" t="str">
        <f>"11.500.000,00"</f>
        <v>11.500.000,00</v>
      </c>
      <c r="L2032" s="6" t="str">
        <f>"2.875.000,00"</f>
        <v>2.875.000,00</v>
      </c>
      <c r="M2032" s="6" t="str">
        <f>"14.375.000,00"</f>
        <v>14.375.000,00</v>
      </c>
      <c r="N2032" s="7"/>
      <c r="O2032" s="7"/>
      <c r="P2032" s="6" t="str">
        <f>""</f>
        <v/>
      </c>
      <c r="Q2032" s="7"/>
      <c r="R2032" s="1"/>
      <c r="S2032" s="1" t="str">
        <f>"NOS-39-E/18"</f>
        <v>NOS-39-E/18</v>
      </c>
      <c r="T2032" s="2" t="s">
        <v>33</v>
      </c>
    </row>
    <row r="2033" spans="1:20" ht="38.25" x14ac:dyDescent="0.25">
      <c r="A2033" s="1">
        <v>2029</v>
      </c>
      <c r="B2033" s="1" t="str">
        <f t="shared" si="199"/>
        <v>2018-2772</v>
      </c>
      <c r="C2033" s="2" t="s">
        <v>1114</v>
      </c>
      <c r="D2033" s="4"/>
      <c r="E2033" s="3" t="str">
        <f>""</f>
        <v/>
      </c>
      <c r="F2033" s="2" t="s">
        <v>27</v>
      </c>
      <c r="G2033" s="2" t="str">
        <f>CONCATENATE("BISTRA-KOP OBRT,"," vl. Bratislav Škrlin-Batina,"," BUKOVJE BISTRANSKO,"," M. GUPCA 11,"," 10298 DONJA BISTRA,"," OIB: 77220131152")</f>
        <v>BISTRA-KOP OBRT, vl. Bratislav Škrlin-Batina, BUKOVJE BISTRANSKO, M. GUPCA 11, 10298 DONJA BISTRA, OIB: 77220131152</v>
      </c>
      <c r="H2033" s="4"/>
      <c r="I2033" s="1" t="s">
        <v>1117</v>
      </c>
      <c r="J2033" s="1" t="s">
        <v>344</v>
      </c>
      <c r="K2033" s="6" t="str">
        <f>"1.889.650,00"</f>
        <v>1.889.650,00</v>
      </c>
      <c r="L2033" s="6" t="str">
        <f>"472.412,50"</f>
        <v>472.412,50</v>
      </c>
      <c r="M2033" s="6" t="str">
        <f>"2.362.062,50"</f>
        <v>2.362.062,50</v>
      </c>
      <c r="N2033" s="5">
        <v>43570</v>
      </c>
      <c r="O2033" s="7"/>
      <c r="P2033" s="6" t="str">
        <f>"2.362.028,62"</f>
        <v>2.362.028,62</v>
      </c>
      <c r="Q2033" s="7"/>
      <c r="R2033" s="1"/>
      <c r="S2033" s="1" t="str">
        <f>"1-18/NOS-39-E/18"</f>
        <v>1-18/NOS-39-E/18</v>
      </c>
      <c r="T2033" s="2" t="s">
        <v>33</v>
      </c>
    </row>
    <row r="2034" spans="1:20" ht="409.5" x14ac:dyDescent="0.25">
      <c r="A2034" s="1">
        <v>2030</v>
      </c>
      <c r="B2034" s="1" t="str">
        <f t="shared" si="199"/>
        <v>2018-2772</v>
      </c>
      <c r="C2034" s="2" t="s">
        <v>1114</v>
      </c>
      <c r="D2034" s="1" t="s">
        <v>1115</v>
      </c>
      <c r="E2034" s="3" t="str">
        <f>"2018/S 0F2-0016776"</f>
        <v>2018/S 0F2-0016776</v>
      </c>
      <c r="F2034" s="2" t="s">
        <v>23</v>
      </c>
      <c r="G2034" s="2" t="str">
        <f>CONCATENATE("POLJO-PROM,"," VL. ZLATKO KRIŽANIĆ,"," HRAŠĆE TUROPOLJSKO,"," KRIŽANIĆI 27,"," 10020 ZAGREB-NOVI ZAGREB,"," OIB: 22277452223")</f>
        <v>POLJO-PROM, VL. ZLATKO KRIŽANIĆ, HRAŠĆE TUROPOLJSKO, KRIŽANIĆI 27, 10020 ZAGREB-NOVI ZAGREB, OIB: 22277452223</v>
      </c>
      <c r="H2034"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34" s="1" t="s">
        <v>1111</v>
      </c>
      <c r="J2034" s="1" t="s">
        <v>1116</v>
      </c>
      <c r="K2034" s="6" t="str">
        <f>"9.000.000,00"</f>
        <v>9.000.000,00</v>
      </c>
      <c r="L2034" s="6" t="str">
        <f>"2.250.000,00"</f>
        <v>2.250.000,00</v>
      </c>
      <c r="M2034" s="6" t="str">
        <f>"11.250.000,00"</f>
        <v>11.250.000,00</v>
      </c>
      <c r="N2034" s="7"/>
      <c r="O2034" s="7"/>
      <c r="P2034" s="6" t="str">
        <f>""</f>
        <v/>
      </c>
      <c r="Q2034" s="7"/>
      <c r="R2034" s="1"/>
      <c r="S2034" s="1" t="str">
        <f>"NOS-39-F/18"</f>
        <v>NOS-39-F/18</v>
      </c>
      <c r="T2034" s="2" t="s">
        <v>33</v>
      </c>
    </row>
    <row r="2035" spans="1:20" ht="38.25" x14ac:dyDescent="0.25">
      <c r="A2035" s="1">
        <v>2031</v>
      </c>
      <c r="B2035" s="1" t="str">
        <f t="shared" si="199"/>
        <v>2018-2772</v>
      </c>
      <c r="C2035" s="2" t="s">
        <v>1114</v>
      </c>
      <c r="D2035" s="4"/>
      <c r="E2035" s="3" t="str">
        <f>""</f>
        <v/>
      </c>
      <c r="F2035" s="2" t="s">
        <v>27</v>
      </c>
      <c r="G2035" s="2" t="str">
        <f>CONCATENATE("POLJO-PROM,"," VL. ZLATKO KRIŽANIĆ,"," HRAŠĆE TUROPOLJSKO,"," KRIŽANIĆI 27,"," 10020 ZAGREB-NOVI ZAGREB,"," OIB: 22277452223")</f>
        <v>POLJO-PROM, VL. ZLATKO KRIŽANIĆ, HRAŠĆE TUROPOLJSKO, KRIŽANIĆI 27, 10020 ZAGREB-NOVI ZAGREB, OIB: 22277452223</v>
      </c>
      <c r="H2035" s="4"/>
      <c r="I2035" s="1" t="s">
        <v>1117</v>
      </c>
      <c r="J2035" s="1" t="s">
        <v>344</v>
      </c>
      <c r="K2035" s="6" t="str">
        <f>"1.397.712,00"</f>
        <v>1.397.712,00</v>
      </c>
      <c r="L2035" s="6" t="str">
        <f>"349.428,00"</f>
        <v>349.428,00</v>
      </c>
      <c r="M2035" s="6" t="str">
        <f>"1.747.140,00"</f>
        <v>1.747.140,00</v>
      </c>
      <c r="N2035" s="5">
        <v>43571</v>
      </c>
      <c r="O2035" s="7"/>
      <c r="P2035" s="6" t="str">
        <f>"1.520.329,11"</f>
        <v>1.520.329,11</v>
      </c>
      <c r="Q2035" s="7"/>
      <c r="R2035" s="1"/>
      <c r="S2035" s="1" t="str">
        <f>"1-18/NOS-39-F/18"</f>
        <v>1-18/NOS-39-F/18</v>
      </c>
      <c r="T2035" s="2" t="s">
        <v>33</v>
      </c>
    </row>
    <row r="2036" spans="1:20" ht="409.5" x14ac:dyDescent="0.25">
      <c r="A2036" s="1">
        <v>2032</v>
      </c>
      <c r="B2036" s="1" t="str">
        <f t="shared" si="199"/>
        <v>2018-2772</v>
      </c>
      <c r="C2036" s="2" t="s">
        <v>1114</v>
      </c>
      <c r="D2036" s="1" t="s">
        <v>1115</v>
      </c>
      <c r="E2036" s="3" t="str">
        <f>"2018/S 0F2-0016776"</f>
        <v>2018/S 0F2-0016776</v>
      </c>
      <c r="F2036" s="2" t="s">
        <v>23</v>
      </c>
      <c r="G2036" s="2" t="str">
        <f>CONCATENATE("GRADNJA i TRGOVINA - GAJ d.o.o.,"," ČULINEČKA CESTA 181,"," 10000 ZAGREB,"," OIB: 30603399085")</f>
        <v>GRADNJA i TRGOVINA - GAJ d.o.o., ČULINEČKA CESTA 181, 10000 ZAGREB, OIB: 30603399085</v>
      </c>
      <c r="H2036"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36" s="1" t="s">
        <v>1111</v>
      </c>
      <c r="J2036" s="1" t="s">
        <v>1116</v>
      </c>
      <c r="K2036" s="6" t="str">
        <f>"12.000.000,00"</f>
        <v>12.000.000,00</v>
      </c>
      <c r="L2036" s="6" t="str">
        <f>"3.000.000,00"</f>
        <v>3.000.000,00</v>
      </c>
      <c r="M2036" s="6" t="str">
        <f>"15.000.000,00"</f>
        <v>15.000.000,00</v>
      </c>
      <c r="N2036" s="7"/>
      <c r="O2036" s="7"/>
      <c r="P2036" s="6" t="str">
        <f>""</f>
        <v/>
      </c>
      <c r="Q2036" s="7"/>
      <c r="R2036" s="1"/>
      <c r="S2036" s="1" t="str">
        <f>"NOS-39-G/18"</f>
        <v>NOS-39-G/18</v>
      </c>
      <c r="T2036" s="2" t="s">
        <v>33</v>
      </c>
    </row>
    <row r="2037" spans="1:20" ht="38.25" x14ac:dyDescent="0.25">
      <c r="A2037" s="1">
        <v>2033</v>
      </c>
      <c r="B2037" s="1" t="str">
        <f t="shared" si="199"/>
        <v>2018-2772</v>
      </c>
      <c r="C2037" s="2" t="s">
        <v>1114</v>
      </c>
      <c r="D2037" s="4"/>
      <c r="E2037" s="3" t="str">
        <f>""</f>
        <v/>
      </c>
      <c r="F2037" s="2" t="s">
        <v>27</v>
      </c>
      <c r="G2037" s="2" t="str">
        <f>CONCATENATE("GRADNJA i TRGOVINA - GAJ d.o.o.,"," ČULINEČKA CESTA 181,"," 10000 ZAGREB,"," OIB: 30603399085")</f>
        <v>GRADNJA i TRGOVINA - GAJ d.o.o., ČULINEČKA CESTA 181, 10000 ZAGREB, OIB: 30603399085</v>
      </c>
      <c r="H2037" s="4"/>
      <c r="I2037" s="1" t="s">
        <v>1117</v>
      </c>
      <c r="J2037" s="1" t="s">
        <v>344</v>
      </c>
      <c r="K2037" s="6" t="str">
        <f>"1.697.220,00"</f>
        <v>1.697.220,00</v>
      </c>
      <c r="L2037" s="6" t="str">
        <f>"424.305,00"</f>
        <v>424.305,00</v>
      </c>
      <c r="M2037" s="6" t="str">
        <f>"2.121.525,00"</f>
        <v>2.121.525,00</v>
      </c>
      <c r="N2037" s="5">
        <v>43578</v>
      </c>
      <c r="O2037" s="7"/>
      <c r="P2037" s="6" t="str">
        <f>"1.610.941,88"</f>
        <v>1.610.941,88</v>
      </c>
      <c r="Q2037" s="7"/>
      <c r="R2037" s="1"/>
      <c r="S2037" s="1" t="str">
        <f>"1-18/NOS-39-G/18"</f>
        <v>1-18/NOS-39-G/18</v>
      </c>
      <c r="T2037" s="2" t="s">
        <v>33</v>
      </c>
    </row>
    <row r="2038" spans="1:20" ht="409.5" x14ac:dyDescent="0.25">
      <c r="A2038" s="1">
        <v>2034</v>
      </c>
      <c r="B2038" s="1" t="str">
        <f t="shared" si="199"/>
        <v>2018-2772</v>
      </c>
      <c r="C2038" s="2" t="s">
        <v>1114</v>
      </c>
      <c r="D2038" s="1" t="s">
        <v>1115</v>
      </c>
      <c r="E2038" s="3" t="str">
        <f>"2018/S 0F2-0016776"</f>
        <v>2018/S 0F2-0016776</v>
      </c>
      <c r="F2038" s="2" t="s">
        <v>23</v>
      </c>
      <c r="G2038" s="2" t="str">
        <f>CONCATENATE("NISKOGRADNJA SESVETE D.O.O.,"," IVANA ŠIMUNOVIĆA 19/B,"," 10360 SESVETE,"," OIB: 99968996827")</f>
        <v>NISKOGRADNJA SESVETE D.O.O., IVANA ŠIMUNOVIĆA 19/B, 10360 SESVETE, OIB: 99968996827</v>
      </c>
      <c r="H2038"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38" s="1" t="s">
        <v>1111</v>
      </c>
      <c r="J2038" s="1" t="s">
        <v>1116</v>
      </c>
      <c r="K2038" s="6" t="str">
        <f>"8.000.000,00"</f>
        <v>8.000.000,00</v>
      </c>
      <c r="L2038" s="6" t="str">
        <f>"2.000.000,00"</f>
        <v>2.000.000,00</v>
      </c>
      <c r="M2038" s="6" t="str">
        <f>"10.000.000,00"</f>
        <v>10.000.000,00</v>
      </c>
      <c r="N2038" s="7"/>
      <c r="O2038" s="7"/>
      <c r="P2038" s="6" t="str">
        <f>""</f>
        <v/>
      </c>
      <c r="Q2038" s="7"/>
      <c r="R2038" s="1"/>
      <c r="S2038" s="1" t="str">
        <f>"NOS-39-H/18"</f>
        <v>NOS-39-H/18</v>
      </c>
      <c r="T2038" s="2" t="s">
        <v>33</v>
      </c>
    </row>
    <row r="2039" spans="1:20" ht="38.25" x14ac:dyDescent="0.25">
      <c r="A2039" s="1">
        <v>2035</v>
      </c>
      <c r="B2039" s="1" t="str">
        <f t="shared" si="199"/>
        <v>2018-2772</v>
      </c>
      <c r="C2039" s="2" t="s">
        <v>1114</v>
      </c>
      <c r="D2039" s="4"/>
      <c r="E2039" s="3" t="str">
        <f>""</f>
        <v/>
      </c>
      <c r="F2039" s="2" t="s">
        <v>27</v>
      </c>
      <c r="G2039" s="2" t="str">
        <f>CONCATENATE("NISKOGRADNJA SESVETE D.O.O.,"," IVANA ŠIMUNOVIĆA 19/B,"," 10360 SESVETE,"," OIB: 99968996827")</f>
        <v>NISKOGRADNJA SESVETE D.O.O., IVANA ŠIMUNOVIĆA 19/B, 10360 SESVETE, OIB: 99968996827</v>
      </c>
      <c r="H2039" s="4"/>
      <c r="I2039" s="1" t="s">
        <v>1117</v>
      </c>
      <c r="J2039" s="1" t="s">
        <v>344</v>
      </c>
      <c r="K2039" s="6" t="str">
        <f>"1.178.025,12"</f>
        <v>1.178.025,12</v>
      </c>
      <c r="L2039" s="6" t="str">
        <f>"294.506,28"</f>
        <v>294.506,28</v>
      </c>
      <c r="M2039" s="6" t="str">
        <f>"1.472.531,40"</f>
        <v>1.472.531,40</v>
      </c>
      <c r="N2039" s="5">
        <v>43579</v>
      </c>
      <c r="O2039" s="7"/>
      <c r="P2039" s="6" t="str">
        <f>"1.291.425,32"</f>
        <v>1.291.425,32</v>
      </c>
      <c r="Q2039" s="7"/>
      <c r="R2039" s="1"/>
      <c r="S2039" s="1" t="str">
        <f>"1-18/NOS-39-H/18"</f>
        <v>1-18/NOS-39-H/18</v>
      </c>
      <c r="T2039" s="2" t="s">
        <v>33</v>
      </c>
    </row>
    <row r="2040" spans="1:20" ht="409.5" x14ac:dyDescent="0.25">
      <c r="A2040" s="1">
        <v>2036</v>
      </c>
      <c r="B2040" s="1" t="str">
        <f t="shared" si="199"/>
        <v>2018-2772</v>
      </c>
      <c r="C2040" s="2" t="s">
        <v>1114</v>
      </c>
      <c r="D2040" s="1" t="s">
        <v>1115</v>
      </c>
      <c r="E2040" s="3" t="str">
        <f>"2018/S 0F2-0016776"</f>
        <v>2018/S 0F2-0016776</v>
      </c>
      <c r="F2040" s="2" t="s">
        <v>23</v>
      </c>
      <c r="G2040" s="2" t="str">
        <f>CONCATENATE("I.B. JAZBINA D.O.O.,"," JAZBINA 151,"," 10000 ZAGREB,"," OIB: 77265033209")</f>
        <v>I.B. JAZBINA D.O.O., JAZBINA 151, 10000 ZAGREB, OIB: 77265033209</v>
      </c>
      <c r="H2040"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40" s="1" t="s">
        <v>1111</v>
      </c>
      <c r="J2040" s="1" t="s">
        <v>1116</v>
      </c>
      <c r="K2040" s="6" t="str">
        <f>"17.500.000,00"</f>
        <v>17.500.000,00</v>
      </c>
      <c r="L2040" s="6" t="str">
        <f>"4.375.000,00"</f>
        <v>4.375.000,00</v>
      </c>
      <c r="M2040" s="6" t="str">
        <f>"21.875.000,00"</f>
        <v>21.875.000,00</v>
      </c>
      <c r="N2040" s="7"/>
      <c r="O2040" s="7"/>
      <c r="P2040" s="6" t="str">
        <f>""</f>
        <v/>
      </c>
      <c r="Q2040" s="7"/>
      <c r="R2040" s="1"/>
      <c r="S2040" s="1" t="str">
        <f>"NOS-39-I/18"</f>
        <v>NOS-39-I/18</v>
      </c>
      <c r="T2040" s="2" t="s">
        <v>33</v>
      </c>
    </row>
    <row r="2041" spans="1:20" ht="25.5" x14ac:dyDescent="0.25">
      <c r="A2041" s="1">
        <v>2037</v>
      </c>
      <c r="B2041" s="1" t="str">
        <f t="shared" si="199"/>
        <v>2018-2772</v>
      </c>
      <c r="C2041" s="2" t="s">
        <v>1114</v>
      </c>
      <c r="D2041" s="4"/>
      <c r="E2041" s="3" t="str">
        <f>""</f>
        <v/>
      </c>
      <c r="F2041" s="2" t="s">
        <v>27</v>
      </c>
      <c r="G2041" s="2" t="str">
        <f>CONCATENATE("I.B. JAZBINA D.O.O.,"," JAZBINA 151,"," 10000 ZAGREB,"," OIB: 77265033209")</f>
        <v>I.B. JAZBINA D.O.O., JAZBINA 151, 10000 ZAGREB, OIB: 77265033209</v>
      </c>
      <c r="H2041" s="4"/>
      <c r="I2041" s="1" t="s">
        <v>1117</v>
      </c>
      <c r="J2041" s="1" t="s">
        <v>344</v>
      </c>
      <c r="K2041" s="6" t="str">
        <f>"2.427.304,00"</f>
        <v>2.427.304,00</v>
      </c>
      <c r="L2041" s="6" t="str">
        <f>"606.826,00"</f>
        <v>606.826,00</v>
      </c>
      <c r="M2041" s="6" t="str">
        <f>"3.034.130,00"</f>
        <v>3.034.130,00</v>
      </c>
      <c r="N2041" s="5">
        <v>43572</v>
      </c>
      <c r="O2041" s="7"/>
      <c r="P2041" s="6" t="str">
        <f>"2.671.979,88"</f>
        <v>2.671.979,88</v>
      </c>
      <c r="Q2041" s="7"/>
      <c r="R2041" s="1"/>
      <c r="S2041" s="1" t="str">
        <f>"1-18/NOS-39-I/18"</f>
        <v>1-18/NOS-39-I/18</v>
      </c>
      <c r="T2041" s="2" t="s">
        <v>33</v>
      </c>
    </row>
    <row r="2042" spans="1:20" ht="409.5" x14ac:dyDescent="0.25">
      <c r="A2042" s="1">
        <v>2038</v>
      </c>
      <c r="B2042" s="1" t="str">
        <f t="shared" si="199"/>
        <v>2018-2772</v>
      </c>
      <c r="C2042" s="2" t="s">
        <v>1114</v>
      </c>
      <c r="D2042" s="1" t="s">
        <v>1115</v>
      </c>
      <c r="E2042" s="3" t="str">
        <f>"2018/S 0F2-0016776"</f>
        <v>2018/S 0F2-0016776</v>
      </c>
      <c r="F2042" s="2" t="s">
        <v>23</v>
      </c>
      <c r="G2042" s="2" t="str">
        <f>CONCATENATE("DIJANEŽEVIĆ AUTOPRIJEVOZ I GRADNJA,"," VL. MIJO DIJANEŽEVIĆ,"," STEPANSKA 64,"," 10412 DONJA LOMNICA,"," OIB: 63304196973")</f>
        <v>DIJANEŽEVIĆ AUTOPRIJEVOZ I GRADNJA, VL. MIJO DIJANEŽEVIĆ, STEPANSKA 64, 10412 DONJA LOMNICA, OIB: 63304196973</v>
      </c>
      <c r="H2042"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42" s="1" t="s">
        <v>1111</v>
      </c>
      <c r="J2042" s="1" t="s">
        <v>1116</v>
      </c>
      <c r="K2042" s="6" t="str">
        <f>"24.000.000,00"</f>
        <v>24.000.000,00</v>
      </c>
      <c r="L2042" s="6" t="str">
        <f>"6.000.000,00"</f>
        <v>6.000.000,00</v>
      </c>
      <c r="M2042" s="6" t="str">
        <f>"30.000.000,00"</f>
        <v>30.000.000,00</v>
      </c>
      <c r="N2042" s="7"/>
      <c r="O2042" s="7"/>
      <c r="P2042" s="6" t="str">
        <f>""</f>
        <v/>
      </c>
      <c r="Q2042" s="7"/>
      <c r="R2042" s="1"/>
      <c r="S2042" s="1" t="str">
        <f>"NOS-39-J/18"</f>
        <v>NOS-39-J/18</v>
      </c>
      <c r="T2042" s="2" t="s">
        <v>33</v>
      </c>
    </row>
    <row r="2043" spans="1:20" ht="38.25" x14ac:dyDescent="0.25">
      <c r="A2043" s="1">
        <v>2039</v>
      </c>
      <c r="B2043" s="1" t="str">
        <f t="shared" si="199"/>
        <v>2018-2772</v>
      </c>
      <c r="C2043" s="2" t="s">
        <v>1114</v>
      </c>
      <c r="D2043" s="4"/>
      <c r="E2043" s="3" t="str">
        <f>""</f>
        <v/>
      </c>
      <c r="F2043" s="2" t="s">
        <v>27</v>
      </c>
      <c r="G2043" s="2" t="str">
        <f>CONCATENATE("DIJANEŽEVIĆ AUTOPRIJEVOZ I GRADNJA,"," VL. MIJO DIJANEŽEVIĆ,"," STEPANSKA 64,"," 10412 DONJA LOMNICA,"," OIB: 63304196973")</f>
        <v>DIJANEŽEVIĆ AUTOPRIJEVOZ I GRADNJA, VL. MIJO DIJANEŽEVIĆ, STEPANSKA 64, 10412 DONJA LOMNICA, OIB: 63304196973</v>
      </c>
      <c r="H2043" s="4"/>
      <c r="I2043" s="1" t="s">
        <v>1117</v>
      </c>
      <c r="J2043" s="1" t="s">
        <v>344</v>
      </c>
      <c r="K2043" s="6" t="str">
        <f>"4.019.924,00"</f>
        <v>4.019.924,00</v>
      </c>
      <c r="L2043" s="6" t="str">
        <f>"1.004.981,00"</f>
        <v>1.004.981,00</v>
      </c>
      <c r="M2043" s="6" t="str">
        <f>"5.024.905,00"</f>
        <v>5.024.905,00</v>
      </c>
      <c r="N2043" s="5">
        <v>43572</v>
      </c>
      <c r="O2043" s="7"/>
      <c r="P2043" s="6" t="str">
        <f>"5.024.885,50"</f>
        <v>5.024.885,50</v>
      </c>
      <c r="Q2043" s="7"/>
      <c r="R2043" s="1"/>
      <c r="S2043" s="1" t="str">
        <f>"1-18/NOS-39-J/18"</f>
        <v>1-18/NOS-39-J/18</v>
      </c>
      <c r="T2043" s="2" t="s">
        <v>33</v>
      </c>
    </row>
    <row r="2044" spans="1:20" ht="51" x14ac:dyDescent="0.25">
      <c r="A2044" s="1">
        <v>2040</v>
      </c>
      <c r="B2044" s="1" t="str">
        <f t="shared" si="199"/>
        <v>2018-2772</v>
      </c>
      <c r="C2044" s="2" t="s">
        <v>1118</v>
      </c>
      <c r="D2044" s="4"/>
      <c r="E2044" s="3" t="str">
        <f>""</f>
        <v/>
      </c>
      <c r="F2044" s="2" t="s">
        <v>52</v>
      </c>
      <c r="G2044" s="2" t="str">
        <f>CONCATENATE("DIJANEŽEVIĆ AUTOPRIJEVOZ I GRADNJA,"," VL. MIJO DIJANEŽEVIĆ,"," STEPANSKA 64,"," 10412 DONJA LOMNICA,"," OIB: 63304196973")</f>
        <v>DIJANEŽEVIĆ AUTOPRIJEVOZ I GRADNJA, VL. MIJO DIJANEŽEVIĆ, STEPANSKA 64, 10412 DONJA LOMNICA, OIB: 63304196973</v>
      </c>
      <c r="H2044" s="4"/>
      <c r="I2044" s="1" t="s">
        <v>175</v>
      </c>
      <c r="J2044" s="1" t="s">
        <v>344</v>
      </c>
      <c r="K2044" s="6" t="str">
        <f>"397.310,00"</f>
        <v>397.310,00</v>
      </c>
      <c r="L2044" s="6" t="str">
        <f>"99.327,50"</f>
        <v>99.327,50</v>
      </c>
      <c r="M2044" s="6" t="str">
        <f>"496.637,50"</f>
        <v>496.637,50</v>
      </c>
      <c r="N2044" s="1" t="s">
        <v>117</v>
      </c>
      <c r="O2044" s="7"/>
      <c r="P2044" s="6" t="str">
        <f>""</f>
        <v/>
      </c>
      <c r="Q2044" s="7"/>
      <c r="R2044" s="1"/>
      <c r="S2044" s="1" t="str">
        <f>"1-18/NOS-39-J/18#1"</f>
        <v>1-18/NOS-39-J/18#1</v>
      </c>
      <c r="T2044" s="2" t="s">
        <v>33</v>
      </c>
    </row>
    <row r="2045" spans="1:20" ht="409.5" x14ac:dyDescent="0.25">
      <c r="A2045" s="1">
        <v>2041</v>
      </c>
      <c r="B2045" s="1" t="str">
        <f t="shared" si="199"/>
        <v>2018-2772</v>
      </c>
      <c r="C2045" s="2" t="s">
        <v>1114</v>
      </c>
      <c r="D2045" s="1" t="s">
        <v>1115</v>
      </c>
      <c r="E2045" s="3" t="str">
        <f>"2018/S 0F2-0016776"</f>
        <v>2018/S 0F2-0016776</v>
      </c>
      <c r="F2045" s="2" t="s">
        <v>23</v>
      </c>
      <c r="G2045" s="2" t="str">
        <f>CONCATENATE("GAJANT D.O.O.,"," JELEKOVIĆI 24,"," 10000 ZAGREB,"," OIB: 12621259758")</f>
        <v>GAJANT D.O.O., JELEKOVIĆI 24, 10000 ZAGREB, OIB: 12621259758</v>
      </c>
      <c r="H2045"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45" s="1" t="s">
        <v>1111</v>
      </c>
      <c r="J2045" s="1" t="s">
        <v>1116</v>
      </c>
      <c r="K2045" s="6" t="str">
        <f>"10.000.000,00"</f>
        <v>10.000.000,00</v>
      </c>
      <c r="L2045" s="6" t="str">
        <f>"2.500.000,00"</f>
        <v>2.500.000,00</v>
      </c>
      <c r="M2045" s="6" t="str">
        <f>"12.500.000,00"</f>
        <v>12.500.000,00</v>
      </c>
      <c r="N2045" s="7"/>
      <c r="O2045" s="7"/>
      <c r="P2045" s="6" t="str">
        <f>""</f>
        <v/>
      </c>
      <c r="Q2045" s="7"/>
      <c r="R2045" s="1"/>
      <c r="S2045" s="1" t="str">
        <f>"NOS-39-K/18"</f>
        <v>NOS-39-K/18</v>
      </c>
      <c r="T2045" s="2" t="s">
        <v>33</v>
      </c>
    </row>
    <row r="2046" spans="1:20" ht="25.5" x14ac:dyDescent="0.25">
      <c r="A2046" s="1">
        <v>2042</v>
      </c>
      <c r="B2046" s="1" t="str">
        <f t="shared" si="199"/>
        <v>2018-2772</v>
      </c>
      <c r="C2046" s="2" t="s">
        <v>1114</v>
      </c>
      <c r="D2046" s="4"/>
      <c r="E2046" s="3" t="str">
        <f>""</f>
        <v/>
      </c>
      <c r="F2046" s="2" t="s">
        <v>27</v>
      </c>
      <c r="G2046" s="2" t="str">
        <f>CONCATENATE("GAJANT D.O.O.,"," JELEKOVIĆI 24,"," 10000 ZAGREB,"," OIB: 12621259758")</f>
        <v>GAJANT D.O.O., JELEKOVIĆI 24, 10000 ZAGREB, OIB: 12621259758</v>
      </c>
      <c r="H2046" s="4"/>
      <c r="I2046" s="1" t="s">
        <v>1117</v>
      </c>
      <c r="J2046" s="1" t="s">
        <v>344</v>
      </c>
      <c r="K2046" s="6" t="str">
        <f>"1.764.940,00"</f>
        <v>1.764.940,00</v>
      </c>
      <c r="L2046" s="6" t="str">
        <f>"441.235,00"</f>
        <v>441.235,00</v>
      </c>
      <c r="M2046" s="6" t="str">
        <f>"2.206.175,00"</f>
        <v>2.206.175,00</v>
      </c>
      <c r="N2046" s="5">
        <v>43572</v>
      </c>
      <c r="O2046" s="7"/>
      <c r="P2046" s="6" t="str">
        <f>"2.128.717,25"</f>
        <v>2.128.717,25</v>
      </c>
      <c r="Q2046" s="7"/>
      <c r="R2046" s="1"/>
      <c r="S2046" s="1" t="str">
        <f>"1-18/NOS-39-K/18"</f>
        <v>1-18/NOS-39-K/18</v>
      </c>
      <c r="T2046" s="2" t="s">
        <v>33</v>
      </c>
    </row>
    <row r="2047" spans="1:20" ht="409.5" x14ac:dyDescent="0.25">
      <c r="A2047" s="1">
        <v>2043</v>
      </c>
      <c r="B2047" s="1" t="str">
        <f t="shared" si="199"/>
        <v>2018-2772</v>
      </c>
      <c r="C2047" s="2" t="s">
        <v>1114</v>
      </c>
      <c r="D2047" s="1" t="s">
        <v>1115</v>
      </c>
      <c r="E2047" s="3" t="str">
        <f>"2018/S 0F2-0016776"</f>
        <v>2018/S 0F2-0016776</v>
      </c>
      <c r="F2047" s="2" t="s">
        <v>23</v>
      </c>
      <c r="G2047" s="2" t="str">
        <f>CONCATENATE("GIP PIONIR D.O.O.,"," ZAGREBAČKA 145B,"," 10000 ZAGREB,"," OIB: 38262788673")</f>
        <v>GIP PIONIR D.O.O., ZAGREBAČKA 145B, 10000 ZAGREB, OIB: 38262788673</v>
      </c>
      <c r="H2047"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47" s="1" t="s">
        <v>1111</v>
      </c>
      <c r="J2047" s="1" t="s">
        <v>1116</v>
      </c>
      <c r="K2047" s="6" t="str">
        <f>"13.000.000,00"</f>
        <v>13.000.000,00</v>
      </c>
      <c r="L2047" s="6" t="str">
        <f>"3.250.000,00"</f>
        <v>3.250.000,00</v>
      </c>
      <c r="M2047" s="6" t="str">
        <f>"16.250.000,00"</f>
        <v>16.250.000,00</v>
      </c>
      <c r="N2047" s="7"/>
      <c r="O2047" s="7"/>
      <c r="P2047" s="6" t="str">
        <f>""</f>
        <v/>
      </c>
      <c r="Q2047" s="7"/>
      <c r="R2047" s="1"/>
      <c r="S2047" s="1" t="str">
        <f>"NOS-39-L/18"</f>
        <v>NOS-39-L/18</v>
      </c>
      <c r="T2047" s="2" t="s">
        <v>33</v>
      </c>
    </row>
    <row r="2048" spans="1:20" ht="25.5" x14ac:dyDescent="0.25">
      <c r="A2048" s="1">
        <v>2044</v>
      </c>
      <c r="B2048" s="1" t="str">
        <f t="shared" si="199"/>
        <v>2018-2772</v>
      </c>
      <c r="C2048" s="2" t="s">
        <v>1114</v>
      </c>
      <c r="D2048" s="4"/>
      <c r="E2048" s="3" t="str">
        <f>""</f>
        <v/>
      </c>
      <c r="F2048" s="2" t="s">
        <v>27</v>
      </c>
      <c r="G2048" s="2" t="str">
        <f>CONCATENATE("GIP PIONIR D.O.O.,"," ZAGREBAČKA 145B,"," 10000 ZAGREB,"," OIB: 38262788673")</f>
        <v>GIP PIONIR D.O.O., ZAGREBAČKA 145B, 10000 ZAGREB, OIB: 38262788673</v>
      </c>
      <c r="H2048" s="4"/>
      <c r="I2048" s="1" t="s">
        <v>1117</v>
      </c>
      <c r="J2048" s="1" t="s">
        <v>344</v>
      </c>
      <c r="K2048" s="6" t="str">
        <f>"1.877.510,00"</f>
        <v>1.877.510,00</v>
      </c>
      <c r="L2048" s="6" t="str">
        <f>"469.377,50"</f>
        <v>469.377,50</v>
      </c>
      <c r="M2048" s="6" t="str">
        <f>"2.346.887,50"</f>
        <v>2.346.887,50</v>
      </c>
      <c r="N2048" s="5">
        <v>43591</v>
      </c>
      <c r="O2048" s="7"/>
      <c r="P2048" s="6" t="str">
        <f>"2.048.416,55"</f>
        <v>2.048.416,55</v>
      </c>
      <c r="Q2048" s="7"/>
      <c r="R2048" s="1"/>
      <c r="S2048" s="1" t="str">
        <f>"1-18/NOS-39-L/18"</f>
        <v>1-18/NOS-39-L/18</v>
      </c>
      <c r="T2048" s="2" t="s">
        <v>33</v>
      </c>
    </row>
    <row r="2049" spans="1:20" ht="409.5" x14ac:dyDescent="0.25">
      <c r="A2049" s="1">
        <v>2045</v>
      </c>
      <c r="B2049" s="1" t="str">
        <f t="shared" si="199"/>
        <v>2018-2772</v>
      </c>
      <c r="C2049" s="2" t="s">
        <v>1114</v>
      </c>
      <c r="D2049" s="1" t="s">
        <v>1115</v>
      </c>
      <c r="E2049" s="3" t="str">
        <f>"2018/S 0F2-0016776"</f>
        <v>2018/S 0F2-0016776</v>
      </c>
      <c r="F2049" s="2" t="s">
        <v>23</v>
      </c>
      <c r="G2049" s="2" t="str">
        <f>CONCATENATE("VODOPRIVREDA ZAGREB d.d.,"," PETROVARADINSKA 110,"," 10000 ZAGREB,"," OIB: 5586033563")</f>
        <v>VODOPRIVREDA ZAGREB d.d., PETROVARADINSKA 110, 10000 ZAGREB, OIB: 5586033563</v>
      </c>
      <c r="H2049"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49" s="1" t="s">
        <v>1111</v>
      </c>
      <c r="J2049" s="1" t="s">
        <v>1116</v>
      </c>
      <c r="K2049" s="6" t="str">
        <f>"18.000.000,00"</f>
        <v>18.000.000,00</v>
      </c>
      <c r="L2049" s="6" t="str">
        <f>"4.500.000,00"</f>
        <v>4.500.000,00</v>
      </c>
      <c r="M2049" s="6" t="str">
        <f>"22.500.000,00"</f>
        <v>22.500.000,00</v>
      </c>
      <c r="N2049" s="7"/>
      <c r="O2049" s="7"/>
      <c r="P2049" s="6" t="str">
        <f>""</f>
        <v/>
      </c>
      <c r="Q2049" s="7"/>
      <c r="R2049" s="1"/>
      <c r="S2049" s="1" t="str">
        <f>"NOS-39-M/18"</f>
        <v>NOS-39-M/18</v>
      </c>
      <c r="T2049" s="2" t="s">
        <v>33</v>
      </c>
    </row>
    <row r="2050" spans="1:20" ht="38.25" x14ac:dyDescent="0.25">
      <c r="A2050" s="1">
        <v>2046</v>
      </c>
      <c r="B2050" s="1" t="str">
        <f t="shared" si="199"/>
        <v>2018-2772</v>
      </c>
      <c r="C2050" s="2" t="s">
        <v>1114</v>
      </c>
      <c r="D2050" s="4"/>
      <c r="E2050" s="3" t="str">
        <f>""</f>
        <v/>
      </c>
      <c r="F2050" s="2" t="s">
        <v>27</v>
      </c>
      <c r="G2050" s="2" t="str">
        <f>CONCATENATE("VODOPRIVREDA ZAGREB d.d.,"," PETROVARADINSKA 110,"," 10000 ZAGREB,"," OIB: 5586033563")</f>
        <v>VODOPRIVREDA ZAGREB d.d., PETROVARADINSKA 110, 10000 ZAGREB, OIB: 5586033563</v>
      </c>
      <c r="H2050" s="4"/>
      <c r="I2050" s="1" t="s">
        <v>41</v>
      </c>
      <c r="J2050" s="1" t="s">
        <v>344</v>
      </c>
      <c r="K2050" s="6" t="str">
        <f>"2.968.912,00"</f>
        <v>2.968.912,00</v>
      </c>
      <c r="L2050" s="6" t="str">
        <f>"742.228,00"</f>
        <v>742.228,00</v>
      </c>
      <c r="M2050" s="6" t="str">
        <f>"3.711.140,00"</f>
        <v>3.711.140,00</v>
      </c>
      <c r="N2050" s="5">
        <v>43580</v>
      </c>
      <c r="O2050" s="7"/>
      <c r="P2050" s="6" t="str">
        <f>"2.723.984,88"</f>
        <v>2.723.984,88</v>
      </c>
      <c r="Q2050" s="7"/>
      <c r="R2050" s="1"/>
      <c r="S2050" s="1" t="str">
        <f>"1-18/NOS-39-M/18"</f>
        <v>1-18/NOS-39-M/18</v>
      </c>
      <c r="T2050" s="2" t="s">
        <v>33</v>
      </c>
    </row>
    <row r="2051" spans="1:20" ht="409.5" x14ac:dyDescent="0.25">
      <c r="A2051" s="1">
        <v>2047</v>
      </c>
      <c r="B2051" s="1" t="str">
        <f t="shared" si="199"/>
        <v>2018-2772</v>
      </c>
      <c r="C2051" s="2" t="s">
        <v>1114</v>
      </c>
      <c r="D2051" s="1" t="s">
        <v>1115</v>
      </c>
      <c r="E2051" s="3" t="str">
        <f>"2018/S 0F2-0016776"</f>
        <v>2018/S 0F2-0016776</v>
      </c>
      <c r="F2051" s="2" t="s">
        <v>23</v>
      </c>
      <c r="G2051" s="2" t="str">
        <f>CONCATENATE("KINDER GRADNJA OBRT ZA USLUGE,"," VL. IVICA KINDER,"," SELSKA 57,"," 10360 SESVETE,"," OIB: 94563534427")</f>
        <v>KINDER GRADNJA OBRT ZA USLUGE, VL. IVICA KINDER, SELSKA 57, 10360 SESVETE, OIB: 94563534427</v>
      </c>
      <c r="H2051"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51" s="1" t="s">
        <v>1111</v>
      </c>
      <c r="J2051" s="1" t="s">
        <v>1116</v>
      </c>
      <c r="K2051" s="6" t="str">
        <f>"7.000.000,00"</f>
        <v>7.000.000,00</v>
      </c>
      <c r="L2051" s="6" t="str">
        <f>"1.750.000,00"</f>
        <v>1.750.000,00</v>
      </c>
      <c r="M2051" s="6" t="str">
        <f>"8.750.000,00"</f>
        <v>8.750.000,00</v>
      </c>
      <c r="N2051" s="7"/>
      <c r="O2051" s="7"/>
      <c r="P2051" s="6" t="str">
        <f>""</f>
        <v/>
      </c>
      <c r="Q2051" s="7"/>
      <c r="R2051" s="1"/>
      <c r="S2051" s="1" t="str">
        <f>"NOS-39-N/18"</f>
        <v>NOS-39-N/18</v>
      </c>
      <c r="T2051" s="2" t="s">
        <v>33</v>
      </c>
    </row>
    <row r="2052" spans="1:20" ht="409.5" x14ac:dyDescent="0.25">
      <c r="A2052" s="1">
        <v>2048</v>
      </c>
      <c r="B2052" s="1" t="str">
        <f t="shared" si="199"/>
        <v>2018-2772</v>
      </c>
      <c r="C2052" s="2" t="s">
        <v>1114</v>
      </c>
      <c r="D2052" s="1" t="s">
        <v>1115</v>
      </c>
      <c r="E2052" s="3" t="str">
        <f>"2018/S 0F2-0016776"</f>
        <v>2018/S 0F2-0016776</v>
      </c>
      <c r="F2052" s="2" t="s">
        <v>23</v>
      </c>
      <c r="G2052" s="2" t="str">
        <f>CONCATENATE("P.G.P. D.O.O.,"," KUTJEVAČKA 8,"," 10000 ZAGREB,"," OIB: 1298877269")</f>
        <v>P.G.P. D.O.O., KUTJEVAČKA 8, 10000 ZAGREB, OIB: 1298877269</v>
      </c>
      <c r="H2052"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52" s="1" t="s">
        <v>1111</v>
      </c>
      <c r="J2052" s="1" t="s">
        <v>1116</v>
      </c>
      <c r="K2052" s="6" t="str">
        <f>"8.000.000,00"</f>
        <v>8.000.000,00</v>
      </c>
      <c r="L2052" s="6" t="str">
        <f>"2.000.000,00"</f>
        <v>2.000.000,00</v>
      </c>
      <c r="M2052" s="6" t="str">
        <f>"10.000.000,00"</f>
        <v>10.000.000,00</v>
      </c>
      <c r="N2052" s="7"/>
      <c r="O2052" s="7"/>
      <c r="P2052" s="6" t="str">
        <f>""</f>
        <v/>
      </c>
      <c r="Q2052" s="7"/>
      <c r="R2052" s="1"/>
      <c r="S2052" s="1" t="str">
        <f>"NOS-39-O/18"</f>
        <v>NOS-39-O/18</v>
      </c>
      <c r="T2052" s="2" t="s">
        <v>33</v>
      </c>
    </row>
    <row r="2053" spans="1:20" ht="25.5" x14ac:dyDescent="0.25">
      <c r="A2053" s="1">
        <v>2049</v>
      </c>
      <c r="B2053" s="1" t="str">
        <f t="shared" si="199"/>
        <v>2018-2772</v>
      </c>
      <c r="C2053" s="2" t="s">
        <v>1114</v>
      </c>
      <c r="D2053" s="4"/>
      <c r="E2053" s="3" t="str">
        <f>""</f>
        <v/>
      </c>
      <c r="F2053" s="2" t="s">
        <v>27</v>
      </c>
      <c r="G2053" s="2" t="str">
        <f>CONCATENATE("P.G.P. D.O.O.,"," KUTJEVAČKA 8,"," 10000 ZAGREB,"," OIB: 1298877269")</f>
        <v>P.G.P. D.O.O., KUTJEVAČKA 8, 10000 ZAGREB, OIB: 1298877269</v>
      </c>
      <c r="H2053" s="4"/>
      <c r="I2053" s="1" t="s">
        <v>1117</v>
      </c>
      <c r="J2053" s="1" t="s">
        <v>344</v>
      </c>
      <c r="K2053" s="6" t="str">
        <f>"1.020.376,00"</f>
        <v>1.020.376,00</v>
      </c>
      <c r="L2053" s="6" t="str">
        <f>"255.094,00"</f>
        <v>255.094,00</v>
      </c>
      <c r="M2053" s="6" t="str">
        <f>"1.275.470,00"</f>
        <v>1.275.470,00</v>
      </c>
      <c r="N2053" s="5">
        <v>43585</v>
      </c>
      <c r="O2053" s="7"/>
      <c r="P2053" s="6" t="str">
        <f>"916.441,69"</f>
        <v>916.441,69</v>
      </c>
      <c r="Q2053" s="7"/>
      <c r="R2053" s="1"/>
      <c r="S2053" s="1" t="str">
        <f>"1-18/NOS-39-O/18"</f>
        <v>1-18/NOS-39-O/18</v>
      </c>
      <c r="T2053" s="2" t="s">
        <v>33</v>
      </c>
    </row>
    <row r="2054" spans="1:20" ht="409.5" x14ac:dyDescent="0.25">
      <c r="A2054" s="1">
        <v>2050</v>
      </c>
      <c r="B2054" s="1" t="str">
        <f t="shared" si="199"/>
        <v>2018-2772</v>
      </c>
      <c r="C2054" s="2" t="s">
        <v>1114</v>
      </c>
      <c r="D2054" s="1" t="s">
        <v>1115</v>
      </c>
      <c r="E2054" s="3" t="str">
        <f>"2018/S 0F2-0016776"</f>
        <v>2018/S 0F2-0016776</v>
      </c>
      <c r="F2054" s="2" t="s">
        <v>23</v>
      </c>
      <c r="G2054" s="2" t="str">
        <f>CONCATENATE("NERING D.O.O.,"," LIVADARSKI PUT 24,"," 10360 SESVETE,"," OIB: 85965934616")</f>
        <v>NERING D.O.O., LIVADARSKI PUT 24, 10360 SESVETE, OIB: 85965934616</v>
      </c>
      <c r="H2054" s="1" t="str">
        <f>CONCATENATE("JU-MA PRIJEVOZ OBRT,"," VL. MATE JURIČIĆ,"," OIB: 77115149038",CHAR(10),"LOS-94 J.D.O.O.,"," OIB: 07078056403",CHAR(10),"PRIJEVOZ I GRAĐEVINSKA MEHANIZACIJA,"," VL. ZDENKO LUKAC,"," OIB: 67127481229",CHAR(10),"AGRAM NOVA D.O.O.,"," OIB: 22399443467",CHAR(10),"PALMIT D.O.O.,"," OIB: 33067636787",CHAR(10),"OLIVER,"," OBRT ZA USLUGE VL. DORIS OSREČAK,"," OIB: 91370633676",CHAR(10),"K&amp;M TRANSPORT OBRT,"," VL. MARKO ŠIMUNEC,"," OIB: 63892398885",CHAR(10),"GRADIP TRGOVINA D.O.O.,"," OIB: 29319258904",CHAR(10),"AUTOPRIJEVOZ I NISKOGRADNJA,"," vl. Zdravko Matija,"," OIB: 13084416237")</f>
        <v>JU-MA PRIJEVOZ OBRT, VL. MATE JURIČIĆ, OIB: 77115149038
LOS-94 J.D.O.O., OIB: 07078056403
PRIJEVOZ I GRAĐEVINSKA MEHANIZACIJA, VL. ZDENKO LUKAC, OIB: 67127481229
AGRAM NOVA D.O.O., OIB: 22399443467
PALMIT D.O.O., OIB: 33067636787
OLIVER, OBRT ZA USLUGE VL. DORIS OSREČAK, OIB: 91370633676
K&amp;M TRANSPORT OBRT, VL. MARKO ŠIMUNEC, OIB: 63892398885
GRADIP TRGOVINA D.O.O., OIB: 29319258904
AUTOPRIJEVOZ I NISKOGRADNJA, vl. Zdravko Matija, OIB: 13084416237</v>
      </c>
      <c r="I2054" s="1" t="s">
        <v>1111</v>
      </c>
      <c r="J2054" s="1" t="s">
        <v>1116</v>
      </c>
      <c r="K2054" s="6" t="str">
        <f>"2.200.000,00"</f>
        <v>2.200.000,00</v>
      </c>
      <c r="L2054" s="6" t="str">
        <f>"550.000,00"</f>
        <v>550.000,00</v>
      </c>
      <c r="M2054" s="6" t="str">
        <f>"2.750.000,00"</f>
        <v>2.750.000,00</v>
      </c>
      <c r="N2054" s="7"/>
      <c r="O2054" s="7"/>
      <c r="P2054" s="6" t="str">
        <f>""</f>
        <v/>
      </c>
      <c r="Q2054" s="7"/>
      <c r="R2054" s="1"/>
      <c r="S2054" s="1" t="str">
        <f>"NOS-39-P/18"</f>
        <v>NOS-39-P/18</v>
      </c>
      <c r="T2054" s="2" t="s">
        <v>33</v>
      </c>
    </row>
    <row r="2055" spans="1:20" ht="38.25" x14ac:dyDescent="0.25">
      <c r="A2055" s="1">
        <v>2051</v>
      </c>
      <c r="B2055" s="1" t="str">
        <f>"2018-2820"</f>
        <v>2018-2820</v>
      </c>
      <c r="C2055" s="2" t="s">
        <v>1119</v>
      </c>
      <c r="D2055" s="1" t="s">
        <v>1120</v>
      </c>
      <c r="E2055" s="3" t="str">
        <f>"2018/S 0F2-0010712"</f>
        <v>2018/S 0F2-0010712</v>
      </c>
      <c r="F2055" s="2" t="s">
        <v>23</v>
      </c>
      <c r="G2055" s="2" t="str">
        <f>CONCATENATE("CRODUX PLIN D.O.O.,"," SAVSKA OPATOVINA 36,"," 10090 ZAGREB,"," OIB: 50388109754")</f>
        <v>CRODUX PLIN D.O.O., SAVSKA OPATOVINA 36, 10090 ZAGREB, OIB: 50388109754</v>
      </c>
      <c r="H2055" s="4"/>
      <c r="I2055" s="1" t="s">
        <v>1121</v>
      </c>
      <c r="J2055" s="1" t="s">
        <v>1122</v>
      </c>
      <c r="K2055" s="6" t="str">
        <f>"700.000,00"</f>
        <v>700.000,00</v>
      </c>
      <c r="L2055" s="6" t="str">
        <f>"175.000,00"</f>
        <v>175.000,00</v>
      </c>
      <c r="M2055" s="6" t="str">
        <f>"875.000,00"</f>
        <v>875.000,00</v>
      </c>
      <c r="N2055" s="7"/>
      <c r="O2055" s="7"/>
      <c r="P2055" s="6" t="str">
        <f>""</f>
        <v/>
      </c>
      <c r="Q2055" s="7"/>
      <c r="R2055" s="1"/>
      <c r="S2055" s="1" t="str">
        <f>"NOS-40/18"</f>
        <v>NOS-40/18</v>
      </c>
      <c r="T2055" s="2" t="s">
        <v>33</v>
      </c>
    </row>
    <row r="2056" spans="1:20" ht="25.5" x14ac:dyDescent="0.25">
      <c r="A2056" s="1">
        <v>2052</v>
      </c>
      <c r="B2056" s="1" t="str">
        <f>"2018-2820"</f>
        <v>2018-2820</v>
      </c>
      <c r="C2056" s="2" t="s">
        <v>1119</v>
      </c>
      <c r="D2056" s="4"/>
      <c r="E2056" s="3" t="str">
        <f>""</f>
        <v/>
      </c>
      <c r="F2056" s="2" t="s">
        <v>27</v>
      </c>
      <c r="G2056" s="2" t="str">
        <f>CONCATENATE("CRODUX PLIN D.O.O.,"," SAVSKA OPATOVINA 36,"," 10090 ZAGREB,"," OIB: 50388109754")</f>
        <v>CRODUX PLIN D.O.O., SAVSKA OPATOVINA 36, 10090 ZAGREB, OIB: 50388109754</v>
      </c>
      <c r="H2056" s="4"/>
      <c r="I2056" s="1" t="s">
        <v>373</v>
      </c>
      <c r="J2056" s="1" t="s">
        <v>114</v>
      </c>
      <c r="K2056" s="6" t="str">
        <f>"79.200,00"</f>
        <v>79.200,00</v>
      </c>
      <c r="L2056" s="6" t="str">
        <f>"19.800,00"</f>
        <v>19.800,00</v>
      </c>
      <c r="M2056" s="6" t="str">
        <f>"99.000,00"</f>
        <v>99.000,00</v>
      </c>
      <c r="N2056" s="5">
        <v>43595</v>
      </c>
      <c r="O2056" s="7"/>
      <c r="P2056" s="6" t="str">
        <f>""</f>
        <v/>
      </c>
      <c r="Q2056" s="7"/>
      <c r="R2056" s="1"/>
      <c r="S2056" s="1" t="str">
        <f>"2-19/NOS-40/18"</f>
        <v>2-19/NOS-40/18</v>
      </c>
      <c r="T2056" s="2" t="s">
        <v>33</v>
      </c>
    </row>
    <row r="2057" spans="1:20" ht="25.5" x14ac:dyDescent="0.25">
      <c r="A2057" s="1">
        <v>2053</v>
      </c>
      <c r="B2057" s="1" t="str">
        <f>"2018-2820"</f>
        <v>2018-2820</v>
      </c>
      <c r="C2057" s="2" t="s">
        <v>1119</v>
      </c>
      <c r="D2057" s="1" t="s">
        <v>1120</v>
      </c>
      <c r="E2057" s="3" t="str">
        <f>""</f>
        <v/>
      </c>
      <c r="F2057" s="2" t="s">
        <v>27</v>
      </c>
      <c r="G2057" s="2" t="str">
        <f>CONCATENATE("CRODUX PLIN D.O.O.,"," SAVSKA OPATOVINA 36,"," 10090 ZAGREB,"," OIB: 50388109754")</f>
        <v>CRODUX PLIN D.O.O., SAVSKA OPATOVINA 36, 10090 ZAGREB, OIB: 50388109754</v>
      </c>
      <c r="H2057" s="4"/>
      <c r="I2057" s="1" t="s">
        <v>590</v>
      </c>
      <c r="J2057" s="1" t="s">
        <v>492</v>
      </c>
      <c r="K2057" s="6" t="str">
        <f>"5.577,00"</f>
        <v>5.577,00</v>
      </c>
      <c r="L2057" s="6" t="str">
        <f>"1.142,58"</f>
        <v>1.142,58</v>
      </c>
      <c r="M2057" s="6" t="str">
        <f>"5.712,90"</f>
        <v>5.712,90</v>
      </c>
      <c r="N2057" s="5">
        <v>43595</v>
      </c>
      <c r="O2057" s="7"/>
      <c r="P2057" s="6" t="str">
        <f>"5.712,90"</f>
        <v>5.712,90</v>
      </c>
      <c r="Q2057" s="7"/>
      <c r="R2057" s="1"/>
      <c r="S2057" s="1" t="str">
        <f>"4-19/NOS-40/18"</f>
        <v>4-19/NOS-40/18</v>
      </c>
      <c r="T2057" s="2" t="s">
        <v>33</v>
      </c>
    </row>
    <row r="2058" spans="1:20" ht="25.5" x14ac:dyDescent="0.25">
      <c r="A2058" s="1">
        <v>2054</v>
      </c>
      <c r="B2058" s="1" t="str">
        <f>"2018-2820"</f>
        <v>2018-2820</v>
      </c>
      <c r="C2058" s="2" t="s">
        <v>1119</v>
      </c>
      <c r="D2058" s="1" t="s">
        <v>1120</v>
      </c>
      <c r="E2058" s="3" t="str">
        <f>""</f>
        <v/>
      </c>
      <c r="F2058" s="2" t="s">
        <v>27</v>
      </c>
      <c r="G2058" s="2" t="str">
        <f>CONCATENATE("CRODUX PLIN D.O.O.,"," SAVSKA OPATOVINA 36,"," 10090 ZAGREB,"," OIB: 50388109754")</f>
        <v>CRODUX PLIN D.O.O., SAVSKA OPATOVINA 36, 10090 ZAGREB, OIB: 50388109754</v>
      </c>
      <c r="H2058" s="4"/>
      <c r="I2058" s="1" t="s">
        <v>361</v>
      </c>
      <c r="J2058" s="1" t="s">
        <v>242</v>
      </c>
      <c r="K2058" s="6" t="str">
        <f>"22.680,00"</f>
        <v>22.680,00</v>
      </c>
      <c r="L2058" s="6" t="str">
        <f>"5.792,25"</f>
        <v>5.792,25</v>
      </c>
      <c r="M2058" s="6" t="str">
        <f>"28.961,23"</f>
        <v>28.961,23</v>
      </c>
      <c r="N2058" s="5">
        <v>43602</v>
      </c>
      <c r="O2058" s="7"/>
      <c r="P2058" s="6" t="str">
        <f>"28.961,22"</f>
        <v>28.961,22</v>
      </c>
      <c r="Q2058" s="7"/>
      <c r="R2058" s="1"/>
      <c r="S2058" s="1" t="str">
        <f>"5-19/NOS-40/18"</f>
        <v>5-19/NOS-40/18</v>
      </c>
      <c r="T2058" s="2" t="s">
        <v>33</v>
      </c>
    </row>
    <row r="2059" spans="1:20" ht="25.5" x14ac:dyDescent="0.25">
      <c r="A2059" s="1">
        <v>2055</v>
      </c>
      <c r="B2059" s="1" t="str">
        <f>"2018-2820"</f>
        <v>2018-2820</v>
      </c>
      <c r="C2059" s="2" t="s">
        <v>1119</v>
      </c>
      <c r="D2059" s="1" t="s">
        <v>1120</v>
      </c>
      <c r="E2059" s="3" t="str">
        <f>""</f>
        <v/>
      </c>
      <c r="F2059" s="2" t="s">
        <v>27</v>
      </c>
      <c r="G2059" s="2" t="str">
        <f>CONCATENATE("CRODUX PLIN D.O.O.,"," SAVSKA OPATOVINA 36,"," 10090 ZAGREB,"," OIB: 50388109754")</f>
        <v>CRODUX PLIN D.O.O., SAVSKA OPATOVINA 36, 10090 ZAGREB, OIB: 50388109754</v>
      </c>
      <c r="H2059" s="4"/>
      <c r="I2059" s="1" t="s">
        <v>403</v>
      </c>
      <c r="J2059" s="1" t="s">
        <v>469</v>
      </c>
      <c r="K2059" s="6" t="str">
        <f>"20.700,00"</f>
        <v>20.700,00</v>
      </c>
      <c r="L2059" s="6" t="str">
        <f>"5.496,18"</f>
        <v>5.496,18</v>
      </c>
      <c r="M2059" s="6" t="str">
        <f>"27.480,91"</f>
        <v>27.480,91</v>
      </c>
      <c r="N2059" s="5">
        <v>43640</v>
      </c>
      <c r="O2059" s="7"/>
      <c r="P2059" s="6" t="str">
        <f>"27.480,91"</f>
        <v>27.480,91</v>
      </c>
      <c r="Q2059" s="7"/>
      <c r="R2059" s="1"/>
      <c r="S2059" s="1" t="str">
        <f>"6-19/NOS-40/18"</f>
        <v>6-19/NOS-40/18</v>
      </c>
      <c r="T2059" s="2" t="s">
        <v>33</v>
      </c>
    </row>
    <row r="2060" spans="1:20" ht="76.5" x14ac:dyDescent="0.25">
      <c r="A2060" s="1">
        <v>2056</v>
      </c>
      <c r="B2060" s="1" t="str">
        <f t="shared" ref="B2060:B2068" si="200">"2018-2928"</f>
        <v>2018-2928</v>
      </c>
      <c r="C2060" s="2" t="s">
        <v>1123</v>
      </c>
      <c r="D2060" s="1" t="s">
        <v>1026</v>
      </c>
      <c r="E2060" s="3" t="str">
        <f>"2018/S 0F2-0012619"</f>
        <v>2018/S 0F2-0012619</v>
      </c>
      <c r="F2060" s="2" t="s">
        <v>23</v>
      </c>
      <c r="G2060" s="2" t="str">
        <f>CONCATENATE("THYSSENKRUPP DIZALA D.O.O.,"," FALLEROVO ŠETALIŠTE 22,"," 10000 ZAGREB,"," OIB: 03861531654",CHAR(10),"OTIS DIZALA D.O.O.,"," PRILAZ VLADISLAVA BRAJKOVIĆA 15,"," 10000 ZAGREB,"," OIB: 76080865307")</f>
        <v>THYSSENKRUPP DIZALA D.O.O., FALLEROVO ŠETALIŠTE 22, 10000 ZAGREB, OIB: 03861531654
OTIS DIZALA D.O.O., PRILAZ VLADISLAVA BRAJKOVIĆA 15, 10000 ZAGREB, OIB: 76080865307</v>
      </c>
      <c r="H2060" s="4"/>
      <c r="I2060" s="1" t="s">
        <v>1124</v>
      </c>
      <c r="J2060" s="1" t="s">
        <v>1125</v>
      </c>
      <c r="K2060" s="6" t="str">
        <f>"1.250.000,00"</f>
        <v>1.250.000,00</v>
      </c>
      <c r="L2060" s="6" t="str">
        <f>"312.500,00"</f>
        <v>312.500,00</v>
      </c>
      <c r="M2060" s="6" t="str">
        <f>"1.562.500,00"</f>
        <v>1.562.500,00</v>
      </c>
      <c r="N2060" s="7"/>
      <c r="O2060" s="7"/>
      <c r="P2060" s="6" t="str">
        <f>""</f>
        <v/>
      </c>
      <c r="Q2060" s="7"/>
      <c r="R2060" s="1"/>
      <c r="S2060" s="1" t="str">
        <f>"NOS-41-A/18"</f>
        <v>NOS-41-A/18</v>
      </c>
      <c r="T2060" s="2" t="s">
        <v>65</v>
      </c>
    </row>
    <row r="2061" spans="1:20" ht="38.25" x14ac:dyDescent="0.25">
      <c r="A2061" s="1">
        <v>2057</v>
      </c>
      <c r="B2061" s="1" t="str">
        <f t="shared" si="200"/>
        <v>2018-2928</v>
      </c>
      <c r="C2061" s="2" t="s">
        <v>1123</v>
      </c>
      <c r="D2061" s="4"/>
      <c r="E2061" s="3" t="str">
        <f>""</f>
        <v/>
      </c>
      <c r="F2061" s="2" t="s">
        <v>27</v>
      </c>
      <c r="G2061" s="2" t="str">
        <f>CONCATENATE("THYSSENKRUPP DIZALA D.O.O.,"," FALLEROVO ŠETALIŠTE 22,"," 10000 ZAGREB,"," OIB: 03861531654")</f>
        <v>THYSSENKRUPP DIZALA D.O.O., FALLEROVO ŠETALIŠTE 22, 10000 ZAGREB, OIB: 03861531654</v>
      </c>
      <c r="H2061" s="4"/>
      <c r="I2061" s="1" t="s">
        <v>140</v>
      </c>
      <c r="J2061" s="1" t="s">
        <v>587</v>
      </c>
      <c r="K2061" s="6" t="str">
        <f>"18.000,00"</f>
        <v>18.000,00</v>
      </c>
      <c r="L2061" s="6" t="str">
        <f>"4.500,00"</f>
        <v>4.500,00</v>
      </c>
      <c r="M2061" s="6" t="str">
        <f>"22.500,00"</f>
        <v>22.500,00</v>
      </c>
      <c r="N2061" s="5">
        <v>43620</v>
      </c>
      <c r="O2061" s="7"/>
      <c r="P2061" s="6" t="str">
        <f>"9.000,00"</f>
        <v>9.000,00</v>
      </c>
      <c r="Q2061" s="7"/>
      <c r="R2061" s="1"/>
      <c r="S2061" s="1" t="str">
        <f>"1-18/NOS-41-A/18"</f>
        <v>1-18/NOS-41-A/18</v>
      </c>
      <c r="T2061" s="2" t="s">
        <v>65</v>
      </c>
    </row>
    <row r="2062" spans="1:20" ht="38.25" x14ac:dyDescent="0.25">
      <c r="A2062" s="1">
        <v>2058</v>
      </c>
      <c r="B2062" s="1" t="str">
        <f t="shared" si="200"/>
        <v>2018-2928</v>
      </c>
      <c r="C2062" s="2" t="s">
        <v>1123</v>
      </c>
      <c r="D2062" s="1" t="s">
        <v>1026</v>
      </c>
      <c r="E2062" s="3" t="str">
        <f>""</f>
        <v/>
      </c>
      <c r="F2062" s="2" t="s">
        <v>27</v>
      </c>
      <c r="G2062" s="2" t="str">
        <f>CONCATENATE("THYSSENKRUPP DIZALA D.O.O.,"," FALLEROVO ŠETALIŠTE 22,"," 10000 ZAGREB,"," OIB: 03861531654")</f>
        <v>THYSSENKRUPP DIZALA D.O.O., FALLEROVO ŠETALIŠTE 22, 10000 ZAGREB, OIB: 03861531654</v>
      </c>
      <c r="H2062" s="4"/>
      <c r="I2062" s="1" t="s">
        <v>286</v>
      </c>
      <c r="J2062" s="1" t="s">
        <v>121</v>
      </c>
      <c r="K2062" s="6" t="str">
        <f>"27.265,64"</f>
        <v>27.265,64</v>
      </c>
      <c r="L2062" s="6" t="str">
        <f>"6.816,41"</f>
        <v>6.816,41</v>
      </c>
      <c r="M2062" s="6" t="str">
        <f>"34.082,05"</f>
        <v>34.082,05</v>
      </c>
      <c r="N2062" s="5">
        <v>43528</v>
      </c>
      <c r="O2062" s="7"/>
      <c r="P2062" s="6" t="str">
        <f>"34.082,05"</f>
        <v>34.082,05</v>
      </c>
      <c r="Q2062" s="7"/>
      <c r="R2062" s="1"/>
      <c r="S2062" s="1" t="str">
        <f>"1-19/NOS-41-A/18"</f>
        <v>1-19/NOS-41-A/18</v>
      </c>
      <c r="T2062" s="2" t="s">
        <v>65</v>
      </c>
    </row>
    <row r="2063" spans="1:20" ht="38.25" x14ac:dyDescent="0.25">
      <c r="A2063" s="1">
        <v>2059</v>
      </c>
      <c r="B2063" s="1" t="str">
        <f t="shared" si="200"/>
        <v>2018-2928</v>
      </c>
      <c r="C2063" s="2" t="s">
        <v>1123</v>
      </c>
      <c r="D2063" s="1" t="s">
        <v>1026</v>
      </c>
      <c r="E2063" s="3" t="str">
        <f>""</f>
        <v/>
      </c>
      <c r="F2063" s="2" t="s">
        <v>27</v>
      </c>
      <c r="G2063" s="2" t="str">
        <f>CONCATENATE("THYSSENKRUPP DIZALA D.O.O.,"," FALLEROVO ŠETALIŠTE 22,"," 10000 ZAGREB,"," OIB: 03861531654")</f>
        <v>THYSSENKRUPP DIZALA D.O.O., FALLEROVO ŠETALIŠTE 22, 10000 ZAGREB, OIB: 03861531654</v>
      </c>
      <c r="H2063" s="4"/>
      <c r="I2063" s="1" t="s">
        <v>394</v>
      </c>
      <c r="J2063" s="1" t="s">
        <v>121</v>
      </c>
      <c r="K2063" s="6" t="str">
        <f>"1.720,00"</f>
        <v>1.720,00</v>
      </c>
      <c r="L2063" s="6" t="str">
        <f>"430,00"</f>
        <v>430,00</v>
      </c>
      <c r="M2063" s="6" t="str">
        <f>"2.150,00"</f>
        <v>2.150,00</v>
      </c>
      <c r="N2063" s="5">
        <v>43564</v>
      </c>
      <c r="O2063" s="7"/>
      <c r="P2063" s="6" t="str">
        <f>"2.150,00"</f>
        <v>2.150,00</v>
      </c>
      <c r="Q2063" s="7"/>
      <c r="R2063" s="1"/>
      <c r="S2063" s="1" t="str">
        <f>"2-19/NOS-41-A/18"</f>
        <v>2-19/NOS-41-A/18</v>
      </c>
      <c r="T2063" s="2" t="s">
        <v>65</v>
      </c>
    </row>
    <row r="2064" spans="1:20" ht="38.25" x14ac:dyDescent="0.25">
      <c r="A2064" s="1">
        <v>2060</v>
      </c>
      <c r="B2064" s="1" t="str">
        <f t="shared" si="200"/>
        <v>2018-2928</v>
      </c>
      <c r="C2064" s="2" t="s">
        <v>1123</v>
      </c>
      <c r="D2064" s="1" t="s">
        <v>1026</v>
      </c>
      <c r="E2064" s="3" t="str">
        <f>""</f>
        <v/>
      </c>
      <c r="F2064" s="2" t="s">
        <v>27</v>
      </c>
      <c r="G2064" s="2" t="str">
        <f>CONCATENATE("THYSSENKRUPP DIZALA D.O.O.,"," FALLEROVO ŠETALIŠTE 22,"," 10000 ZAGREB,"," OIB: 03861531654")</f>
        <v>THYSSENKRUPP DIZALA D.O.O., FALLEROVO ŠETALIŠTE 22, 10000 ZAGREB, OIB: 03861531654</v>
      </c>
      <c r="H2064" s="4"/>
      <c r="I2064" s="1" t="s">
        <v>637</v>
      </c>
      <c r="J2064" s="1" t="s">
        <v>121</v>
      </c>
      <c r="K2064" s="6" t="str">
        <f>"7.390,00"</f>
        <v>7.390,00</v>
      </c>
      <c r="L2064" s="6" t="str">
        <f>"1.847,50"</f>
        <v>1.847,50</v>
      </c>
      <c r="M2064" s="6" t="str">
        <f>"9.237,50"</f>
        <v>9.237,50</v>
      </c>
      <c r="N2064" s="5">
        <v>43620</v>
      </c>
      <c r="O2064" s="7"/>
      <c r="P2064" s="6" t="str">
        <f>"9.237,50"</f>
        <v>9.237,50</v>
      </c>
      <c r="Q2064" s="7"/>
      <c r="R2064" s="1"/>
      <c r="S2064" s="1" t="str">
        <f>"3-19/NOS-41-A/18"</f>
        <v>3-19/NOS-41-A/18</v>
      </c>
      <c r="T2064" s="2" t="s">
        <v>65</v>
      </c>
    </row>
    <row r="2065" spans="1:20" ht="38.25" x14ac:dyDescent="0.25">
      <c r="A2065" s="1">
        <v>2061</v>
      </c>
      <c r="B2065" s="1" t="str">
        <f t="shared" si="200"/>
        <v>2018-2928</v>
      </c>
      <c r="C2065" s="2" t="s">
        <v>1123</v>
      </c>
      <c r="D2065" s="1" t="s">
        <v>1026</v>
      </c>
      <c r="E2065" s="3" t="str">
        <f>""</f>
        <v/>
      </c>
      <c r="F2065" s="2" t="s">
        <v>27</v>
      </c>
      <c r="G2065" s="2" t="str">
        <f>CONCATENATE("THYSSENKRUPP DIZALA D.O.O.,"," FALLEROVO ŠETALIŠTE 22,"," 10000 ZAGREB,"," OIB: 03861531654")</f>
        <v>THYSSENKRUPP DIZALA D.O.O., FALLEROVO ŠETALIŠTE 22, 10000 ZAGREB, OIB: 03861531654</v>
      </c>
      <c r="H2065" s="4"/>
      <c r="I2065" s="1" t="s">
        <v>590</v>
      </c>
      <c r="J2065" s="1" t="s">
        <v>469</v>
      </c>
      <c r="K2065" s="6" t="str">
        <f>"3.900,00"</f>
        <v>3.900,00</v>
      </c>
      <c r="L2065" s="6" t="str">
        <f>"0,00"</f>
        <v>0,00</v>
      </c>
      <c r="M2065" s="6" t="str">
        <f>"0,00"</f>
        <v>0,00</v>
      </c>
      <c r="N2065" s="1" t="s">
        <v>117</v>
      </c>
      <c r="O2065" s="7"/>
      <c r="P2065" s="6" t="str">
        <f>"0,00"</f>
        <v>0,00</v>
      </c>
      <c r="Q2065" s="7"/>
      <c r="R2065" s="1"/>
      <c r="S2065" s="1" t="str">
        <f>"4-19/NOS-41-A/18"</f>
        <v>4-19/NOS-41-A/18</v>
      </c>
      <c r="T2065" s="2" t="s">
        <v>65</v>
      </c>
    </row>
    <row r="2066" spans="1:20" ht="63.75" x14ac:dyDescent="0.25">
      <c r="A2066" s="1">
        <v>2062</v>
      </c>
      <c r="B2066" s="1" t="str">
        <f t="shared" si="200"/>
        <v>2018-2928</v>
      </c>
      <c r="C2066" s="2" t="s">
        <v>1123</v>
      </c>
      <c r="D2066" s="1" t="s">
        <v>1026</v>
      </c>
      <c r="E2066" s="3" t="str">
        <f>"2018/S 0F2-0012619"</f>
        <v>2018/S 0F2-0012619</v>
      </c>
      <c r="F2066" s="2" t="s">
        <v>23</v>
      </c>
      <c r="G2066" s="2" t="str">
        <f>CONCATENATE("OTIS DIZALA D.O.O.,"," PRILAZ VLADISLAVA BRAJKOVIĆA 15,"," 10000 ZAGREB,"," OIB: 76080865307",CHAR(10),"KONE d.o.o.,"," ZAGREBAČKA CESTA 145A/III,"," 10000 ZAGREB,"," OIB: 15526597734")</f>
        <v>OTIS DIZALA D.O.O., PRILAZ VLADISLAVA BRAJKOVIĆA 15, 10000 ZAGREB, OIB: 76080865307
KONE d.o.o., ZAGREBAČKA CESTA 145A/III, 10000 ZAGREB, OIB: 15526597734</v>
      </c>
      <c r="H2066" s="4"/>
      <c r="I2066" s="1" t="s">
        <v>1124</v>
      </c>
      <c r="J2066" s="1" t="s">
        <v>1125</v>
      </c>
      <c r="K2066" s="6" t="str">
        <f>"250.000,00"</f>
        <v>250.000,00</v>
      </c>
      <c r="L2066" s="6" t="str">
        <f>"62.500,00"</f>
        <v>62.500,00</v>
      </c>
      <c r="M2066" s="6" t="str">
        <f>"312.500,00"</f>
        <v>312.500,00</v>
      </c>
      <c r="N2066" s="7"/>
      <c r="O2066" s="7"/>
      <c r="P2066" s="6" t="str">
        <f>""</f>
        <v/>
      </c>
      <c r="Q2066" s="7"/>
      <c r="R2066" s="1"/>
      <c r="S2066" s="1" t="str">
        <f>"NOS-41-B/18"</f>
        <v>NOS-41-B/18</v>
      </c>
      <c r="T2066" s="2" t="s">
        <v>65</v>
      </c>
    </row>
    <row r="2067" spans="1:20" ht="38.25" x14ac:dyDescent="0.25">
      <c r="A2067" s="1">
        <v>2063</v>
      </c>
      <c r="B2067" s="1" t="str">
        <f t="shared" si="200"/>
        <v>2018-2928</v>
      </c>
      <c r="C2067" s="2" t="s">
        <v>1123</v>
      </c>
      <c r="D2067" s="4"/>
      <c r="E2067" s="3" t="str">
        <f>""</f>
        <v/>
      </c>
      <c r="F2067" s="2" t="s">
        <v>27</v>
      </c>
      <c r="G2067" s="2" t="str">
        <f>CONCATENATE("OTIS DIZALA D.O.O.,"," PRILAZ VLADISLAVA BRAJKOVIĆA 15,"," 10000 ZAGREB,"," OIB: 76080865307")</f>
        <v>OTIS DIZALA D.O.O., PRILAZ VLADISLAVA BRAJKOVIĆA 15, 10000 ZAGREB, OIB: 76080865307</v>
      </c>
      <c r="H2067" s="4"/>
      <c r="I2067" s="1" t="s">
        <v>138</v>
      </c>
      <c r="J2067" s="1" t="s">
        <v>587</v>
      </c>
      <c r="K2067" s="6" t="str">
        <f>"12.960,00"</f>
        <v>12.960,00</v>
      </c>
      <c r="L2067" s="6" t="str">
        <f>"3.240,00"</f>
        <v>3.240,00</v>
      </c>
      <c r="M2067" s="6" t="str">
        <f>"16.200,00"</f>
        <v>16.200,00</v>
      </c>
      <c r="N2067" s="5">
        <v>43619</v>
      </c>
      <c r="O2067" s="7"/>
      <c r="P2067" s="6" t="str">
        <f>"6.750,00"</f>
        <v>6.750,00</v>
      </c>
      <c r="Q2067" s="7"/>
      <c r="R2067" s="1"/>
      <c r="S2067" s="1" t="str">
        <f>"1-18/NOS-41-B/18"</f>
        <v>1-18/NOS-41-B/18</v>
      </c>
      <c r="T2067" s="2" t="s">
        <v>65</v>
      </c>
    </row>
    <row r="2068" spans="1:20" ht="38.25" x14ac:dyDescent="0.25">
      <c r="A2068" s="1">
        <v>2064</v>
      </c>
      <c r="B2068" s="1" t="str">
        <f t="shared" si="200"/>
        <v>2018-2928</v>
      </c>
      <c r="C2068" s="2" t="s">
        <v>1123</v>
      </c>
      <c r="D2068" s="1" t="s">
        <v>1026</v>
      </c>
      <c r="E2068" s="3" t="str">
        <f>""</f>
        <v/>
      </c>
      <c r="F2068" s="2" t="s">
        <v>27</v>
      </c>
      <c r="G2068" s="2" t="str">
        <f>CONCATENATE("OTIS DIZALA D.O.O.,"," PRILAZ VLADISLAVA BRAJKOVIĆA 15,"," 10000 ZAGREB,"," OIB: 76080865307")</f>
        <v>OTIS DIZALA D.O.O., PRILAZ VLADISLAVA BRAJKOVIĆA 15, 10000 ZAGREB, OIB: 76080865307</v>
      </c>
      <c r="H2068" s="4"/>
      <c r="I2068" s="1" t="s">
        <v>311</v>
      </c>
      <c r="J2068" s="1" t="s">
        <v>588</v>
      </c>
      <c r="K2068" s="6" t="str">
        <f>"1.150,00"</f>
        <v>1.150,00</v>
      </c>
      <c r="L2068" s="6" t="str">
        <f>"287,50"</f>
        <v>287,50</v>
      </c>
      <c r="M2068" s="6" t="str">
        <f>"1.437,50"</f>
        <v>1.437,50</v>
      </c>
      <c r="N2068" s="5">
        <v>43580</v>
      </c>
      <c r="O2068" s="7"/>
      <c r="P2068" s="6" t="str">
        <f>"1.437,50"</f>
        <v>1.437,50</v>
      </c>
      <c r="Q2068" s="7"/>
      <c r="R2068" s="1"/>
      <c r="S2068" s="1" t="str">
        <f>"1-19/NOS-41-B/18"</f>
        <v>1-19/NOS-41-B/18</v>
      </c>
      <c r="T2068" s="2" t="s">
        <v>65</v>
      </c>
    </row>
    <row r="2069" spans="1:20" ht="51" x14ac:dyDescent="0.25">
      <c r="A2069" s="1">
        <v>2065</v>
      </c>
      <c r="B2069" s="1" t="str">
        <f>"2018-1834"</f>
        <v>2018-1834</v>
      </c>
      <c r="C2069" s="2" t="s">
        <v>1126</v>
      </c>
      <c r="D2069" s="1" t="s">
        <v>223</v>
      </c>
      <c r="E2069" s="3" t="str">
        <f>"2018/S 0F2-0017739"</f>
        <v>2018/S 0F2-0017739</v>
      </c>
      <c r="F2069" s="2" t="s">
        <v>23</v>
      </c>
      <c r="G2069" s="2" t="str">
        <f>CONCATENATE("LIBUSOFT CICOM,"," REMETINEČKA CESTA 7a,"," 10000 ZAGREB,"," OIB: 1450657254")</f>
        <v>LIBUSOFT CICOM, REMETINEČKA CESTA 7a, 10000 ZAGREB, OIB: 1450657254</v>
      </c>
      <c r="H2069" s="4"/>
      <c r="I2069" s="1" t="s">
        <v>63</v>
      </c>
      <c r="J2069" s="1" t="s">
        <v>1127</v>
      </c>
      <c r="K2069" s="6" t="str">
        <f>"3.600.000,00"</f>
        <v>3.600.000,00</v>
      </c>
      <c r="L2069" s="6" t="str">
        <f>"900.000,00"</f>
        <v>900.000,00</v>
      </c>
      <c r="M2069" s="6" t="str">
        <f>"4.500.000,00"</f>
        <v>4.500.000,00</v>
      </c>
      <c r="N2069" s="7"/>
      <c r="O2069" s="7"/>
      <c r="P2069" s="6" t="str">
        <f>""</f>
        <v/>
      </c>
      <c r="Q2069" s="7"/>
      <c r="R2069" s="1"/>
      <c r="S2069" s="1" t="str">
        <f>"NOS-42/18"</f>
        <v>NOS-42/18</v>
      </c>
      <c r="T2069" s="2" t="s">
        <v>65</v>
      </c>
    </row>
    <row r="2070" spans="1:20" ht="51" x14ac:dyDescent="0.25">
      <c r="A2070" s="1">
        <v>2066</v>
      </c>
      <c r="B2070" s="1" t="str">
        <f>"2018-1834"</f>
        <v>2018-1834</v>
      </c>
      <c r="C2070" s="2" t="s">
        <v>1126</v>
      </c>
      <c r="D2070" s="1" t="s">
        <v>223</v>
      </c>
      <c r="E2070" s="3" t="str">
        <f>""</f>
        <v/>
      </c>
      <c r="F2070" s="2" t="s">
        <v>27</v>
      </c>
      <c r="G2070" s="2" t="str">
        <f>CONCATENATE("LIBUSOFT CICOM,"," REMETINEČKA CESTA 7a,"," 10000 ZAGREB,"," OIB: 1450657254")</f>
        <v>LIBUSOFT CICOM, REMETINEČKA CESTA 7a, 10000 ZAGREB, OIB: 1450657254</v>
      </c>
      <c r="H2070" s="4"/>
      <c r="I2070" s="1" t="s">
        <v>240</v>
      </c>
      <c r="J2070" s="1" t="s">
        <v>45</v>
      </c>
      <c r="K2070" s="6" t="str">
        <f>"890.000,00"</f>
        <v>890.000,00</v>
      </c>
      <c r="L2070" s="6" t="str">
        <f>"222.500,00"</f>
        <v>222.500,00</v>
      </c>
      <c r="M2070" s="6" t="str">
        <f>"1.112.500,00"</f>
        <v>1.112.500,00</v>
      </c>
      <c r="N2070" s="5">
        <v>43699</v>
      </c>
      <c r="O2070" s="7"/>
      <c r="P2070" s="6" t="str">
        <f>"399.625,00"</f>
        <v>399.625,00</v>
      </c>
      <c r="Q2070" s="7"/>
      <c r="R2070" s="1"/>
      <c r="S2070" s="1" t="str">
        <f>"1-19/NOS-42/18"</f>
        <v>1-19/NOS-42/18</v>
      </c>
      <c r="T2070" s="2" t="s">
        <v>65</v>
      </c>
    </row>
    <row r="2071" spans="1:20" ht="51" x14ac:dyDescent="0.25">
      <c r="A2071" s="1">
        <v>2067</v>
      </c>
      <c r="B2071" s="1" t="str">
        <f t="shared" ref="B2071:B2078" si="201">"2018-2860"</f>
        <v>2018-2860</v>
      </c>
      <c r="C2071" s="2" t="s">
        <v>358</v>
      </c>
      <c r="D2071" s="1" t="s">
        <v>359</v>
      </c>
      <c r="E2071" s="3" t="str">
        <f>"2018/S 0F2-0018692"</f>
        <v>2018/S 0F2-0018692</v>
      </c>
      <c r="F2071" s="2" t="s">
        <v>23</v>
      </c>
      <c r="G2071" s="2" t="s">
        <v>360</v>
      </c>
      <c r="H2071" s="4"/>
      <c r="I2071" s="1" t="s">
        <v>392</v>
      </c>
      <c r="J2071" s="1" t="s">
        <v>1128</v>
      </c>
      <c r="K2071" s="6" t="str">
        <f>"12.000.000,00"</f>
        <v>12.000.000,00</v>
      </c>
      <c r="L2071" s="6" t="str">
        <f>"3.000.000,00"</f>
        <v>3.000.000,00</v>
      </c>
      <c r="M2071" s="6" t="str">
        <f>"15.000.000,00"</f>
        <v>15.000.000,00</v>
      </c>
      <c r="N2071" s="7"/>
      <c r="O2071" s="7"/>
      <c r="P2071" s="6" t="str">
        <f>""</f>
        <v/>
      </c>
      <c r="Q2071" s="7"/>
      <c r="R2071" s="1"/>
      <c r="S2071" s="1" t="str">
        <f>"NOS-43-A/18"</f>
        <v>NOS-43-A/18</v>
      </c>
      <c r="T2071" s="2" t="s">
        <v>33</v>
      </c>
    </row>
    <row r="2072" spans="1:20" ht="51" x14ac:dyDescent="0.25">
      <c r="A2072" s="1">
        <v>2068</v>
      </c>
      <c r="B2072" s="1" t="str">
        <f t="shared" si="201"/>
        <v>2018-2860</v>
      </c>
      <c r="C2072" s="2" t="s">
        <v>358</v>
      </c>
      <c r="D2072" s="1" t="s">
        <v>359</v>
      </c>
      <c r="E2072" s="3" t="str">
        <f>""</f>
        <v/>
      </c>
      <c r="F2072" s="2" t="s">
        <v>27</v>
      </c>
      <c r="G2072" s="2" t="s">
        <v>360</v>
      </c>
      <c r="H2072" s="4"/>
      <c r="I2072" s="1" t="s">
        <v>1129</v>
      </c>
      <c r="J2072" s="1" t="s">
        <v>64</v>
      </c>
      <c r="K2072" s="6" t="str">
        <f>"1.782.000,00"</f>
        <v>1.782.000,00</v>
      </c>
      <c r="L2072" s="6" t="str">
        <f>"445.500,00"</f>
        <v>445.500,00</v>
      </c>
      <c r="M2072" s="6" t="str">
        <f>"2.227.500,00"</f>
        <v>2.227.500,00</v>
      </c>
      <c r="N2072" s="5">
        <v>43474</v>
      </c>
      <c r="O2072" s="7"/>
      <c r="P2072" s="6" t="str">
        <f>"2.226.640,00"</f>
        <v>2.226.640,00</v>
      </c>
      <c r="Q2072" s="7"/>
      <c r="R2072" s="1"/>
      <c r="S2072" s="1" t="str">
        <f>"1-18/NOS-43-A/18"</f>
        <v>1-18/NOS-43-A/18</v>
      </c>
      <c r="T2072" s="2" t="s">
        <v>33</v>
      </c>
    </row>
    <row r="2073" spans="1:20" ht="51" x14ac:dyDescent="0.25">
      <c r="A2073" s="1">
        <v>2069</v>
      </c>
      <c r="B2073" s="1" t="str">
        <f t="shared" si="201"/>
        <v>2018-2860</v>
      </c>
      <c r="C2073" s="2" t="s">
        <v>358</v>
      </c>
      <c r="D2073" s="4"/>
      <c r="E2073" s="3" t="str">
        <f>""</f>
        <v/>
      </c>
      <c r="F2073" s="2" t="s">
        <v>27</v>
      </c>
      <c r="G2073" s="2" t="s">
        <v>360</v>
      </c>
      <c r="H2073" s="4"/>
      <c r="I2073" s="1" t="s">
        <v>930</v>
      </c>
      <c r="J2073" s="1" t="s">
        <v>397</v>
      </c>
      <c r="K2073" s="6" t="str">
        <f>"4.950.000,00"</f>
        <v>4.950.000,00</v>
      </c>
      <c r="L2073" s="6" t="str">
        <f>"1.237.500,00"</f>
        <v>1.237.500,00</v>
      </c>
      <c r="M2073" s="6" t="str">
        <f>"6.187.500,00"</f>
        <v>6.187.500,00</v>
      </c>
      <c r="N2073" s="5">
        <v>43714</v>
      </c>
      <c r="O2073" s="7"/>
      <c r="P2073" s="6" t="str">
        <f>"3.049.447,50"</f>
        <v>3.049.447,50</v>
      </c>
      <c r="Q2073" s="7"/>
      <c r="R2073" s="1"/>
      <c r="S2073" s="1" t="str">
        <f>"4-19/NOS-43-A/18"</f>
        <v>4-19/NOS-43-A/18</v>
      </c>
      <c r="T2073" s="2" t="s">
        <v>33</v>
      </c>
    </row>
    <row r="2074" spans="1:20" ht="51" x14ac:dyDescent="0.25">
      <c r="A2074" s="1">
        <v>2070</v>
      </c>
      <c r="B2074" s="1" t="str">
        <f t="shared" si="201"/>
        <v>2018-2860</v>
      </c>
      <c r="C2074" s="2" t="s">
        <v>358</v>
      </c>
      <c r="D2074" s="1" t="s">
        <v>359</v>
      </c>
      <c r="E2074" s="3" t="str">
        <f>""</f>
        <v/>
      </c>
      <c r="F2074" s="2" t="s">
        <v>27</v>
      </c>
      <c r="G2074" s="2" t="s">
        <v>360</v>
      </c>
      <c r="H2074" s="4"/>
      <c r="I2074" s="1" t="s">
        <v>195</v>
      </c>
      <c r="J2074" s="4"/>
      <c r="K2074" s="6" t="str">
        <f>"2.999.898,00"</f>
        <v>2.999.898,00</v>
      </c>
      <c r="L2074" s="6" t="str">
        <f>"744.184,25"</f>
        <v>744.184,25</v>
      </c>
      <c r="M2074" s="6" t="str">
        <f>"3.720.921,25"</f>
        <v>3.720.921,25</v>
      </c>
      <c r="N2074" s="5">
        <v>43629</v>
      </c>
      <c r="O2074" s="7"/>
      <c r="P2074" s="6" t="str">
        <f>"3.720.921,25"</f>
        <v>3.720.921,25</v>
      </c>
      <c r="Q2074" s="7"/>
      <c r="R2074" s="1"/>
      <c r="S2074" s="1" t="str">
        <f>"3-19/NOS-43-A/18"</f>
        <v>3-19/NOS-43-A/18</v>
      </c>
      <c r="T2074" s="2" t="s">
        <v>33</v>
      </c>
    </row>
    <row r="2075" spans="1:20" ht="51" x14ac:dyDescent="0.25">
      <c r="A2075" s="1">
        <v>2071</v>
      </c>
      <c r="B2075" s="1" t="str">
        <f t="shared" si="201"/>
        <v>2018-2860</v>
      </c>
      <c r="C2075" s="2" t="s">
        <v>358</v>
      </c>
      <c r="D2075" s="1" t="s">
        <v>359</v>
      </c>
      <c r="E2075" s="3" t="str">
        <f>"2018/S 0F2-0018692"</f>
        <v>2018/S 0F2-0018692</v>
      </c>
      <c r="F2075" s="2" t="s">
        <v>23</v>
      </c>
      <c r="G2075" s="2" t="s">
        <v>360</v>
      </c>
      <c r="H2075" s="4"/>
      <c r="I2075" s="1" t="s">
        <v>392</v>
      </c>
      <c r="J2075" s="1" t="s">
        <v>1128</v>
      </c>
      <c r="K2075" s="6" t="str">
        <f>"35.000.000,00"</f>
        <v>35.000.000,00</v>
      </c>
      <c r="L2075" s="6" t="str">
        <f>"8.750.000,00"</f>
        <v>8.750.000,00</v>
      </c>
      <c r="M2075" s="6" t="str">
        <f>"43.750.000,00"</f>
        <v>43.750.000,00</v>
      </c>
      <c r="N2075" s="7"/>
      <c r="O2075" s="7"/>
      <c r="P2075" s="6" t="str">
        <f>""</f>
        <v/>
      </c>
      <c r="Q2075" s="7"/>
      <c r="R2075" s="1"/>
      <c r="S2075" s="1" t="str">
        <f>"NOS-43-B/18"</f>
        <v>NOS-43-B/18</v>
      </c>
      <c r="T2075" s="2" t="s">
        <v>33</v>
      </c>
    </row>
    <row r="2076" spans="1:20" ht="51" x14ac:dyDescent="0.25">
      <c r="A2076" s="1">
        <v>2072</v>
      </c>
      <c r="B2076" s="1" t="str">
        <f t="shared" si="201"/>
        <v>2018-2860</v>
      </c>
      <c r="C2076" s="2" t="s">
        <v>358</v>
      </c>
      <c r="D2076" s="1" t="s">
        <v>359</v>
      </c>
      <c r="E2076" s="3" t="str">
        <f>""</f>
        <v/>
      </c>
      <c r="F2076" s="2" t="s">
        <v>27</v>
      </c>
      <c r="G2076" s="2" t="s">
        <v>360</v>
      </c>
      <c r="H2076" s="4"/>
      <c r="I2076" s="1" t="s">
        <v>1129</v>
      </c>
      <c r="J2076" s="1" t="s">
        <v>64</v>
      </c>
      <c r="K2076" s="6" t="str">
        <f>"2.708.480,00"</f>
        <v>2.708.480,00</v>
      </c>
      <c r="L2076" s="6" t="str">
        <f>"677.120,00"</f>
        <v>677.120,00</v>
      </c>
      <c r="M2076" s="6" t="str">
        <f>"3.385.600,00"</f>
        <v>3.385.600,00</v>
      </c>
      <c r="N2076" s="5">
        <v>43516</v>
      </c>
      <c r="O2076" s="7"/>
      <c r="P2076" s="6" t="str">
        <f>"3.426.212,88"</f>
        <v>3.426.212,88</v>
      </c>
      <c r="Q2076" s="7"/>
      <c r="R2076" s="1"/>
      <c r="S2076" s="1" t="str">
        <f>"1-18/NOS-43-B/18"</f>
        <v>1-18/NOS-43-B/18</v>
      </c>
      <c r="T2076" s="2" t="s">
        <v>33</v>
      </c>
    </row>
    <row r="2077" spans="1:20" ht="51" x14ac:dyDescent="0.25">
      <c r="A2077" s="1">
        <v>2073</v>
      </c>
      <c r="B2077" s="1" t="str">
        <f t="shared" si="201"/>
        <v>2018-2860</v>
      </c>
      <c r="C2077" s="2" t="s">
        <v>358</v>
      </c>
      <c r="D2077" s="4"/>
      <c r="E2077" s="3" t="str">
        <f>""</f>
        <v/>
      </c>
      <c r="F2077" s="2" t="s">
        <v>27</v>
      </c>
      <c r="G2077" s="2" t="s">
        <v>360</v>
      </c>
      <c r="H2077" s="4"/>
      <c r="I2077" s="1" t="s">
        <v>638</v>
      </c>
      <c r="J2077" s="1" t="s">
        <v>397</v>
      </c>
      <c r="K2077" s="6" t="str">
        <f>"10.963.600,00"</f>
        <v>10.963.600,00</v>
      </c>
      <c r="L2077" s="6" t="str">
        <f>"2.740.900,00"</f>
        <v>2.740.900,00</v>
      </c>
      <c r="M2077" s="6" t="str">
        <f>"13.704.500,00"</f>
        <v>13.704.500,00</v>
      </c>
      <c r="N2077" s="5">
        <v>43714</v>
      </c>
      <c r="O2077" s="7"/>
      <c r="P2077" s="6" t="str">
        <f>"6.404.525,52"</f>
        <v>6.404.525,52</v>
      </c>
      <c r="Q2077" s="7"/>
      <c r="R2077" s="1"/>
      <c r="S2077" s="1" t="str">
        <f>"4-19/NOS-43-B/18"</f>
        <v>4-19/NOS-43-B/18</v>
      </c>
      <c r="T2077" s="2" t="s">
        <v>33</v>
      </c>
    </row>
    <row r="2078" spans="1:20" ht="51" x14ac:dyDescent="0.25">
      <c r="A2078" s="1">
        <v>2074</v>
      </c>
      <c r="B2078" s="1" t="str">
        <f t="shared" si="201"/>
        <v>2018-2860</v>
      </c>
      <c r="C2078" s="2" t="s">
        <v>358</v>
      </c>
      <c r="D2078" s="1" t="s">
        <v>359</v>
      </c>
      <c r="E2078" s="3" t="str">
        <f>""</f>
        <v/>
      </c>
      <c r="F2078" s="2" t="s">
        <v>27</v>
      </c>
      <c r="G2078" s="2" t="s">
        <v>360</v>
      </c>
      <c r="H2078" s="4"/>
      <c r="I2078" s="1" t="s">
        <v>254</v>
      </c>
      <c r="J2078" s="1" t="s">
        <v>492</v>
      </c>
      <c r="K2078" s="6" t="str">
        <f>"3.999.660,00"</f>
        <v>3.999.660,00</v>
      </c>
      <c r="L2078" s="6" t="str">
        <f>"1.000.363,53"</f>
        <v>1.000.363,53</v>
      </c>
      <c r="M2078" s="6" t="str">
        <f>"5.001.817,65"</f>
        <v>5.001.817,65</v>
      </c>
      <c r="N2078" s="5">
        <v>43602</v>
      </c>
      <c r="O2078" s="7"/>
      <c r="P2078" s="6" t="str">
        <f>"5.001.817,65"</f>
        <v>5.001.817,65</v>
      </c>
      <c r="Q2078" s="7"/>
      <c r="R2078" s="1"/>
      <c r="S2078" s="1" t="str">
        <f>"3-19/NOS-43-B/18"</f>
        <v>3-19/NOS-43-B/18</v>
      </c>
      <c r="T2078" s="2" t="s">
        <v>33</v>
      </c>
    </row>
    <row r="2079" spans="1:20" ht="102" x14ac:dyDescent="0.25">
      <c r="A2079" s="1">
        <v>2075</v>
      </c>
      <c r="B2079" s="1" t="str">
        <f>"2018-2817"</f>
        <v>2018-2817</v>
      </c>
      <c r="C2079" s="2" t="s">
        <v>1130</v>
      </c>
      <c r="D2079" s="1" t="s">
        <v>1131</v>
      </c>
      <c r="E2079" s="3" t="str">
        <f>"2018/S 0F2-0020084"</f>
        <v>2018/S 0F2-0020084</v>
      </c>
      <c r="F2079" s="2" t="s">
        <v>23</v>
      </c>
      <c r="G2079" s="2" t="str">
        <f>CONCATENATE("HEP-OPSKRBA D.O.O.,"," ULICA GRADA VUKOVARA 37,"," 10000 ZAGREB,"," OIB: 63073332379")</f>
        <v>HEP-OPSKRBA D.O.O., ULICA GRADA VUKOVARA 37, 10000 ZAGREB, OIB: 63073332379</v>
      </c>
      <c r="H2079" s="4"/>
      <c r="I2079" s="1" t="s">
        <v>1109</v>
      </c>
      <c r="J2079" s="1" t="s">
        <v>1110</v>
      </c>
      <c r="K2079" s="6" t="str">
        <f>"215.100.000,00"</f>
        <v>215.100.000,00</v>
      </c>
      <c r="L2079" s="6" t="str">
        <f>"53.775.000,00"</f>
        <v>53.775.000,00</v>
      </c>
      <c r="M2079" s="6" t="str">
        <f>"268.875.000,00"</f>
        <v>268.875.000,00</v>
      </c>
      <c r="N2079" s="7"/>
      <c r="O2079" s="7"/>
      <c r="P2079" s="6" t="str">
        <f>""</f>
        <v/>
      </c>
      <c r="Q2079" s="7"/>
      <c r="R2079" s="1"/>
      <c r="S2079" s="1" t="str">
        <f>"NOS-44-ZGH/18"</f>
        <v>NOS-44-ZGH/18</v>
      </c>
      <c r="T2079" s="2" t="s">
        <v>215</v>
      </c>
    </row>
    <row r="2080" spans="1:20" ht="38.25" x14ac:dyDescent="0.25">
      <c r="A2080" s="1">
        <v>2076</v>
      </c>
      <c r="B2080" s="1" t="str">
        <f>"2018-2817"</f>
        <v>2018-2817</v>
      </c>
      <c r="C2080" s="2" t="s">
        <v>1130</v>
      </c>
      <c r="D2080" s="1" t="s">
        <v>1131</v>
      </c>
      <c r="E2080" s="3" t="str">
        <f>""</f>
        <v/>
      </c>
      <c r="F2080" s="2" t="s">
        <v>27</v>
      </c>
      <c r="G2080" s="2" t="str">
        <f>CONCATENATE("HEP-OPSKRBA D.O.O.,"," ULICA GRADA VUKOVARA 37,"," 10000 ZAGREB,"," OIB: 63073332379")</f>
        <v>HEP-OPSKRBA D.O.O., ULICA GRADA VUKOVARA 37, 10000 ZAGREB, OIB: 63073332379</v>
      </c>
      <c r="H2080" s="4"/>
      <c r="I2080" s="1" t="s">
        <v>441</v>
      </c>
      <c r="J2080" s="1" t="s">
        <v>397</v>
      </c>
      <c r="K2080" s="6" t="str">
        <f>"22.679.200,01"</f>
        <v>22.679.200,01</v>
      </c>
      <c r="L2080" s="6" t="str">
        <f>"5.669.800,00"</f>
        <v>5.669.800,00</v>
      </c>
      <c r="M2080" s="6" t="str">
        <f>"28.349.000,01"</f>
        <v>28.349.000,01</v>
      </c>
      <c r="N2080" s="5">
        <v>43830</v>
      </c>
      <c r="O2080" s="7"/>
      <c r="P2080" s="6" t="str">
        <f>"12.816.268,60"</f>
        <v>12.816.268,60</v>
      </c>
      <c r="Q2080" s="7"/>
      <c r="R2080" s="1"/>
      <c r="S2080" s="1" t="str">
        <f>"2-18/NOS-44-ZGH/18"</f>
        <v>2-18/NOS-44-ZGH/18</v>
      </c>
      <c r="T2080" s="2" t="s">
        <v>33</v>
      </c>
    </row>
    <row r="2081" spans="1:20" ht="38.25" x14ac:dyDescent="0.25">
      <c r="A2081" s="1">
        <v>2077</v>
      </c>
      <c r="B2081" s="1" t="str">
        <f>"2018-2817"</f>
        <v>2018-2817</v>
      </c>
      <c r="C2081" s="2" t="s">
        <v>1130</v>
      </c>
      <c r="D2081" s="1" t="s">
        <v>1131</v>
      </c>
      <c r="E2081" s="3" t="str">
        <f>""</f>
        <v/>
      </c>
      <c r="F2081" s="2" t="s">
        <v>27</v>
      </c>
      <c r="G2081" s="2" t="str">
        <f>CONCATENATE("HEP-OPSKRBA D.O.O.,"," ULICA GRADA VUKOVARA 37,"," 10000 ZAGREB,"," OIB: 63073332379")</f>
        <v>HEP-OPSKRBA D.O.O., ULICA GRADA VUKOVARA 37, 10000 ZAGREB, OIB: 63073332379</v>
      </c>
      <c r="H2081" s="4"/>
      <c r="I2081" s="1" t="s">
        <v>455</v>
      </c>
      <c r="J2081" s="1" t="s">
        <v>121</v>
      </c>
      <c r="K2081" s="6" t="str">
        <f>"2.190,05"</f>
        <v>2.190,05</v>
      </c>
      <c r="L2081" s="6" t="str">
        <f>"547,51"</f>
        <v>547,51</v>
      </c>
      <c r="M2081" s="6" t="str">
        <f>"2.737,56"</f>
        <v>2.737,56</v>
      </c>
      <c r="N2081" s="5">
        <v>43585</v>
      </c>
      <c r="O2081" s="7"/>
      <c r="P2081" s="6" t="str">
        <f>"2.737,56"</f>
        <v>2.737,56</v>
      </c>
      <c r="Q2081" s="7"/>
      <c r="R2081" s="19"/>
      <c r="S2081" s="1" t="str">
        <f>"1-19/NOS-44-ZGH/18"</f>
        <v>1-19/NOS-44-ZGH/18</v>
      </c>
      <c r="T2081" s="2" t="s">
        <v>112</v>
      </c>
    </row>
    <row r="2082" spans="1:20" ht="38.25" x14ac:dyDescent="0.25">
      <c r="A2082" s="1">
        <v>2078</v>
      </c>
      <c r="B2082" s="1" t="str">
        <f t="shared" ref="B2082:B2096" si="202">"2018-2777"</f>
        <v>2018-2777</v>
      </c>
      <c r="C2082" s="2" t="s">
        <v>1132</v>
      </c>
      <c r="D2082" s="1" t="s">
        <v>1133</v>
      </c>
      <c r="E2082" s="3" t="str">
        <f>"2018/S 0F2-0019724"</f>
        <v>2018/S 0F2-0019724</v>
      </c>
      <c r="F2082" s="2" t="s">
        <v>23</v>
      </c>
      <c r="G2082" s="2" t="str">
        <f>CONCATENATE("IDEAL PLUS D.O.O.,"," PRIGORNICA 2,"," 10090 ZAGREB-SUSEDGRAD,"," OIB: 56180940412")</f>
        <v>IDEAL PLUS D.O.O., PRIGORNICA 2, 10090 ZAGREB-SUSEDGRAD, OIB: 56180940412</v>
      </c>
      <c r="H2082" s="4"/>
      <c r="I2082" s="1" t="s">
        <v>1134</v>
      </c>
      <c r="J2082" s="1" t="s">
        <v>1135</v>
      </c>
      <c r="K2082" s="6" t="str">
        <f>"110.000,00"</f>
        <v>110.000,00</v>
      </c>
      <c r="L2082" s="6" t="str">
        <f>"27.500,00"</f>
        <v>27.500,00</v>
      </c>
      <c r="M2082" s="6" t="str">
        <f>"137.500,00"</f>
        <v>137.500,00</v>
      </c>
      <c r="N2082" s="7"/>
      <c r="O2082" s="7"/>
      <c r="P2082" s="6" t="str">
        <f>""</f>
        <v/>
      </c>
      <c r="Q2082" s="7"/>
      <c r="R2082" s="1"/>
      <c r="S2082" s="1" t="str">
        <f>"NOS-45-A/18"</f>
        <v>NOS-45-A/18</v>
      </c>
      <c r="T2082" s="2" t="s">
        <v>26</v>
      </c>
    </row>
    <row r="2083" spans="1:20" ht="25.5" x14ac:dyDescent="0.25">
      <c r="A2083" s="1">
        <v>2079</v>
      </c>
      <c r="B2083" s="1" t="str">
        <f t="shared" si="202"/>
        <v>2018-2777</v>
      </c>
      <c r="C2083" s="2" t="s">
        <v>1132</v>
      </c>
      <c r="D2083" s="1" t="s">
        <v>1133</v>
      </c>
      <c r="E2083" s="3" t="str">
        <f>""</f>
        <v/>
      </c>
      <c r="F2083" s="2" t="s">
        <v>27</v>
      </c>
      <c r="G2083" s="2" t="str">
        <f>CONCATENATE("IDEAL PLUS D.O.O.,"," PRIGORNICA 2,"," 10090 ZAGREB-SUSEDGRAD,"," OIB: 56180940412")</f>
        <v>IDEAL PLUS D.O.O., PRIGORNICA 2, 10090 ZAGREB-SUSEDGRAD, OIB: 56180940412</v>
      </c>
      <c r="H2083" s="4"/>
      <c r="I2083" s="1" t="s">
        <v>264</v>
      </c>
      <c r="J2083" s="1" t="s">
        <v>303</v>
      </c>
      <c r="K2083" s="6" t="str">
        <f>"25.483,00"</f>
        <v>25.483,00</v>
      </c>
      <c r="L2083" s="6" t="str">
        <f>"6.357,18"</f>
        <v>6.357,18</v>
      </c>
      <c r="M2083" s="6" t="str">
        <f>"31.785,91"</f>
        <v>31.785,91</v>
      </c>
      <c r="N2083" s="5">
        <v>43594</v>
      </c>
      <c r="O2083" s="7"/>
      <c r="P2083" s="6" t="str">
        <f>"31.785,91"</f>
        <v>31.785,91</v>
      </c>
      <c r="Q2083" s="7"/>
      <c r="R2083" s="1"/>
      <c r="S2083" s="1" t="str">
        <f>"2-19/NOS-45-A/18"</f>
        <v>2-19/NOS-45-A/18</v>
      </c>
      <c r="T2083" s="2" t="s">
        <v>33</v>
      </c>
    </row>
    <row r="2084" spans="1:20" ht="25.5" x14ac:dyDescent="0.25">
      <c r="A2084" s="1">
        <v>2080</v>
      </c>
      <c r="B2084" s="1" t="str">
        <f t="shared" si="202"/>
        <v>2018-2777</v>
      </c>
      <c r="C2084" s="2" t="s">
        <v>1132</v>
      </c>
      <c r="D2084" s="1" t="s">
        <v>1133</v>
      </c>
      <c r="E2084" s="3" t="str">
        <f>""</f>
        <v/>
      </c>
      <c r="F2084" s="2" t="s">
        <v>27</v>
      </c>
      <c r="G2084" s="2" t="str">
        <f>CONCATENATE("IDEAL PLUS D.O.O.,"," PRIGORNICA 2,"," 10090 ZAGREB-SUSEDGRAD,"," OIB: 56180940412")</f>
        <v>IDEAL PLUS D.O.O., PRIGORNICA 2, 10090 ZAGREB-SUSEDGRAD, OIB: 56180940412</v>
      </c>
      <c r="H2084" s="4"/>
      <c r="I2084" s="1" t="s">
        <v>431</v>
      </c>
      <c r="J2084" s="1" t="s">
        <v>303</v>
      </c>
      <c r="K2084" s="6" t="str">
        <f>"5.856,00"</f>
        <v>5.856,00</v>
      </c>
      <c r="L2084" s="6" t="str">
        <f>"1.464,00"</f>
        <v>1.464,00</v>
      </c>
      <c r="M2084" s="6" t="str">
        <f>"7.320,00"</f>
        <v>7.320,00</v>
      </c>
      <c r="N2084" s="5">
        <v>43616</v>
      </c>
      <c r="O2084" s="7"/>
      <c r="P2084" s="6" t="str">
        <f>"7.320,00"</f>
        <v>7.320,00</v>
      </c>
      <c r="Q2084" s="7"/>
      <c r="R2084" s="1"/>
      <c r="S2084" s="1" t="str">
        <f>"4-19/NOS-45-A/18"</f>
        <v>4-19/NOS-45-A/18</v>
      </c>
      <c r="T2084" s="2" t="s">
        <v>29</v>
      </c>
    </row>
    <row r="2085" spans="1:20" ht="38.25" x14ac:dyDescent="0.25">
      <c r="A2085" s="1">
        <v>2081</v>
      </c>
      <c r="B2085" s="1" t="str">
        <f t="shared" si="202"/>
        <v>2018-2777</v>
      </c>
      <c r="C2085" s="2" t="s">
        <v>1132</v>
      </c>
      <c r="D2085" s="1" t="s">
        <v>1133</v>
      </c>
      <c r="E2085" s="3" t="str">
        <f>"2018/S 0F2-0019724"</f>
        <v>2018/S 0F2-0019724</v>
      </c>
      <c r="F2085" s="2" t="s">
        <v>23</v>
      </c>
      <c r="G2085" s="2" t="str">
        <f>CONCATENATE("OPREMA RADMAN D.O.O.,"," VELIKOPOLJSKA 29,"," 10000 ZAGREB,"," OIB: 27290068263")</f>
        <v>OPREMA RADMAN D.O.O., VELIKOPOLJSKA 29, 10000 ZAGREB, OIB: 27290068263</v>
      </c>
      <c r="H2085" s="4"/>
      <c r="I2085" s="1" t="s">
        <v>1134</v>
      </c>
      <c r="J2085" s="1" t="s">
        <v>1135</v>
      </c>
      <c r="K2085" s="6" t="str">
        <f>"205.000,00"</f>
        <v>205.000,00</v>
      </c>
      <c r="L2085" s="6" t="str">
        <f>"51.250,00"</f>
        <v>51.250,00</v>
      </c>
      <c r="M2085" s="6" t="str">
        <f>"256.250,00"</f>
        <v>256.250,00</v>
      </c>
      <c r="N2085" s="7"/>
      <c r="O2085" s="7"/>
      <c r="P2085" s="6" t="str">
        <f>""</f>
        <v/>
      </c>
      <c r="Q2085" s="7"/>
      <c r="R2085" s="1"/>
      <c r="S2085" s="1" t="str">
        <f>"NOS-45-B/18"</f>
        <v>NOS-45-B/18</v>
      </c>
      <c r="T2085" s="2" t="s">
        <v>26</v>
      </c>
    </row>
    <row r="2086" spans="1:20" ht="25.5" x14ac:dyDescent="0.25">
      <c r="A2086" s="1">
        <v>2082</v>
      </c>
      <c r="B2086" s="1" t="str">
        <f t="shared" si="202"/>
        <v>2018-2777</v>
      </c>
      <c r="C2086" s="2" t="s">
        <v>1132</v>
      </c>
      <c r="D2086" s="1" t="s">
        <v>1133</v>
      </c>
      <c r="E2086" s="3" t="str">
        <f>""</f>
        <v/>
      </c>
      <c r="F2086" s="2" t="s">
        <v>27</v>
      </c>
      <c r="G2086" s="2" t="str">
        <f>CONCATENATE("OPREMA RADMAN D.O.O.,"," VELIKOPOLJSKA 29,"," 10000 ZAGREB,"," OIB: 27290068263")</f>
        <v>OPREMA RADMAN D.O.O., VELIKOPOLJSKA 29, 10000 ZAGREB, OIB: 27290068263</v>
      </c>
      <c r="H2086" s="4"/>
      <c r="I2086" s="1" t="s">
        <v>257</v>
      </c>
      <c r="J2086" s="1" t="s">
        <v>821</v>
      </c>
      <c r="K2086" s="6" t="str">
        <f>"22.451,00"</f>
        <v>22.451,00</v>
      </c>
      <c r="L2086" s="6" t="str">
        <f>"5.612,75"</f>
        <v>5.612,75</v>
      </c>
      <c r="M2086" s="6" t="str">
        <f>"28.063,75"</f>
        <v>28.063,75</v>
      </c>
      <c r="N2086" s="5">
        <v>43536</v>
      </c>
      <c r="O2086" s="7"/>
      <c r="P2086" s="6" t="str">
        <f>"28.063,75"</f>
        <v>28.063,75</v>
      </c>
      <c r="Q2086" s="7"/>
      <c r="R2086" s="1"/>
      <c r="S2086" s="1" t="str">
        <f>"1-19/NOS-45-B/18"</f>
        <v>1-19/NOS-45-B/18</v>
      </c>
      <c r="T2086" s="2" t="s">
        <v>33</v>
      </c>
    </row>
    <row r="2087" spans="1:20" ht="25.5" x14ac:dyDescent="0.25">
      <c r="A2087" s="1">
        <v>2083</v>
      </c>
      <c r="B2087" s="1" t="str">
        <f t="shared" si="202"/>
        <v>2018-2777</v>
      </c>
      <c r="C2087" s="2" t="s">
        <v>1132</v>
      </c>
      <c r="D2087" s="1" t="s">
        <v>1133</v>
      </c>
      <c r="E2087" s="3" t="str">
        <f>""</f>
        <v/>
      </c>
      <c r="F2087" s="2" t="s">
        <v>27</v>
      </c>
      <c r="G2087" s="2" t="str">
        <f>CONCATENATE("OPREMA RADMAN D.O.O.,"," VELIKOPOLJSKA 29,"," 10000 ZAGREB,"," OIB: 27290068263")</f>
        <v>OPREMA RADMAN D.O.O., VELIKOPOLJSKA 29, 10000 ZAGREB, OIB: 27290068263</v>
      </c>
      <c r="H2087" s="4"/>
      <c r="I2087" s="1" t="s">
        <v>498</v>
      </c>
      <c r="J2087" s="1" t="s">
        <v>821</v>
      </c>
      <c r="K2087" s="6" t="str">
        <f>"3.791,50"</f>
        <v>3.791,50</v>
      </c>
      <c r="L2087" s="6" t="str">
        <f>"947,88"</f>
        <v>947,88</v>
      </c>
      <c r="M2087" s="6" t="str">
        <f>"4.739,38"</f>
        <v>4.739,38</v>
      </c>
      <c r="N2087" s="5">
        <v>43578</v>
      </c>
      <c r="O2087" s="7"/>
      <c r="P2087" s="6" t="str">
        <f>"4.739,38"</f>
        <v>4.739,38</v>
      </c>
      <c r="Q2087" s="7"/>
      <c r="R2087" s="1"/>
      <c r="S2087" s="1" t="str">
        <f>"2-19/NOS-45-B/18"</f>
        <v>2-19/NOS-45-B/18</v>
      </c>
      <c r="T2087" s="2" t="s">
        <v>29</v>
      </c>
    </row>
    <row r="2088" spans="1:20" ht="38.25" x14ac:dyDescent="0.25">
      <c r="A2088" s="1">
        <v>2084</v>
      </c>
      <c r="B2088" s="1" t="str">
        <f t="shared" si="202"/>
        <v>2018-2777</v>
      </c>
      <c r="C2088" s="2" t="s">
        <v>1132</v>
      </c>
      <c r="D2088" s="1" t="s">
        <v>1133</v>
      </c>
      <c r="E2088" s="3" t="str">
        <f>"2018/S 0F2-0019724"</f>
        <v>2018/S 0F2-0019724</v>
      </c>
      <c r="F2088" s="2" t="s">
        <v>23</v>
      </c>
      <c r="G2088" s="2" t="str">
        <f t="shared" ref="G2088:G2094" si="203">CONCATENATE("DM TEKSTIL KROJAČKI OBRT VL. DARINKA MARKOVIĆ,"," JAŠKOVO 53 a,"," 47280 OZALJ,"," OIB: 23238056502")</f>
        <v>DM TEKSTIL KROJAČKI OBRT VL. DARINKA MARKOVIĆ, JAŠKOVO 53 a, 47280 OZALJ, OIB: 23238056502</v>
      </c>
      <c r="H2088" s="4"/>
      <c r="I2088" s="1" t="s">
        <v>1134</v>
      </c>
      <c r="J2088" s="1" t="s">
        <v>1135</v>
      </c>
      <c r="K2088" s="6" t="str">
        <f>"605.000,00"</f>
        <v>605.000,00</v>
      </c>
      <c r="L2088" s="6" t="str">
        <f>"151.250,00"</f>
        <v>151.250,00</v>
      </c>
      <c r="M2088" s="6" t="str">
        <f>"756.250,00"</f>
        <v>756.250,00</v>
      </c>
      <c r="N2088" s="7"/>
      <c r="O2088" s="7"/>
      <c r="P2088" s="6" t="str">
        <f>""</f>
        <v/>
      </c>
      <c r="Q2088" s="7"/>
      <c r="R2088" s="1"/>
      <c r="S2088" s="1" t="str">
        <f>"NOS-45-C/18"</f>
        <v>NOS-45-C/18</v>
      </c>
      <c r="T2088" s="2" t="s">
        <v>26</v>
      </c>
    </row>
    <row r="2089" spans="1:20" ht="38.25" x14ac:dyDescent="0.25">
      <c r="A2089" s="1">
        <v>2085</v>
      </c>
      <c r="B2089" s="1" t="str">
        <f t="shared" si="202"/>
        <v>2018-2777</v>
      </c>
      <c r="C2089" s="2" t="s">
        <v>1132</v>
      </c>
      <c r="D2089" s="1" t="s">
        <v>1133</v>
      </c>
      <c r="E2089" s="3" t="str">
        <f>""</f>
        <v/>
      </c>
      <c r="F2089" s="2" t="s">
        <v>27</v>
      </c>
      <c r="G2089" s="2" t="str">
        <f t="shared" si="203"/>
        <v>DM TEKSTIL KROJAČKI OBRT VL. DARINKA MARKOVIĆ, JAŠKOVO 53 a, 47280 OZALJ, OIB: 23238056502</v>
      </c>
      <c r="H2089" s="4"/>
      <c r="I2089" s="1" t="s">
        <v>257</v>
      </c>
      <c r="J2089" s="1" t="s">
        <v>469</v>
      </c>
      <c r="K2089" s="6" t="str">
        <f>"204.010,00"</f>
        <v>204.010,00</v>
      </c>
      <c r="L2089" s="6" t="str">
        <f>"52.307,50"</f>
        <v>52.307,50</v>
      </c>
      <c r="M2089" s="6" t="str">
        <f>"261.537,50"</f>
        <v>261.537,50</v>
      </c>
      <c r="N2089" s="5">
        <v>43578</v>
      </c>
      <c r="O2089" s="7"/>
      <c r="P2089" s="6" t="str">
        <f>"261.537,50"</f>
        <v>261.537,50</v>
      </c>
      <c r="Q2089" s="7"/>
      <c r="R2089" s="1"/>
      <c r="S2089" s="1" t="str">
        <f>"1-19/NOS-45-C/18"</f>
        <v>1-19/NOS-45-C/18</v>
      </c>
      <c r="T2089" s="2" t="s">
        <v>33</v>
      </c>
    </row>
    <row r="2090" spans="1:20" ht="38.25" x14ac:dyDescent="0.25">
      <c r="A2090" s="1">
        <v>2086</v>
      </c>
      <c r="B2090" s="1" t="str">
        <f t="shared" si="202"/>
        <v>2018-2777</v>
      </c>
      <c r="C2090" s="2" t="s">
        <v>1132</v>
      </c>
      <c r="D2090" s="1" t="s">
        <v>1133</v>
      </c>
      <c r="E2090" s="3" t="str">
        <f>""</f>
        <v/>
      </c>
      <c r="F2090" s="2" t="s">
        <v>27</v>
      </c>
      <c r="G2090" s="2" t="str">
        <f t="shared" si="203"/>
        <v>DM TEKSTIL KROJAČKI OBRT VL. DARINKA MARKOVIĆ, JAŠKOVO 53 a, 47280 OZALJ, OIB: 23238056502</v>
      </c>
      <c r="H2090" s="4"/>
      <c r="I2090" s="1" t="s">
        <v>44</v>
      </c>
      <c r="J2090" s="1" t="s">
        <v>469</v>
      </c>
      <c r="K2090" s="6" t="str">
        <f>"7.740,00"</f>
        <v>7.740,00</v>
      </c>
      <c r="L2090" s="6" t="str">
        <f>"0,00"</f>
        <v>0,00</v>
      </c>
      <c r="M2090" s="6" t="str">
        <f>"0,00"</f>
        <v>0,00</v>
      </c>
      <c r="N2090" s="1" t="s">
        <v>117</v>
      </c>
      <c r="O2090" s="7"/>
      <c r="P2090" s="6" t="str">
        <f>"0,00"</f>
        <v>0,00</v>
      </c>
      <c r="Q2090" s="7"/>
      <c r="R2090" s="1"/>
      <c r="S2090" s="1" t="str">
        <f>"2-19/NOS-45-C/18"</f>
        <v>2-19/NOS-45-C/18</v>
      </c>
      <c r="T2090" s="2" t="s">
        <v>33</v>
      </c>
    </row>
    <row r="2091" spans="1:20" ht="38.25" x14ac:dyDescent="0.25">
      <c r="A2091" s="1">
        <v>2087</v>
      </c>
      <c r="B2091" s="1" t="str">
        <f t="shared" si="202"/>
        <v>2018-2777</v>
      </c>
      <c r="C2091" s="2" t="s">
        <v>1132</v>
      </c>
      <c r="D2091" s="1" t="s">
        <v>1133</v>
      </c>
      <c r="E2091" s="3" t="str">
        <f>""</f>
        <v/>
      </c>
      <c r="F2091" s="2" t="s">
        <v>27</v>
      </c>
      <c r="G2091" s="2" t="str">
        <f t="shared" si="203"/>
        <v>DM TEKSTIL KROJAČKI OBRT VL. DARINKA MARKOVIĆ, JAŠKOVO 53 a, 47280 OZALJ, OIB: 23238056502</v>
      </c>
      <c r="H2091" s="4"/>
      <c r="I2091" s="1" t="s">
        <v>446</v>
      </c>
      <c r="J2091" s="1" t="s">
        <v>469</v>
      </c>
      <c r="K2091" s="6" t="str">
        <f>"29.550,00"</f>
        <v>29.550,00</v>
      </c>
      <c r="L2091" s="6" t="str">
        <f>"8.475,00"</f>
        <v>8.475,00</v>
      </c>
      <c r="M2091" s="6" t="str">
        <f>"42.375,00"</f>
        <v>42.375,00</v>
      </c>
      <c r="N2091" s="5">
        <v>43622</v>
      </c>
      <c r="O2091" s="7"/>
      <c r="P2091" s="6" t="str">
        <f>"42.375,00"</f>
        <v>42.375,00</v>
      </c>
      <c r="Q2091" s="7"/>
      <c r="R2091" s="1"/>
      <c r="S2091" s="1" t="str">
        <f>"3-19/NOS-45-C/18"</f>
        <v>3-19/NOS-45-C/18</v>
      </c>
      <c r="T2091" s="2" t="s">
        <v>33</v>
      </c>
    </row>
    <row r="2092" spans="1:20" ht="38.25" x14ac:dyDescent="0.25">
      <c r="A2092" s="1">
        <v>2088</v>
      </c>
      <c r="B2092" s="1" t="str">
        <f t="shared" si="202"/>
        <v>2018-2777</v>
      </c>
      <c r="C2092" s="2" t="s">
        <v>1132</v>
      </c>
      <c r="D2092" s="1" t="s">
        <v>1133</v>
      </c>
      <c r="E2092" s="3" t="str">
        <f>""</f>
        <v/>
      </c>
      <c r="F2092" s="2" t="s">
        <v>27</v>
      </c>
      <c r="G2092" s="2" t="str">
        <f t="shared" si="203"/>
        <v>DM TEKSTIL KROJAČKI OBRT VL. DARINKA MARKOVIĆ, JAŠKOVO 53 a, 47280 OZALJ, OIB: 23238056502</v>
      </c>
      <c r="H2092" s="4"/>
      <c r="I2092" s="1" t="s">
        <v>480</v>
      </c>
      <c r="J2092" s="1" t="s">
        <v>469</v>
      </c>
      <c r="K2092" s="6" t="str">
        <f>"4.350,00"</f>
        <v>4.350,00</v>
      </c>
      <c r="L2092" s="6" t="str">
        <f>"0,00"</f>
        <v>0,00</v>
      </c>
      <c r="M2092" s="6" t="str">
        <f>"0,00"</f>
        <v>0,00</v>
      </c>
      <c r="N2092" s="1" t="s">
        <v>117</v>
      </c>
      <c r="O2092" s="7"/>
      <c r="P2092" s="6" t="str">
        <f>"0,00"</f>
        <v>0,00</v>
      </c>
      <c r="Q2092" s="7"/>
      <c r="R2092" s="1"/>
      <c r="S2092" s="1" t="str">
        <f>"4-19/NOS-45-C/18"</f>
        <v>4-19/NOS-45-C/18</v>
      </c>
      <c r="T2092" s="2" t="s">
        <v>33</v>
      </c>
    </row>
    <row r="2093" spans="1:20" ht="38.25" x14ac:dyDescent="0.25">
      <c r="A2093" s="1">
        <v>2089</v>
      </c>
      <c r="B2093" s="1" t="str">
        <f t="shared" si="202"/>
        <v>2018-2777</v>
      </c>
      <c r="C2093" s="2" t="s">
        <v>1132</v>
      </c>
      <c r="D2093" s="1" t="s">
        <v>1133</v>
      </c>
      <c r="E2093" s="3" t="str">
        <f>""</f>
        <v/>
      </c>
      <c r="F2093" s="2" t="s">
        <v>27</v>
      </c>
      <c r="G2093" s="2" t="str">
        <f t="shared" si="203"/>
        <v>DM TEKSTIL KROJAČKI OBRT VL. DARINKA MARKOVIĆ, JAŠKOVO 53 a, 47280 OZALJ, OIB: 23238056502</v>
      </c>
      <c r="H2093" s="4"/>
      <c r="I2093" s="1" t="s">
        <v>311</v>
      </c>
      <c r="J2093" s="1" t="s">
        <v>469</v>
      </c>
      <c r="K2093" s="6" t="str">
        <f>"5.952,00"</f>
        <v>5.952,00</v>
      </c>
      <c r="L2093" s="6" t="str">
        <f>"1.488,00"</f>
        <v>1.488,00</v>
      </c>
      <c r="M2093" s="6" t="str">
        <f>"7.440,00"</f>
        <v>7.440,00</v>
      </c>
      <c r="N2093" s="5">
        <v>43609</v>
      </c>
      <c r="O2093" s="7"/>
      <c r="P2093" s="6" t="str">
        <f>"7.440,00"</f>
        <v>7.440,00</v>
      </c>
      <c r="Q2093" s="7"/>
      <c r="R2093" s="1"/>
      <c r="S2093" s="1" t="str">
        <f>"5-19/NOS-45-C/18"</f>
        <v>5-19/NOS-45-C/18</v>
      </c>
      <c r="T2093" s="2" t="s">
        <v>33</v>
      </c>
    </row>
    <row r="2094" spans="1:20" ht="38.25" x14ac:dyDescent="0.25">
      <c r="A2094" s="1">
        <v>2090</v>
      </c>
      <c r="B2094" s="1" t="str">
        <f t="shared" si="202"/>
        <v>2018-2777</v>
      </c>
      <c r="C2094" s="2" t="s">
        <v>1132</v>
      </c>
      <c r="D2094" s="1" t="s">
        <v>1133</v>
      </c>
      <c r="E2094" s="3" t="str">
        <f>""</f>
        <v/>
      </c>
      <c r="F2094" s="2" t="s">
        <v>27</v>
      </c>
      <c r="G2094" s="2" t="str">
        <f t="shared" si="203"/>
        <v>DM TEKSTIL KROJAČKI OBRT VL. DARINKA MARKOVIĆ, JAŠKOVO 53 a, 47280 OZALJ, OIB: 23238056502</v>
      </c>
      <c r="H2094" s="4"/>
      <c r="I2094" s="1" t="s">
        <v>679</v>
      </c>
      <c r="J2094" s="1" t="s">
        <v>140</v>
      </c>
      <c r="K2094" s="6" t="str">
        <f>"47.656,00"</f>
        <v>47.656,00</v>
      </c>
      <c r="L2094" s="6" t="str">
        <f>"11.914,00"</f>
        <v>11.914,00</v>
      </c>
      <c r="M2094" s="6" t="str">
        <f>"59.570,00"</f>
        <v>59.570,00</v>
      </c>
      <c r="N2094" s="5">
        <v>43479</v>
      </c>
      <c r="O2094" s="7"/>
      <c r="P2094" s="6" t="str">
        <f>"59.570,00"</f>
        <v>59.570,00</v>
      </c>
      <c r="Q2094" s="7"/>
      <c r="R2094" s="1"/>
      <c r="S2094" s="1" t="str">
        <f>"7-18/NOS-45-C/18"</f>
        <v>7-18/NOS-45-C/18</v>
      </c>
      <c r="T2094" s="2" t="s">
        <v>33</v>
      </c>
    </row>
    <row r="2095" spans="1:20" ht="38.25" x14ac:dyDescent="0.25">
      <c r="A2095" s="1">
        <v>2091</v>
      </c>
      <c r="B2095" s="1" t="str">
        <f t="shared" si="202"/>
        <v>2018-2777</v>
      </c>
      <c r="C2095" s="2" t="s">
        <v>1132</v>
      </c>
      <c r="D2095" s="1" t="s">
        <v>1133</v>
      </c>
      <c r="E2095" s="3" t="str">
        <f>"2018/S 0F2-0019724"</f>
        <v>2018/S 0F2-0019724</v>
      </c>
      <c r="F2095" s="2" t="s">
        <v>23</v>
      </c>
      <c r="G2095" s="2" t="str">
        <f>CONCATENATE("SKOPIN D.O.O.,"," K. ZVONIMIRA 13,"," 10380 SVETI IVAN ZELINA,"," OIB: 00364413927")</f>
        <v>SKOPIN D.O.O., K. ZVONIMIRA 13, 10380 SVETI IVAN ZELINA, OIB: 00364413927</v>
      </c>
      <c r="H2095" s="4"/>
      <c r="I2095" s="1" t="s">
        <v>1134</v>
      </c>
      <c r="J2095" s="1" t="s">
        <v>1135</v>
      </c>
      <c r="K2095" s="6" t="str">
        <f>"100.000,00"</f>
        <v>100.000,00</v>
      </c>
      <c r="L2095" s="6" t="str">
        <f>"25.000,00"</f>
        <v>25.000,00</v>
      </c>
      <c r="M2095" s="6" t="str">
        <f>"125.000,00"</f>
        <v>125.000,00</v>
      </c>
      <c r="N2095" s="7"/>
      <c r="O2095" s="7"/>
      <c r="P2095" s="6" t="str">
        <f>""</f>
        <v/>
      </c>
      <c r="Q2095" s="7"/>
      <c r="R2095" s="1"/>
      <c r="S2095" s="1" t="str">
        <f>"NOS-45-D/18"</f>
        <v>NOS-45-D/18</v>
      </c>
      <c r="T2095" s="2" t="s">
        <v>26</v>
      </c>
    </row>
    <row r="2096" spans="1:20" ht="25.5" x14ac:dyDescent="0.25">
      <c r="A2096" s="1">
        <v>2092</v>
      </c>
      <c r="B2096" s="1" t="str">
        <f t="shared" si="202"/>
        <v>2018-2777</v>
      </c>
      <c r="C2096" s="2" t="s">
        <v>1132</v>
      </c>
      <c r="D2096" s="1" t="s">
        <v>1133</v>
      </c>
      <c r="E2096" s="3" t="str">
        <f>""</f>
        <v/>
      </c>
      <c r="F2096" s="2" t="s">
        <v>27</v>
      </c>
      <c r="G2096" s="2" t="str">
        <f>CONCATENATE("SKOPIN D.O.O.,"," K. ZVONIMIRA 13,"," 10380 SVETI IVAN ZELINA,"," OIB: 00364413927")</f>
        <v>SKOPIN D.O.O., K. ZVONIMIRA 13, 10380 SVETI IVAN ZELINA, OIB: 00364413927</v>
      </c>
      <c r="H2096" s="4"/>
      <c r="I2096" s="1" t="s">
        <v>210</v>
      </c>
      <c r="J2096" s="1" t="s">
        <v>303</v>
      </c>
      <c r="K2096" s="6" t="str">
        <f>"9.992,10"</f>
        <v>9.992,10</v>
      </c>
      <c r="L2096" s="6" t="str">
        <f>"2.330,85"</f>
        <v>2.330,85</v>
      </c>
      <c r="M2096" s="6" t="str">
        <f>"11.654,25"</f>
        <v>11.654,25</v>
      </c>
      <c r="N2096" s="5">
        <v>43623</v>
      </c>
      <c r="O2096" s="7"/>
      <c r="P2096" s="6" t="str">
        <f>"11.654,25"</f>
        <v>11.654,25</v>
      </c>
      <c r="Q2096" s="7"/>
      <c r="R2096" s="1"/>
      <c r="S2096" s="1" t="str">
        <f>"1-19/NOS-45-D/18"</f>
        <v>1-19/NOS-45-D/18</v>
      </c>
      <c r="T2096" s="2" t="s">
        <v>33</v>
      </c>
    </row>
    <row r="2097" spans="1:20" ht="38.25" x14ac:dyDescent="0.25">
      <c r="A2097" s="1">
        <v>2093</v>
      </c>
      <c r="B2097" s="1" t="str">
        <f>"2018-2809"</f>
        <v>2018-2809</v>
      </c>
      <c r="C2097" s="2" t="s">
        <v>1136</v>
      </c>
      <c r="D2097" s="1" t="s">
        <v>223</v>
      </c>
      <c r="E2097" s="3" t="str">
        <f>"2018/S 0F2-0019793"</f>
        <v>2018/S 0F2-0019793</v>
      </c>
      <c r="F2097" s="2" t="s">
        <v>23</v>
      </c>
      <c r="G2097" s="2" t="str">
        <f>CONCATENATE("FORTIUS INFO D.O.O.,"," BAŠTIJANOVA 52A/3,"," 10000 ZAGREB,"," OIB: 15956530643")</f>
        <v>FORTIUS INFO D.O.O., BAŠTIJANOVA 52A/3, 10000 ZAGREB, OIB: 15956530643</v>
      </c>
      <c r="H2097" s="4"/>
      <c r="I2097" s="1" t="s">
        <v>331</v>
      </c>
      <c r="J2097" s="1" t="s">
        <v>1137</v>
      </c>
      <c r="K2097" s="6" t="str">
        <f>"400.000,00"</f>
        <v>400.000,00</v>
      </c>
      <c r="L2097" s="6" t="str">
        <f>"100.000,00"</f>
        <v>100.000,00</v>
      </c>
      <c r="M2097" s="6" t="str">
        <f>"500.000,00"</f>
        <v>500.000,00</v>
      </c>
      <c r="N2097" s="7"/>
      <c r="O2097" s="7"/>
      <c r="P2097" s="6" t="str">
        <f>""</f>
        <v/>
      </c>
      <c r="Q2097" s="7"/>
      <c r="R2097" s="1"/>
      <c r="S2097" s="1" t="str">
        <f>"NOS-46/18"</f>
        <v>NOS-46/18</v>
      </c>
      <c r="T2097" s="2" t="s">
        <v>33</v>
      </c>
    </row>
    <row r="2098" spans="1:20" ht="25.5" x14ac:dyDescent="0.25">
      <c r="A2098" s="1">
        <v>2094</v>
      </c>
      <c r="B2098" s="1" t="str">
        <f>"2018-2809"</f>
        <v>2018-2809</v>
      </c>
      <c r="C2098" s="2" t="s">
        <v>1136</v>
      </c>
      <c r="D2098" s="4"/>
      <c r="E2098" s="3" t="str">
        <f>""</f>
        <v/>
      </c>
      <c r="F2098" s="2" t="s">
        <v>27</v>
      </c>
      <c r="G2098" s="2" t="str">
        <f>CONCATENATE("FORTIUS INFO D.O.O.,"," BAŠTIJANOVA 52A/3,"," 10000 ZAGREB,"," OIB: 15956530643")</f>
        <v>FORTIUS INFO D.O.O., BAŠTIJANOVA 52A/3, 10000 ZAGREB, OIB: 15956530643</v>
      </c>
      <c r="H2098" s="4"/>
      <c r="I2098" s="1" t="s">
        <v>140</v>
      </c>
      <c r="J2098" s="1" t="s">
        <v>587</v>
      </c>
      <c r="K2098" s="6" t="str">
        <f>"77.000,00"</f>
        <v>77.000,00</v>
      </c>
      <c r="L2098" s="6" t="str">
        <f>"19.250,00"</f>
        <v>19.250,00</v>
      </c>
      <c r="M2098" s="6" t="str">
        <f>"96.250,00"</f>
        <v>96.250,00</v>
      </c>
      <c r="N2098" s="5">
        <v>43708</v>
      </c>
      <c r="O2098" s="7"/>
      <c r="P2098" s="6" t="str">
        <f>"70.000,00"</f>
        <v>70.000,00</v>
      </c>
      <c r="Q2098" s="7"/>
      <c r="R2098" s="1"/>
      <c r="S2098" s="1" t="str">
        <f>"1-18/NOS-46/18"</f>
        <v>1-18/NOS-46/18</v>
      </c>
      <c r="T2098" s="2" t="s">
        <v>33</v>
      </c>
    </row>
    <row r="2099" spans="1:20" ht="127.5" x14ac:dyDescent="0.25">
      <c r="A2099" s="1">
        <v>2095</v>
      </c>
      <c r="B2099" s="1" t="str">
        <f t="shared" ref="B2099:B2112" si="204">"2018-2867"</f>
        <v>2018-2867</v>
      </c>
      <c r="C2099" s="2" t="s">
        <v>1138</v>
      </c>
      <c r="D2099" s="1" t="s">
        <v>1139</v>
      </c>
      <c r="E2099" s="3" t="str">
        <f>"2018/S 0F2-0011852"</f>
        <v>2018/S 0F2-0011852</v>
      </c>
      <c r="F2099" s="2" t="s">
        <v>23</v>
      </c>
      <c r="G2099" s="2" t="str">
        <f>CONCATENATE("CRODUX DERIVATI DVA D.O.O.,"," SAVSKA OPATOVINA 36,"," 10000 ZAGREB,"," OIB: 00865396224",CHAR(10),"INA D.D.,"," AVENIJA VEĆESLAVA HOLJEVCA 10,"," 10000 ZAGREB,"," OIB: 27759560625")</f>
        <v>CRODUX DERIVATI DVA D.O.O., SAVSKA OPATOVINA 36, 10000 ZAGREB, OIB: 00865396224
INA D.D., AVENIJA VEĆESLAVA HOLJEVCA 10, 10000 ZAGREB, OIB: 27759560625</v>
      </c>
      <c r="H2099" s="4"/>
      <c r="I2099" s="1" t="s">
        <v>1134</v>
      </c>
      <c r="J2099" s="1" t="s">
        <v>1135</v>
      </c>
      <c r="K2099" s="6" t="str">
        <f>"48.000.000,00"</f>
        <v>48.000.000,00</v>
      </c>
      <c r="L2099" s="6" t="str">
        <f>"12.000.000,00"</f>
        <v>12.000.000,00</v>
      </c>
      <c r="M2099" s="6" t="str">
        <f>"60.000.000,00"</f>
        <v>60.000.000,00</v>
      </c>
      <c r="N2099" s="7"/>
      <c r="O2099" s="7"/>
      <c r="P2099" s="6" t="str">
        <f>""</f>
        <v/>
      </c>
      <c r="Q2099" s="7"/>
      <c r="R2099" s="1"/>
      <c r="S2099" s="1" t="str">
        <f>"NOS-47-A-ZGH/18"</f>
        <v>NOS-47-A-ZGH/18</v>
      </c>
      <c r="T2099" s="2" t="s">
        <v>1140</v>
      </c>
    </row>
    <row r="2100" spans="1:20" ht="38.25" x14ac:dyDescent="0.25">
      <c r="A2100" s="1">
        <v>2096</v>
      </c>
      <c r="B2100" s="1" t="str">
        <f t="shared" si="204"/>
        <v>2018-2867</v>
      </c>
      <c r="C2100" s="2" t="s">
        <v>1138</v>
      </c>
      <c r="D2100" s="1" t="s">
        <v>1139</v>
      </c>
      <c r="E2100" s="3" t="str">
        <f>""</f>
        <v/>
      </c>
      <c r="F2100" s="2" t="s">
        <v>27</v>
      </c>
      <c r="G2100" s="2" t="str">
        <f t="shared" ref="G2100:G2105" si="205">CONCATENATE("INA D.D.,"," AVENIJA VEĆESLAVA HOLJEVCA 10,"," 10000 ZAGREB,"," OIB: 27759560625")</f>
        <v>INA D.D., AVENIJA VEĆESLAVA HOLJEVCA 10, 10000 ZAGREB, OIB: 27759560625</v>
      </c>
      <c r="H2100" s="4"/>
      <c r="I2100" s="1" t="s">
        <v>319</v>
      </c>
      <c r="J2100" s="1" t="s">
        <v>397</v>
      </c>
      <c r="K2100" s="6" t="str">
        <f>"73.266,80"</f>
        <v>73.266,80</v>
      </c>
      <c r="L2100" s="6" t="str">
        <f>"18.316,70"</f>
        <v>18.316,70</v>
      </c>
      <c r="M2100" s="6" t="str">
        <f>"91.583,50"</f>
        <v>91.583,50</v>
      </c>
      <c r="N2100" s="5">
        <v>43585</v>
      </c>
      <c r="O2100" s="7"/>
      <c r="P2100" s="6" t="str">
        <f>"7.622,71"</f>
        <v>7.622,71</v>
      </c>
      <c r="Q2100" s="7"/>
      <c r="R2100" s="1"/>
      <c r="S2100" s="1" t="str">
        <f>"3-18/NOS-47-A-ZGH/18"</f>
        <v>3-18/NOS-47-A-ZGH/18</v>
      </c>
      <c r="T2100" s="2" t="s">
        <v>65</v>
      </c>
    </row>
    <row r="2101" spans="1:20" ht="25.5" x14ac:dyDescent="0.25">
      <c r="A2101" s="1">
        <v>2097</v>
      </c>
      <c r="B2101" s="1" t="str">
        <f t="shared" si="204"/>
        <v>2018-2867</v>
      </c>
      <c r="C2101" s="2" t="s">
        <v>1138</v>
      </c>
      <c r="D2101" s="1" t="s">
        <v>1139</v>
      </c>
      <c r="E2101" s="3" t="str">
        <f>""</f>
        <v/>
      </c>
      <c r="F2101" s="2" t="s">
        <v>27</v>
      </c>
      <c r="G2101" s="2" t="str">
        <f t="shared" si="205"/>
        <v>INA D.D., AVENIJA VEĆESLAVA HOLJEVCA 10, 10000 ZAGREB, OIB: 27759560625</v>
      </c>
      <c r="H2101" s="4"/>
      <c r="I2101" s="1" t="s">
        <v>451</v>
      </c>
      <c r="J2101" s="1" t="s">
        <v>28</v>
      </c>
      <c r="K2101" s="6" t="str">
        <f>"3.105.220,00"</f>
        <v>3.105.220,00</v>
      </c>
      <c r="L2101" s="6" t="str">
        <f>"776.305,00"</f>
        <v>776.305,00</v>
      </c>
      <c r="M2101" s="6" t="str">
        <f>"3.881.525,00"</f>
        <v>3.881.525,00</v>
      </c>
      <c r="N2101" s="5">
        <v>43683</v>
      </c>
      <c r="O2101" s="7"/>
      <c r="P2101" s="6" t="str">
        <f>""</f>
        <v/>
      </c>
      <c r="Q2101" s="7"/>
      <c r="R2101" s="1"/>
      <c r="S2101" s="1" t="str">
        <f>"4-18/NOS-47-A-ZGH/18"</f>
        <v>4-18/NOS-47-A-ZGH/18</v>
      </c>
      <c r="T2101" s="2" t="s">
        <v>29</v>
      </c>
    </row>
    <row r="2102" spans="1:20" ht="25.5" x14ac:dyDescent="0.25">
      <c r="A2102" s="1">
        <v>2098</v>
      </c>
      <c r="B2102" s="1" t="str">
        <f t="shared" si="204"/>
        <v>2018-2867</v>
      </c>
      <c r="C2102" s="2" t="s">
        <v>1138</v>
      </c>
      <c r="D2102" s="1" t="s">
        <v>1139</v>
      </c>
      <c r="E2102" s="3" t="str">
        <f>""</f>
        <v/>
      </c>
      <c r="F2102" s="2" t="s">
        <v>27</v>
      </c>
      <c r="G2102" s="2" t="str">
        <f t="shared" si="205"/>
        <v>INA D.D., AVENIJA VEĆESLAVA HOLJEVCA 10, 10000 ZAGREB, OIB: 27759560625</v>
      </c>
      <c r="H2102" s="4"/>
      <c r="I2102" s="1" t="s">
        <v>159</v>
      </c>
      <c r="J2102" s="1" t="s">
        <v>397</v>
      </c>
      <c r="K2102" s="6" t="str">
        <f>"1.328.009,91"</f>
        <v>1.328.009,91</v>
      </c>
      <c r="L2102" s="6" t="str">
        <f>"332.002,48"</f>
        <v>332.002,48</v>
      </c>
      <c r="M2102" s="6" t="str">
        <f>"1.660.012,39"</f>
        <v>1.660.012,39</v>
      </c>
      <c r="N2102" s="5">
        <v>43830</v>
      </c>
      <c r="O2102" s="7"/>
      <c r="P2102" s="6" t="str">
        <f>"31.174,60"</f>
        <v>31.174,60</v>
      </c>
      <c r="Q2102" s="7"/>
      <c r="R2102" s="1"/>
      <c r="S2102" s="1" t="str">
        <f>"5-18/NOS-47-A-ZGH/18"</f>
        <v>5-18/NOS-47-A-ZGH/18</v>
      </c>
      <c r="T2102" s="2" t="s">
        <v>33</v>
      </c>
    </row>
    <row r="2103" spans="1:20" ht="25.5" x14ac:dyDescent="0.25">
      <c r="A2103" s="1">
        <v>2099</v>
      </c>
      <c r="B2103" s="1" t="str">
        <f t="shared" si="204"/>
        <v>2018-2867</v>
      </c>
      <c r="C2103" s="2" t="s">
        <v>1138</v>
      </c>
      <c r="D2103" s="4"/>
      <c r="E2103" s="3" t="str">
        <f>""</f>
        <v/>
      </c>
      <c r="F2103" s="2" t="s">
        <v>27</v>
      </c>
      <c r="G2103" s="2" t="str">
        <f t="shared" si="205"/>
        <v>INA D.D., AVENIJA VEĆESLAVA HOLJEVCA 10, 10000 ZAGREB, OIB: 27759560625</v>
      </c>
      <c r="H2103" s="4"/>
      <c r="I2103" s="1" t="s">
        <v>470</v>
      </c>
      <c r="J2103" s="1" t="s">
        <v>285</v>
      </c>
      <c r="K2103" s="6" t="str">
        <f>"34.992,00"</f>
        <v>34.992,00</v>
      </c>
      <c r="L2103" s="6" t="str">
        <f>"8.748,00"</f>
        <v>8.748,00</v>
      </c>
      <c r="M2103" s="6" t="str">
        <f>"43.740,00"</f>
        <v>43.740,00</v>
      </c>
      <c r="N2103" s="5">
        <v>43713</v>
      </c>
      <c r="O2103" s="7"/>
      <c r="P2103" s="6" t="str">
        <f>""</f>
        <v/>
      </c>
      <c r="Q2103" s="7"/>
      <c r="R2103" s="1"/>
      <c r="S2103" s="1" t="str">
        <f>"1-19/NOS-47-A-ZGH/18"</f>
        <v>1-19/NOS-47-A-ZGH/18</v>
      </c>
      <c r="T2103" s="2" t="s">
        <v>60</v>
      </c>
    </row>
    <row r="2104" spans="1:20" ht="25.5" x14ac:dyDescent="0.25">
      <c r="A2104" s="1">
        <v>2100</v>
      </c>
      <c r="B2104" s="1" t="str">
        <f t="shared" si="204"/>
        <v>2018-2867</v>
      </c>
      <c r="C2104" s="2" t="s">
        <v>1138</v>
      </c>
      <c r="D2104" s="4"/>
      <c r="E2104" s="3" t="str">
        <f>""</f>
        <v/>
      </c>
      <c r="F2104" s="2" t="s">
        <v>27</v>
      </c>
      <c r="G2104" s="2" t="str">
        <f t="shared" si="205"/>
        <v>INA D.D., AVENIJA VEĆESLAVA HOLJEVCA 10, 10000 ZAGREB, OIB: 27759560625</v>
      </c>
      <c r="H2104" s="4"/>
      <c r="I2104" s="1" t="s">
        <v>25</v>
      </c>
      <c r="J2104" s="1" t="s">
        <v>45</v>
      </c>
      <c r="K2104" s="6" t="str">
        <f>"14.300,00"</f>
        <v>14.300,00</v>
      </c>
      <c r="L2104" s="6" t="str">
        <f>"3.575,00"</f>
        <v>3.575,00</v>
      </c>
      <c r="M2104" s="6" t="str">
        <f>"17.875,00"</f>
        <v>17.875,00</v>
      </c>
      <c r="N2104" s="5">
        <v>43616</v>
      </c>
      <c r="O2104" s="7"/>
      <c r="P2104" s="6" t="str">
        <f>""</f>
        <v/>
      </c>
      <c r="Q2104" s="7"/>
      <c r="R2104" s="1"/>
      <c r="S2104" s="1" t="str">
        <f>"2-19/NOS-47-A-ZGH/18"</f>
        <v>2-19/NOS-47-A-ZGH/18</v>
      </c>
      <c r="T2104" s="2" t="s">
        <v>112</v>
      </c>
    </row>
    <row r="2105" spans="1:20" ht="25.5" x14ac:dyDescent="0.25">
      <c r="A2105" s="1">
        <v>2101</v>
      </c>
      <c r="B2105" s="1" t="str">
        <f t="shared" si="204"/>
        <v>2018-2867</v>
      </c>
      <c r="C2105" s="2" t="s">
        <v>1138</v>
      </c>
      <c r="D2105" s="4"/>
      <c r="E2105" s="3" t="str">
        <f>""</f>
        <v/>
      </c>
      <c r="F2105" s="2" t="s">
        <v>27</v>
      </c>
      <c r="G2105" s="2" t="str">
        <f t="shared" si="205"/>
        <v>INA D.D., AVENIJA VEĆESLAVA HOLJEVCA 10, 10000 ZAGREB, OIB: 27759560625</v>
      </c>
      <c r="H2105" s="4"/>
      <c r="I2105" s="1" t="s">
        <v>642</v>
      </c>
      <c r="J2105" s="1" t="s">
        <v>333</v>
      </c>
      <c r="K2105" s="6" t="str">
        <f>"211.040,00"</f>
        <v>211.040,00</v>
      </c>
      <c r="L2105" s="6" t="str">
        <f>"52.760,00"</f>
        <v>52.760,00</v>
      </c>
      <c r="M2105" s="6" t="str">
        <f>"263.800,00"</f>
        <v>263.800,00</v>
      </c>
      <c r="N2105" s="1" t="s">
        <v>117</v>
      </c>
      <c r="O2105" s="7"/>
      <c r="P2105" s="6" t="str">
        <f>""</f>
        <v/>
      </c>
      <c r="Q2105" s="7"/>
      <c r="R2105" s="1"/>
      <c r="S2105" s="1" t="str">
        <f>"4-19/NOS-47-A-ZGH/18"</f>
        <v>4-19/NOS-47-A-ZGH/18</v>
      </c>
      <c r="T2105" s="2" t="s">
        <v>538</v>
      </c>
    </row>
    <row r="2106" spans="1:20" ht="127.5" x14ac:dyDescent="0.25">
      <c r="A2106" s="1">
        <v>2102</v>
      </c>
      <c r="B2106" s="1" t="str">
        <f t="shared" si="204"/>
        <v>2018-2867</v>
      </c>
      <c r="C2106" s="2" t="s">
        <v>1138</v>
      </c>
      <c r="D2106" s="1" t="s">
        <v>1139</v>
      </c>
      <c r="E2106" s="3" t="str">
        <f>"2018/S 0F2-0011852"</f>
        <v>2018/S 0F2-0011852</v>
      </c>
      <c r="F2106" s="2" t="s">
        <v>23</v>
      </c>
      <c r="G2106" s="2" t="str">
        <f>CONCATENATE("CRODUX DERIVATI DVA D.O.O.,"," SAVSKA OPATOVINA 36,"," 10000 ZAGREB,"," OIB: 00865396224",CHAR(10),"INA D.D.,"," AVENIJA VEĆESLAVA HOLJEVCA 10,"," 10000 ZAGREB,"," OIB: 27759560625")</f>
        <v>CRODUX DERIVATI DVA D.O.O., SAVSKA OPATOVINA 36, 10000 ZAGREB, OIB: 00865396224
INA D.D., AVENIJA VEĆESLAVA HOLJEVCA 10, 10000 ZAGREB, OIB: 27759560625</v>
      </c>
      <c r="H2106" s="4"/>
      <c r="I2106" s="1" t="s">
        <v>1134</v>
      </c>
      <c r="J2106" s="1" t="s">
        <v>1135</v>
      </c>
      <c r="K2106" s="6" t="str">
        <f>"204.356.500,00"</f>
        <v>204.356.500,00</v>
      </c>
      <c r="L2106" s="6" t="str">
        <f>"51.089.125,00"</f>
        <v>51.089.125,00</v>
      </c>
      <c r="M2106" s="6" t="str">
        <f>"255.445.625,00"</f>
        <v>255.445.625,00</v>
      </c>
      <c r="N2106" s="7"/>
      <c r="O2106" s="7"/>
      <c r="P2106" s="6" t="str">
        <f>""</f>
        <v/>
      </c>
      <c r="Q2106" s="7"/>
      <c r="R2106" s="1"/>
      <c r="S2106" s="1" t="str">
        <f>"NOS-47-B-ZGH/18"</f>
        <v>NOS-47-B-ZGH/18</v>
      </c>
      <c r="T2106" s="2" t="s">
        <v>1140</v>
      </c>
    </row>
    <row r="2107" spans="1:20" ht="25.5" x14ac:dyDescent="0.25">
      <c r="A2107" s="1">
        <v>2103</v>
      </c>
      <c r="B2107" s="1" t="str">
        <f t="shared" si="204"/>
        <v>2018-2867</v>
      </c>
      <c r="C2107" s="2" t="s">
        <v>1138</v>
      </c>
      <c r="D2107" s="1" t="s">
        <v>1139</v>
      </c>
      <c r="E2107" s="3" t="str">
        <f>""</f>
        <v/>
      </c>
      <c r="F2107" s="2" t="s">
        <v>27</v>
      </c>
      <c r="G2107" s="2" t="str">
        <f>CONCATENATE("INA D.D.,"," AVENIJA VEĆESLAVA HOLJEVCA 10,"," 10000 ZAGREB,"," OIB: 27759560625")</f>
        <v>INA D.D., AVENIJA VEĆESLAVA HOLJEVCA 10, 10000 ZAGREB, OIB: 27759560625</v>
      </c>
      <c r="H2107" s="4"/>
      <c r="I2107" s="1" t="s">
        <v>929</v>
      </c>
      <c r="J2107" s="1" t="s">
        <v>397</v>
      </c>
      <c r="K2107" s="6" t="str">
        <f>"24.533.685,00"</f>
        <v>24.533.685,00</v>
      </c>
      <c r="L2107" s="6" t="str">
        <f>"6.133.421,25"</f>
        <v>6.133.421,25</v>
      </c>
      <c r="M2107" s="6" t="str">
        <f>"30.667.106,25"</f>
        <v>30.667.106,25</v>
      </c>
      <c r="N2107" s="5">
        <v>43720</v>
      </c>
      <c r="O2107" s="7"/>
      <c r="P2107" s="6" t="str">
        <f>"1.072.712,81"</f>
        <v>1.072.712,81</v>
      </c>
      <c r="Q2107" s="7"/>
      <c r="R2107" s="1"/>
      <c r="S2107" s="1" t="str">
        <f>"2-18/NOS-47-B-ZGH/18"</f>
        <v>2-18/NOS-47-B-ZGH/18</v>
      </c>
      <c r="T2107" s="2" t="s">
        <v>33</v>
      </c>
    </row>
    <row r="2108" spans="1:20" ht="127.5" x14ac:dyDescent="0.25">
      <c r="A2108" s="1">
        <v>2104</v>
      </c>
      <c r="B2108" s="1" t="str">
        <f t="shared" si="204"/>
        <v>2018-2867</v>
      </c>
      <c r="C2108" s="2" t="s">
        <v>1138</v>
      </c>
      <c r="D2108" s="1" t="s">
        <v>1139</v>
      </c>
      <c r="E2108" s="3" t="str">
        <f>"2018/S 0F2-0011852"</f>
        <v>2018/S 0F2-0011852</v>
      </c>
      <c r="F2108" s="2" t="s">
        <v>23</v>
      </c>
      <c r="G2108" s="2" t="str">
        <f>CONCATENATE("CRODUX DERIVATI DVA D.O.O.,"," SAVSKA OPATOVINA 36,"," 10000 ZAGREB,"," OIB: 00865396224",CHAR(10),"INA D.D.,"," AVENIJA VEĆESLAVA HOLJEVCA 10,"," 10000 ZAGREB,"," OIB: 27759560625",CHAR(10),"PETROL D.O.O.,"," OTOK,"," OREŠKOVIĆEVA 6/H,"," 10000 ZAGREB,"," OIB: 75550985023")</f>
        <v>CRODUX DERIVATI DVA D.O.O., SAVSKA OPATOVINA 36, 10000 ZAGREB, OIB: 00865396224
INA D.D., AVENIJA VEĆESLAVA HOLJEVCA 10, 10000 ZAGREB, OIB: 27759560625
PETROL D.O.O., OTOK, OREŠKOVIĆEVA 6/H, 10000 ZAGREB, OIB: 75550985023</v>
      </c>
      <c r="H2108" s="4"/>
      <c r="I2108" s="1" t="s">
        <v>1134</v>
      </c>
      <c r="J2108" s="1" t="s">
        <v>1135</v>
      </c>
      <c r="K2108" s="6" t="str">
        <f>"28.000.000,00"</f>
        <v>28.000.000,00</v>
      </c>
      <c r="L2108" s="6" t="str">
        <f>"7.000.000,00"</f>
        <v>7.000.000,00</v>
      </c>
      <c r="M2108" s="6" t="str">
        <f>"35.000.000,00"</f>
        <v>35.000.000,00</v>
      </c>
      <c r="N2108" s="7"/>
      <c r="O2108" s="7"/>
      <c r="P2108" s="6" t="str">
        <f>""</f>
        <v/>
      </c>
      <c r="Q2108" s="7"/>
      <c r="R2108" s="1"/>
      <c r="S2108" s="1" t="str">
        <f>"NOS-47-C-ZGH/18"</f>
        <v>NOS-47-C-ZGH/18</v>
      </c>
      <c r="T2108" s="2" t="s">
        <v>1140</v>
      </c>
    </row>
    <row r="2109" spans="1:20" ht="25.5" x14ac:dyDescent="0.25">
      <c r="A2109" s="1">
        <v>2105</v>
      </c>
      <c r="B2109" s="1" t="str">
        <f t="shared" si="204"/>
        <v>2018-2867</v>
      </c>
      <c r="C2109" s="2" t="s">
        <v>1138</v>
      </c>
      <c r="D2109" s="1" t="s">
        <v>1139</v>
      </c>
      <c r="E2109" s="3" t="str">
        <f>""</f>
        <v/>
      </c>
      <c r="F2109" s="2" t="s">
        <v>27</v>
      </c>
      <c r="G2109" s="2" t="str">
        <f>CONCATENATE("INA D.D.,"," AVENIJA VEĆESLAVA HOLJEVCA 10,"," 10000 ZAGREB,"," OIB: 27759560625")</f>
        <v>INA D.D., AVENIJA VEĆESLAVA HOLJEVCA 10, 10000 ZAGREB, OIB: 27759560625</v>
      </c>
      <c r="H2109" s="4"/>
      <c r="I2109" s="1" t="s">
        <v>1141</v>
      </c>
      <c r="J2109" s="1" t="s">
        <v>28</v>
      </c>
      <c r="K2109" s="6" t="str">
        <f>"59.550,00"</f>
        <v>59.550,00</v>
      </c>
      <c r="L2109" s="6" t="str">
        <f>"14.887,50"</f>
        <v>14.887,50</v>
      </c>
      <c r="M2109" s="6" t="str">
        <f>"74.437,50"</f>
        <v>74.437,50</v>
      </c>
      <c r="N2109" s="1" t="s">
        <v>117</v>
      </c>
      <c r="O2109" s="7"/>
      <c r="P2109" s="6" t="str">
        <f>""</f>
        <v/>
      </c>
      <c r="Q2109" s="7"/>
      <c r="R2109" s="1"/>
      <c r="S2109" s="1" t="str">
        <f>"3-18/NOS-47-C-ZGH/18"</f>
        <v>3-18/NOS-47-C-ZGH/18</v>
      </c>
      <c r="T2109" s="2" t="s">
        <v>29</v>
      </c>
    </row>
    <row r="2110" spans="1:20" ht="25.5" x14ac:dyDescent="0.25">
      <c r="A2110" s="1">
        <v>2106</v>
      </c>
      <c r="B2110" s="1" t="str">
        <f t="shared" si="204"/>
        <v>2018-2867</v>
      </c>
      <c r="C2110" s="2" t="s">
        <v>1138</v>
      </c>
      <c r="D2110" s="1" t="s">
        <v>1139</v>
      </c>
      <c r="E2110" s="3" t="str">
        <f>""</f>
        <v/>
      </c>
      <c r="F2110" s="2" t="s">
        <v>27</v>
      </c>
      <c r="G2110" s="2" t="str">
        <f>CONCATENATE("INA D.D.,"," AVENIJA VEĆESLAVA HOLJEVCA 10,"," 10000 ZAGREB,"," OIB: 27759560625")</f>
        <v>INA D.D., AVENIJA VEĆESLAVA HOLJEVCA 10, 10000 ZAGREB, OIB: 27759560625</v>
      </c>
      <c r="H2110" s="4"/>
      <c r="I2110" s="1" t="s">
        <v>929</v>
      </c>
      <c r="J2110" s="1" t="s">
        <v>397</v>
      </c>
      <c r="K2110" s="6" t="str">
        <f>"3.737.217,00"</f>
        <v>3.737.217,00</v>
      </c>
      <c r="L2110" s="6" t="str">
        <f>"934.304,25"</f>
        <v>934.304,25</v>
      </c>
      <c r="M2110" s="6" t="str">
        <f>"4.671.521,25"</f>
        <v>4.671.521,25</v>
      </c>
      <c r="N2110" s="5">
        <v>43714</v>
      </c>
      <c r="O2110" s="7"/>
      <c r="P2110" s="6" t="str">
        <f>"424.047,50"</f>
        <v>424.047,50</v>
      </c>
      <c r="Q2110" s="7"/>
      <c r="R2110" s="1"/>
      <c r="S2110" s="1" t="str">
        <f>"5-18/NOS-47-C-ZGH/18"</f>
        <v>5-18/NOS-47-C-ZGH/18</v>
      </c>
      <c r="T2110" s="2" t="s">
        <v>33</v>
      </c>
    </row>
    <row r="2111" spans="1:20" ht="25.5" x14ac:dyDescent="0.25">
      <c r="A2111" s="1">
        <v>2107</v>
      </c>
      <c r="B2111" s="1" t="str">
        <f t="shared" si="204"/>
        <v>2018-2867</v>
      </c>
      <c r="C2111" s="2" t="s">
        <v>1138</v>
      </c>
      <c r="D2111" s="1" t="s">
        <v>1139</v>
      </c>
      <c r="E2111" s="3" t="str">
        <f>""</f>
        <v/>
      </c>
      <c r="F2111" s="2" t="s">
        <v>27</v>
      </c>
      <c r="G2111" s="2" t="str">
        <f>CONCATENATE("PETROL D.O.O.,"," OTOK,"," OREŠKOVIĆEVA 6/H,"," 10000 ZAGREB,"," OIB: 75550985023")</f>
        <v>PETROL D.O.O., OTOK, OREŠKOVIĆEVA 6/H, 10000 ZAGREB, OIB: 75550985023</v>
      </c>
      <c r="H2111" s="4"/>
      <c r="I2111" s="1" t="s">
        <v>435</v>
      </c>
      <c r="J2111" s="1" t="s">
        <v>492</v>
      </c>
      <c r="K2111" s="6" t="str">
        <f>"29.470,00"</f>
        <v>29.470,00</v>
      </c>
      <c r="L2111" s="6" t="str">
        <f>"0,00"</f>
        <v>0,00</v>
      </c>
      <c r="M2111" s="6" t="str">
        <f>"0,00"</f>
        <v>0,00</v>
      </c>
      <c r="N2111" s="1" t="s">
        <v>117</v>
      </c>
      <c r="O2111" s="7"/>
      <c r="P2111" s="6" t="str">
        <f>"0,00"</f>
        <v>0,00</v>
      </c>
      <c r="Q2111" s="7"/>
      <c r="R2111" s="1"/>
      <c r="S2111" s="1" t="str">
        <f>"1-19/NOS-47-C-ZGH/18"</f>
        <v>1-19/NOS-47-C-ZGH/18</v>
      </c>
      <c r="T2111" s="2" t="s">
        <v>33</v>
      </c>
    </row>
    <row r="2112" spans="1:20" ht="25.5" x14ac:dyDescent="0.25">
      <c r="A2112" s="1">
        <v>2108</v>
      </c>
      <c r="B2112" s="1" t="str">
        <f t="shared" si="204"/>
        <v>2018-2867</v>
      </c>
      <c r="C2112" s="2" t="s">
        <v>1138</v>
      </c>
      <c r="D2112" s="1" t="s">
        <v>1139</v>
      </c>
      <c r="E2112" s="3" t="str">
        <f>""</f>
        <v/>
      </c>
      <c r="F2112" s="2" t="s">
        <v>27</v>
      </c>
      <c r="G2112" s="2" t="str">
        <f>CONCATENATE("INA D.D.,"," AVENIJA VEĆESLAVA HOLJEVCA 10,"," 10000 ZAGREB,"," OIB: 27759560625")</f>
        <v>INA D.D., AVENIJA VEĆESLAVA HOLJEVCA 10, 10000 ZAGREB, OIB: 27759560625</v>
      </c>
      <c r="H2112" s="4"/>
      <c r="I2112" s="1" t="s">
        <v>597</v>
      </c>
      <c r="J2112" s="1" t="s">
        <v>303</v>
      </c>
      <c r="K2112" s="6" t="str">
        <f>"41.300,00"</f>
        <v>41.300,00</v>
      </c>
      <c r="L2112" s="6" t="str">
        <f>"9.297,50"</f>
        <v>9.297,50</v>
      </c>
      <c r="M2112" s="6" t="str">
        <f>"46.487,50"</f>
        <v>46.487,50</v>
      </c>
      <c r="N2112" s="5">
        <v>43642</v>
      </c>
      <c r="O2112" s="7"/>
      <c r="P2112" s="6" t="str">
        <f>"46.487,50"</f>
        <v>46.487,50</v>
      </c>
      <c r="Q2112" s="7"/>
      <c r="R2112" s="1"/>
      <c r="S2112" s="1" t="str">
        <f>"2-19/NOS-47-C-ZGH/18"</f>
        <v>2-19/NOS-47-C-ZGH/18</v>
      </c>
      <c r="T2112" s="2" t="s">
        <v>33</v>
      </c>
    </row>
    <row r="2113" spans="1:20" ht="38.25" x14ac:dyDescent="0.25">
      <c r="A2113" s="1">
        <v>2109</v>
      </c>
      <c r="B2113" s="1" t="str">
        <f t="shared" ref="B2113:B2120" si="206">"2018-2715"</f>
        <v>2018-2715</v>
      </c>
      <c r="C2113" s="2" t="s">
        <v>1142</v>
      </c>
      <c r="D2113" s="1" t="s">
        <v>136</v>
      </c>
      <c r="E2113" s="3" t="str">
        <f>"2018/S 0F2-0016674"</f>
        <v>2018/S 0F2-0016674</v>
      </c>
      <c r="F2113" s="2" t="s">
        <v>23</v>
      </c>
      <c r="G2113" s="2" t="str">
        <f>CONCATENATE("RESNIK-BETON D.O.O.,"," LJUDEVITA POSAVSKOG 31,"," 10360 SESVETE,"," OIB: 70155272984")</f>
        <v>RESNIK-BETON D.O.O., LJUDEVITA POSAVSKOG 31, 10360 SESVETE, OIB: 70155272984</v>
      </c>
      <c r="H2113" s="4"/>
      <c r="I2113" s="1" t="s">
        <v>740</v>
      </c>
      <c r="J2113" s="1" t="s">
        <v>1143</v>
      </c>
      <c r="K2113" s="6" t="str">
        <f>"9.850.000,00"</f>
        <v>9.850.000,00</v>
      </c>
      <c r="L2113" s="6" t="str">
        <f>"2.462.500,00"</f>
        <v>2.462.500,00</v>
      </c>
      <c r="M2113" s="6" t="str">
        <f>"12.312.500,00"</f>
        <v>12.312.500,00</v>
      </c>
      <c r="N2113" s="7"/>
      <c r="O2113" s="7"/>
      <c r="P2113" s="6" t="str">
        <f>""</f>
        <v/>
      </c>
      <c r="Q2113" s="7"/>
      <c r="R2113" s="1"/>
      <c r="S2113" s="1" t="str">
        <f>"NOS-48-A/18"</f>
        <v>NOS-48-A/18</v>
      </c>
      <c r="T2113" s="2" t="s">
        <v>33</v>
      </c>
    </row>
    <row r="2114" spans="1:20" ht="38.25" x14ac:dyDescent="0.25">
      <c r="A2114" s="1">
        <v>2110</v>
      </c>
      <c r="B2114" s="1" t="str">
        <f t="shared" si="206"/>
        <v>2018-2715</v>
      </c>
      <c r="C2114" s="2" t="s">
        <v>1142</v>
      </c>
      <c r="D2114" s="1" t="s">
        <v>136</v>
      </c>
      <c r="E2114" s="3" t="str">
        <f>""</f>
        <v/>
      </c>
      <c r="F2114" s="2" t="s">
        <v>27</v>
      </c>
      <c r="G2114" s="2" t="str">
        <f>CONCATENATE("RESNIK-BETON D.O.O.,"," LJUDEVITA POSAVSKOG 31,"," 10360 SESVETE,"," OIB: 70155272984")</f>
        <v>RESNIK-BETON D.O.O., LJUDEVITA POSAVSKOG 31, 10360 SESVETE, OIB: 70155272984</v>
      </c>
      <c r="H2114" s="4"/>
      <c r="I2114" s="1" t="s">
        <v>1144</v>
      </c>
      <c r="J2114" s="1" t="s">
        <v>114</v>
      </c>
      <c r="K2114" s="6" t="str">
        <f>"390.795,00"</f>
        <v>390.795,00</v>
      </c>
      <c r="L2114" s="6" t="str">
        <f>"97.698,75"</f>
        <v>97.698,75</v>
      </c>
      <c r="M2114" s="6" t="str">
        <f>"488.493,75"</f>
        <v>488.493,75</v>
      </c>
      <c r="N2114" s="5">
        <v>43708</v>
      </c>
      <c r="O2114" s="7"/>
      <c r="P2114" s="6" t="str">
        <f>"287.084,06"</f>
        <v>287.084,06</v>
      </c>
      <c r="Q2114" s="7"/>
      <c r="R2114" s="1"/>
      <c r="S2114" s="1" t="str">
        <f>"1-18/NOS-48-A/18"</f>
        <v>1-18/NOS-48-A/18</v>
      </c>
      <c r="T2114" s="2" t="s">
        <v>33</v>
      </c>
    </row>
    <row r="2115" spans="1:20" ht="38.25" x14ac:dyDescent="0.25">
      <c r="A2115" s="1">
        <v>2111</v>
      </c>
      <c r="B2115" s="1" t="str">
        <f t="shared" si="206"/>
        <v>2018-2715</v>
      </c>
      <c r="C2115" s="2" t="s">
        <v>1142</v>
      </c>
      <c r="D2115" s="1" t="s">
        <v>136</v>
      </c>
      <c r="E2115" s="3" t="str">
        <f>""</f>
        <v/>
      </c>
      <c r="F2115" s="2" t="s">
        <v>27</v>
      </c>
      <c r="G2115" s="2" t="str">
        <f>CONCATENATE("RESNIK-BETON D.O.O.,"," LJUDEVITA POSAVSKOG 31,"," 10360 SESVETE,"," OIB: 70155272984")</f>
        <v>RESNIK-BETON D.O.O., LJUDEVITA POSAVSKOG 31, 10360 SESVETE, OIB: 70155272984</v>
      </c>
      <c r="H2115" s="4"/>
      <c r="I2115" s="1" t="s">
        <v>257</v>
      </c>
      <c r="J2115" s="1" t="s">
        <v>64</v>
      </c>
      <c r="K2115" s="6" t="str">
        <f>"636.700,00"</f>
        <v>636.700,00</v>
      </c>
      <c r="L2115" s="6" t="str">
        <f>"159.175,00"</f>
        <v>159.175,00</v>
      </c>
      <c r="M2115" s="6" t="str">
        <f>"795.875,00"</f>
        <v>795.875,00</v>
      </c>
      <c r="N2115" s="5">
        <v>43631</v>
      </c>
      <c r="O2115" s="7"/>
      <c r="P2115" s="6" t="str">
        <f>"798.189,69"</f>
        <v>798.189,69</v>
      </c>
      <c r="Q2115" s="7"/>
      <c r="R2115" s="1"/>
      <c r="S2115" s="1" t="str">
        <f>"1-19/NOS-48-A/18"</f>
        <v>1-19/NOS-48-A/18</v>
      </c>
      <c r="T2115" s="2" t="s">
        <v>33</v>
      </c>
    </row>
    <row r="2116" spans="1:20" ht="38.25" x14ac:dyDescent="0.25">
      <c r="A2116" s="1">
        <v>2112</v>
      </c>
      <c r="B2116" s="1" t="str">
        <f t="shared" si="206"/>
        <v>2018-2715</v>
      </c>
      <c r="C2116" s="2" t="s">
        <v>1142</v>
      </c>
      <c r="D2116" s="1" t="s">
        <v>136</v>
      </c>
      <c r="E2116" s="3" t="str">
        <f>"2018/S 0F2-0016674"</f>
        <v>2018/S 0F2-0016674</v>
      </c>
      <c r="F2116" s="2" t="s">
        <v>23</v>
      </c>
      <c r="G2116" s="2" t="str">
        <f>CONCATENATE("GIP PIONIR D.O.O.,"," ZAGREBAČKA 145B,"," 10000 ZAGREB,"," OIB: 38262788673")</f>
        <v>GIP PIONIR D.O.O., ZAGREBAČKA 145B, 10000 ZAGREB, OIB: 38262788673</v>
      </c>
      <c r="H2116" s="4"/>
      <c r="I2116" s="1" t="s">
        <v>740</v>
      </c>
      <c r="J2116" s="1" t="s">
        <v>1143</v>
      </c>
      <c r="K2116" s="6" t="str">
        <f>"5.750.000,00"</f>
        <v>5.750.000,00</v>
      </c>
      <c r="L2116" s="6" t="str">
        <f>"1.437.500,00"</f>
        <v>1.437.500,00</v>
      </c>
      <c r="M2116" s="6" t="str">
        <f>"7.187.500,00"</f>
        <v>7.187.500,00</v>
      </c>
      <c r="N2116" s="7"/>
      <c r="O2116" s="7"/>
      <c r="P2116" s="6" t="str">
        <f>""</f>
        <v/>
      </c>
      <c r="Q2116" s="7"/>
      <c r="R2116" s="1"/>
      <c r="S2116" s="1" t="str">
        <f>"NOS-48-B/18"</f>
        <v>NOS-48-B/18</v>
      </c>
      <c r="T2116" s="2" t="s">
        <v>33</v>
      </c>
    </row>
    <row r="2117" spans="1:20" ht="25.5" x14ac:dyDescent="0.25">
      <c r="A2117" s="1">
        <v>2113</v>
      </c>
      <c r="B2117" s="1" t="str">
        <f t="shared" si="206"/>
        <v>2018-2715</v>
      </c>
      <c r="C2117" s="2" t="s">
        <v>1142</v>
      </c>
      <c r="D2117" s="1" t="s">
        <v>136</v>
      </c>
      <c r="E2117" s="3" t="str">
        <f>""</f>
        <v/>
      </c>
      <c r="F2117" s="2" t="s">
        <v>27</v>
      </c>
      <c r="G2117" s="2" t="str">
        <f>CONCATENATE("GIP PIONIR D.O.O.,"," ZAGREBAČKA 145B,"," 10000 ZAGREB,"," OIB: 38262788673")</f>
        <v>GIP PIONIR D.O.O., ZAGREBAČKA 145B, 10000 ZAGREB, OIB: 38262788673</v>
      </c>
      <c r="H2117" s="4"/>
      <c r="I2117" s="1" t="s">
        <v>172</v>
      </c>
      <c r="J2117" s="1" t="s">
        <v>114</v>
      </c>
      <c r="K2117" s="6" t="str">
        <f>"396.360,00"</f>
        <v>396.360,00</v>
      </c>
      <c r="L2117" s="6" t="str">
        <f>"99.090,00"</f>
        <v>99.090,00</v>
      </c>
      <c r="M2117" s="6" t="str">
        <f>"495.450,00"</f>
        <v>495.450,00</v>
      </c>
      <c r="N2117" s="5">
        <v>43708</v>
      </c>
      <c r="O2117" s="7"/>
      <c r="P2117" s="6" t="str">
        <f>"432.510,00"</f>
        <v>432.510,00</v>
      </c>
      <c r="Q2117" s="7"/>
      <c r="R2117" s="1"/>
      <c r="S2117" s="1" t="str">
        <f>"1-18/NOS-48-B/18"</f>
        <v>1-18/NOS-48-B/18</v>
      </c>
      <c r="T2117" s="2" t="s">
        <v>33</v>
      </c>
    </row>
    <row r="2118" spans="1:20" ht="38.25" x14ac:dyDescent="0.25">
      <c r="A2118" s="1">
        <v>2114</v>
      </c>
      <c r="B2118" s="1" t="str">
        <f t="shared" si="206"/>
        <v>2018-2715</v>
      </c>
      <c r="C2118" s="2" t="s">
        <v>1142</v>
      </c>
      <c r="D2118" s="1" t="s">
        <v>136</v>
      </c>
      <c r="E2118" s="3" t="str">
        <f>"2018/S 0F2-0016674"</f>
        <v>2018/S 0F2-0016674</v>
      </c>
      <c r="F2118" s="2" t="s">
        <v>23</v>
      </c>
      <c r="G2118" s="2" t="str">
        <f>CONCATENATE("MALI GRM D.O.O.,"," GRANČARSKA I ODV. 2,"," 10257 BREZOVICA,"," OIB: 91276298719")</f>
        <v>MALI GRM D.O.O., GRANČARSKA I ODV. 2, 10257 BREZOVICA, OIB: 91276298719</v>
      </c>
      <c r="H2118" s="4"/>
      <c r="I2118" s="1" t="s">
        <v>740</v>
      </c>
      <c r="J2118" s="1" t="s">
        <v>1143</v>
      </c>
      <c r="K2118" s="6" t="str">
        <f>"9.000.000,00"</f>
        <v>9.000.000,00</v>
      </c>
      <c r="L2118" s="6" t="str">
        <f>"2.250.000,00"</f>
        <v>2.250.000,00</v>
      </c>
      <c r="M2118" s="6" t="str">
        <f>"11.250.000,00"</f>
        <v>11.250.000,00</v>
      </c>
      <c r="N2118" s="7"/>
      <c r="O2118" s="7"/>
      <c r="P2118" s="6" t="str">
        <f>""</f>
        <v/>
      </c>
      <c r="Q2118" s="7"/>
      <c r="R2118" s="1"/>
      <c r="S2118" s="1" t="str">
        <f>"NOS-48-C/18"</f>
        <v>NOS-48-C/18</v>
      </c>
      <c r="T2118" s="2" t="s">
        <v>33</v>
      </c>
    </row>
    <row r="2119" spans="1:20" ht="25.5" x14ac:dyDescent="0.25">
      <c r="A2119" s="1">
        <v>2115</v>
      </c>
      <c r="B2119" s="1" t="str">
        <f t="shared" si="206"/>
        <v>2018-2715</v>
      </c>
      <c r="C2119" s="2" t="s">
        <v>1142</v>
      </c>
      <c r="D2119" s="1" t="s">
        <v>136</v>
      </c>
      <c r="E2119" s="3" t="str">
        <f>""</f>
        <v/>
      </c>
      <c r="F2119" s="2" t="s">
        <v>27</v>
      </c>
      <c r="G2119" s="2" t="str">
        <f>CONCATENATE("MALI GRM D.O.O.,"," GRANČARSKA I ODV. 2,"," 10257 BREZOVICA,"," OIB: 91276298719")</f>
        <v>MALI GRM D.O.O., GRANČARSKA I ODV. 2, 10257 BREZOVICA, OIB: 91276298719</v>
      </c>
      <c r="H2119" s="4"/>
      <c r="I2119" s="1" t="s">
        <v>263</v>
      </c>
      <c r="J2119" s="1" t="s">
        <v>114</v>
      </c>
      <c r="K2119" s="6" t="str">
        <f>"399.710,00"</f>
        <v>399.710,00</v>
      </c>
      <c r="L2119" s="6" t="str">
        <f>"99.927,50"</f>
        <v>99.927,50</v>
      </c>
      <c r="M2119" s="6" t="str">
        <f>"499.637,50"</f>
        <v>499.637,50</v>
      </c>
      <c r="N2119" s="5">
        <v>43496</v>
      </c>
      <c r="O2119" s="7"/>
      <c r="P2119" s="6" t="str">
        <f>"495.957,50"</f>
        <v>495.957,50</v>
      </c>
      <c r="Q2119" s="7"/>
      <c r="R2119" s="1"/>
      <c r="S2119" s="1" t="str">
        <f>"1-18/NOS-48-C/18"</f>
        <v>1-18/NOS-48-C/18</v>
      </c>
      <c r="T2119" s="2" t="s">
        <v>33</v>
      </c>
    </row>
    <row r="2120" spans="1:20" ht="25.5" x14ac:dyDescent="0.25">
      <c r="A2120" s="1">
        <v>2116</v>
      </c>
      <c r="B2120" s="1" t="str">
        <f t="shared" si="206"/>
        <v>2018-2715</v>
      </c>
      <c r="C2120" s="2" t="s">
        <v>1142</v>
      </c>
      <c r="D2120" s="1" t="s">
        <v>136</v>
      </c>
      <c r="E2120" s="3" t="str">
        <f>""</f>
        <v/>
      </c>
      <c r="F2120" s="2" t="s">
        <v>27</v>
      </c>
      <c r="G2120" s="2" t="str">
        <f>CONCATENATE("MALI GRM D.O.O.,"," GRANČARSKA I ODV. 2,"," 10257 BREZOVICA,"," OIB: 91276298719")</f>
        <v>MALI GRM D.O.O., GRANČARSKA I ODV. 2, 10257 BREZOVICA, OIB: 91276298719</v>
      </c>
      <c r="H2120" s="4"/>
      <c r="I2120" s="1" t="s">
        <v>257</v>
      </c>
      <c r="J2120" s="1" t="s">
        <v>64</v>
      </c>
      <c r="K2120" s="6" t="str">
        <f>"997.850,00"</f>
        <v>997.850,00</v>
      </c>
      <c r="L2120" s="6" t="str">
        <f>"249.462,50"</f>
        <v>249.462,50</v>
      </c>
      <c r="M2120" s="6" t="str">
        <f>"1.247.312,50"</f>
        <v>1.247.312,50</v>
      </c>
      <c r="N2120" s="5">
        <v>43661</v>
      </c>
      <c r="O2120" s="7"/>
      <c r="P2120" s="6" t="str">
        <f>"1.271.118,75"</f>
        <v>1.271.118,75</v>
      </c>
      <c r="Q2120" s="7"/>
      <c r="R2120" s="1"/>
      <c r="S2120" s="1" t="str">
        <f>"1-19/NOS-48-C/18"</f>
        <v>1-19/NOS-48-C/18</v>
      </c>
      <c r="T2120" s="2" t="s">
        <v>33</v>
      </c>
    </row>
    <row r="2121" spans="1:20" ht="38.25" x14ac:dyDescent="0.25">
      <c r="A2121" s="1">
        <v>2117</v>
      </c>
      <c r="B2121" s="1" t="str">
        <f t="shared" ref="B2121:B2134" si="207">"2018-2789"</f>
        <v>2018-2789</v>
      </c>
      <c r="C2121" s="2" t="s">
        <v>1123</v>
      </c>
      <c r="D2121" s="1" t="s">
        <v>1026</v>
      </c>
      <c r="E2121" s="3" t="str">
        <f>"2018/S 0F2-0018170"</f>
        <v>2018/S 0F2-0018170</v>
      </c>
      <c r="F2121" s="2" t="s">
        <v>23</v>
      </c>
      <c r="G2121" s="2" t="str">
        <f t="shared" ref="G2121:G2131" si="208">CONCATENATE("OTIS DIZALA D.O.O.,"," PRILAZ VLADISLAVA BRAJKOVIĆA 15,"," 10000 ZAGREB,"," OIB: 76080865307")</f>
        <v>OTIS DIZALA D.O.O., PRILAZ VLADISLAVA BRAJKOVIĆA 15, 10000 ZAGREB, OIB: 76080865307</v>
      </c>
      <c r="H2121" s="4"/>
      <c r="I2121" s="1" t="s">
        <v>367</v>
      </c>
      <c r="J2121" s="1" t="s">
        <v>1145</v>
      </c>
      <c r="K2121" s="6" t="str">
        <f>"1.060.000,00"</f>
        <v>1.060.000,00</v>
      </c>
      <c r="L2121" s="6" t="str">
        <f>"265.000,00"</f>
        <v>265.000,00</v>
      </c>
      <c r="M2121" s="6" t="str">
        <f>"1.325.000,00"</f>
        <v>1.325.000,00</v>
      </c>
      <c r="N2121" s="7"/>
      <c r="O2121" s="7"/>
      <c r="P2121" s="6" t="str">
        <f>""</f>
        <v/>
      </c>
      <c r="Q2121" s="7"/>
      <c r="R2121" s="1"/>
      <c r="S2121" s="1" t="str">
        <f>"NOS-49-A/18"</f>
        <v>NOS-49-A/18</v>
      </c>
      <c r="T2121" s="2" t="s">
        <v>26</v>
      </c>
    </row>
    <row r="2122" spans="1:20" ht="38.25" x14ac:dyDescent="0.25">
      <c r="A2122" s="1">
        <v>2118</v>
      </c>
      <c r="B2122" s="1" t="str">
        <f t="shared" si="207"/>
        <v>2018-2789</v>
      </c>
      <c r="C2122" s="2" t="s">
        <v>1123</v>
      </c>
      <c r="D2122" s="1" t="s">
        <v>1026</v>
      </c>
      <c r="E2122" s="3" t="str">
        <f>""</f>
        <v/>
      </c>
      <c r="F2122" s="2" t="s">
        <v>27</v>
      </c>
      <c r="G2122" s="2" t="str">
        <f t="shared" si="208"/>
        <v>OTIS DIZALA D.O.O., PRILAZ VLADISLAVA BRAJKOVIĆA 15, 10000 ZAGREB, OIB: 76080865307</v>
      </c>
      <c r="H2122" s="4"/>
      <c r="I2122" s="1" t="s">
        <v>263</v>
      </c>
      <c r="J2122" s="1" t="s">
        <v>28</v>
      </c>
      <c r="K2122" s="6" t="str">
        <f>"168.037,40"</f>
        <v>168.037,40</v>
      </c>
      <c r="L2122" s="6" t="str">
        <f>"42.009,35"</f>
        <v>42.009,35</v>
      </c>
      <c r="M2122" s="6" t="str">
        <f>"210.046,75"</f>
        <v>210.046,75</v>
      </c>
      <c r="N2122" s="5">
        <v>43697</v>
      </c>
      <c r="O2122" s="7"/>
      <c r="P2122" s="6" t="str">
        <f>"82.687,50"</f>
        <v>82.687,50</v>
      </c>
      <c r="Q2122" s="7"/>
      <c r="R2122" s="1"/>
      <c r="S2122" s="1" t="str">
        <f>"2-18/NOS-49-A/18"</f>
        <v>2-18/NOS-49-A/18</v>
      </c>
      <c r="T2122" s="2" t="s">
        <v>33</v>
      </c>
    </row>
    <row r="2123" spans="1:20" ht="38.25" x14ac:dyDescent="0.25">
      <c r="A2123" s="1">
        <v>2119</v>
      </c>
      <c r="B2123" s="1" t="str">
        <f t="shared" si="207"/>
        <v>2018-2789</v>
      </c>
      <c r="C2123" s="2" t="s">
        <v>1123</v>
      </c>
      <c r="D2123" s="1" t="s">
        <v>1026</v>
      </c>
      <c r="E2123" s="3" t="str">
        <f>""</f>
        <v/>
      </c>
      <c r="F2123" s="2" t="s">
        <v>27</v>
      </c>
      <c r="G2123" s="2" t="str">
        <f t="shared" si="208"/>
        <v>OTIS DIZALA D.O.O., PRILAZ VLADISLAVA BRAJKOVIĆA 15, 10000 ZAGREB, OIB: 76080865307</v>
      </c>
      <c r="H2123" s="4"/>
      <c r="I2123" s="1" t="s">
        <v>248</v>
      </c>
      <c r="J2123" s="1" t="s">
        <v>469</v>
      </c>
      <c r="K2123" s="6" t="str">
        <f>"26.478,00"</f>
        <v>26.478,00</v>
      </c>
      <c r="L2123" s="6" t="str">
        <f>"0,00"</f>
        <v>0,00</v>
      </c>
      <c r="M2123" s="6" t="str">
        <f>"0,00"</f>
        <v>0,00</v>
      </c>
      <c r="N2123" s="1" t="s">
        <v>117</v>
      </c>
      <c r="O2123" s="7"/>
      <c r="P2123" s="6" t="str">
        <f>"0,00"</f>
        <v>0,00</v>
      </c>
      <c r="Q2123" s="7"/>
      <c r="R2123" s="1"/>
      <c r="S2123" s="1" t="str">
        <f>"1-19/NOS-49-A/18"</f>
        <v>1-19/NOS-49-A/18</v>
      </c>
      <c r="T2123" s="2" t="s">
        <v>33</v>
      </c>
    </row>
    <row r="2124" spans="1:20" ht="38.25" x14ac:dyDescent="0.25">
      <c r="A2124" s="1">
        <v>2120</v>
      </c>
      <c r="B2124" s="1" t="str">
        <f t="shared" si="207"/>
        <v>2018-2789</v>
      </c>
      <c r="C2124" s="2" t="s">
        <v>1123</v>
      </c>
      <c r="D2124" s="1" t="s">
        <v>1026</v>
      </c>
      <c r="E2124" s="3" t="str">
        <f>""</f>
        <v/>
      </c>
      <c r="F2124" s="2" t="s">
        <v>27</v>
      </c>
      <c r="G2124" s="2" t="str">
        <f t="shared" si="208"/>
        <v>OTIS DIZALA D.O.O., PRILAZ VLADISLAVA BRAJKOVIĆA 15, 10000 ZAGREB, OIB: 76080865307</v>
      </c>
      <c r="H2124" s="4"/>
      <c r="I2124" s="1" t="s">
        <v>463</v>
      </c>
      <c r="J2124" s="1" t="s">
        <v>492</v>
      </c>
      <c r="K2124" s="6" t="str">
        <f>"6.000,00"</f>
        <v>6.000,00</v>
      </c>
      <c r="L2124" s="6" t="str">
        <f>"150,00"</f>
        <v>150,00</v>
      </c>
      <c r="M2124" s="6" t="str">
        <f>"750,00"</f>
        <v>750,00</v>
      </c>
      <c r="N2124" s="5">
        <v>43555</v>
      </c>
      <c r="O2124" s="7"/>
      <c r="P2124" s="6" t="str">
        <f>"750,00"</f>
        <v>750,00</v>
      </c>
      <c r="Q2124" s="7"/>
      <c r="R2124" s="1"/>
      <c r="S2124" s="1" t="str">
        <f>"2-19/NOS-49-A/18"</f>
        <v>2-19/NOS-49-A/18</v>
      </c>
      <c r="T2124" s="2" t="s">
        <v>33</v>
      </c>
    </row>
    <row r="2125" spans="1:20" ht="38.25" x14ac:dyDescent="0.25">
      <c r="A2125" s="1">
        <v>2121</v>
      </c>
      <c r="B2125" s="1" t="str">
        <f t="shared" si="207"/>
        <v>2018-2789</v>
      </c>
      <c r="C2125" s="2" t="s">
        <v>1123</v>
      </c>
      <c r="D2125" s="1" t="s">
        <v>1026</v>
      </c>
      <c r="E2125" s="3" t="str">
        <f>""</f>
        <v/>
      </c>
      <c r="F2125" s="2" t="s">
        <v>27</v>
      </c>
      <c r="G2125" s="2" t="str">
        <f t="shared" si="208"/>
        <v>OTIS DIZALA D.O.O., PRILAZ VLADISLAVA BRAJKOVIĆA 15, 10000 ZAGREB, OIB: 76080865307</v>
      </c>
      <c r="H2125" s="4"/>
      <c r="I2125" s="1" t="s">
        <v>498</v>
      </c>
      <c r="J2125" s="1" t="s">
        <v>251</v>
      </c>
      <c r="K2125" s="6" t="str">
        <f>"70,00"</f>
        <v>70,00</v>
      </c>
      <c r="L2125" s="6" t="str">
        <f>"17,50"</f>
        <v>17,50</v>
      </c>
      <c r="M2125" s="6" t="str">
        <f>"87,50"</f>
        <v>87,50</v>
      </c>
      <c r="N2125" s="5">
        <v>43549</v>
      </c>
      <c r="O2125" s="7"/>
      <c r="P2125" s="6" t="str">
        <f>"87,50"</f>
        <v>87,50</v>
      </c>
      <c r="Q2125" s="7"/>
      <c r="R2125" s="1"/>
      <c r="S2125" s="1" t="str">
        <f>"3-19/NOS-49-A/18"</f>
        <v>3-19/NOS-49-A/18</v>
      </c>
      <c r="T2125" s="2" t="s">
        <v>33</v>
      </c>
    </row>
    <row r="2126" spans="1:20" ht="38.25" x14ac:dyDescent="0.25">
      <c r="A2126" s="1">
        <v>2122</v>
      </c>
      <c r="B2126" s="1" t="str">
        <f t="shared" si="207"/>
        <v>2018-2789</v>
      </c>
      <c r="C2126" s="2" t="s">
        <v>1123</v>
      </c>
      <c r="D2126" s="1" t="s">
        <v>1026</v>
      </c>
      <c r="E2126" s="3" t="str">
        <f>""</f>
        <v/>
      </c>
      <c r="F2126" s="2" t="s">
        <v>27</v>
      </c>
      <c r="G2126" s="2" t="str">
        <f t="shared" si="208"/>
        <v>OTIS DIZALA D.O.O., PRILAZ VLADISLAVA BRAJKOVIĆA 15, 10000 ZAGREB, OIB: 76080865307</v>
      </c>
      <c r="H2126" s="4"/>
      <c r="I2126" s="1" t="s">
        <v>494</v>
      </c>
      <c r="J2126" s="1" t="s">
        <v>469</v>
      </c>
      <c r="K2126" s="6" t="str">
        <f>"5.340,00"</f>
        <v>5.340,00</v>
      </c>
      <c r="L2126" s="6" t="str">
        <f>"0,00"</f>
        <v>0,00</v>
      </c>
      <c r="M2126" s="6" t="str">
        <f>"0,00"</f>
        <v>0,00</v>
      </c>
      <c r="N2126" s="1" t="s">
        <v>117</v>
      </c>
      <c r="O2126" s="7"/>
      <c r="P2126" s="6" t="str">
        <f>"0,00"</f>
        <v>0,00</v>
      </c>
      <c r="Q2126" s="7"/>
      <c r="R2126" s="1"/>
      <c r="S2126" s="1" t="str">
        <f>"4-19/NOS-49-A/18"</f>
        <v>4-19/NOS-49-A/18</v>
      </c>
      <c r="T2126" s="2" t="s">
        <v>33</v>
      </c>
    </row>
    <row r="2127" spans="1:20" ht="38.25" x14ac:dyDescent="0.25">
      <c r="A2127" s="1">
        <v>2123</v>
      </c>
      <c r="B2127" s="1" t="str">
        <f t="shared" si="207"/>
        <v>2018-2789</v>
      </c>
      <c r="C2127" s="2" t="s">
        <v>1123</v>
      </c>
      <c r="D2127" s="1" t="s">
        <v>1026</v>
      </c>
      <c r="E2127" s="3" t="str">
        <f>""</f>
        <v/>
      </c>
      <c r="F2127" s="2" t="s">
        <v>27</v>
      </c>
      <c r="G2127" s="2" t="str">
        <f t="shared" si="208"/>
        <v>OTIS DIZALA D.O.O., PRILAZ VLADISLAVA BRAJKOVIĆA 15, 10000 ZAGREB, OIB: 76080865307</v>
      </c>
      <c r="H2127" s="4"/>
      <c r="I2127" s="1" t="s">
        <v>464</v>
      </c>
      <c r="J2127" s="1" t="s">
        <v>251</v>
      </c>
      <c r="K2127" s="6" t="str">
        <f>"300,00"</f>
        <v>300,00</v>
      </c>
      <c r="L2127" s="6" t="str">
        <f>"0,00"</f>
        <v>0,00</v>
      </c>
      <c r="M2127" s="6" t="str">
        <f>"0,00"</f>
        <v>0,00</v>
      </c>
      <c r="N2127" s="1" t="s">
        <v>117</v>
      </c>
      <c r="O2127" s="7"/>
      <c r="P2127" s="6" t="str">
        <f>"0,00"</f>
        <v>0,00</v>
      </c>
      <c r="Q2127" s="7"/>
      <c r="R2127" s="1"/>
      <c r="S2127" s="1" t="str">
        <f>"5-19/NOS-49-A/18"</f>
        <v>5-19/NOS-49-A/18</v>
      </c>
      <c r="T2127" s="2" t="s">
        <v>33</v>
      </c>
    </row>
    <row r="2128" spans="1:20" ht="38.25" x14ac:dyDescent="0.25">
      <c r="A2128" s="1">
        <v>2124</v>
      </c>
      <c r="B2128" s="1" t="str">
        <f t="shared" si="207"/>
        <v>2018-2789</v>
      </c>
      <c r="C2128" s="2" t="s">
        <v>1123</v>
      </c>
      <c r="D2128" s="1" t="s">
        <v>1026</v>
      </c>
      <c r="E2128" s="3" t="str">
        <f>""</f>
        <v/>
      </c>
      <c r="F2128" s="2" t="s">
        <v>27</v>
      </c>
      <c r="G2128" s="2" t="str">
        <f t="shared" si="208"/>
        <v>OTIS DIZALA D.O.O., PRILAZ VLADISLAVA BRAJKOVIĆA 15, 10000 ZAGREB, OIB: 76080865307</v>
      </c>
      <c r="H2128" s="4"/>
      <c r="I2128" s="1" t="s">
        <v>334</v>
      </c>
      <c r="J2128" s="1" t="s">
        <v>436</v>
      </c>
      <c r="K2128" s="6" t="str">
        <f>"13.058,00"</f>
        <v>13.058,00</v>
      </c>
      <c r="L2128" s="6" t="str">
        <f>"3.264,50"</f>
        <v>3.264,50</v>
      </c>
      <c r="M2128" s="6" t="str">
        <f>"16.322,50"</f>
        <v>16.322,50</v>
      </c>
      <c r="N2128" s="5">
        <v>43612</v>
      </c>
      <c r="O2128" s="7"/>
      <c r="P2128" s="6" t="str">
        <f>"16.322,50"</f>
        <v>16.322,50</v>
      </c>
      <c r="Q2128" s="7"/>
      <c r="R2128" s="1"/>
      <c r="S2128" s="1" t="str">
        <f>"6-19/NOS-49-A/18"</f>
        <v>6-19/NOS-49-A/18</v>
      </c>
      <c r="T2128" s="2" t="s">
        <v>33</v>
      </c>
    </row>
    <row r="2129" spans="1:20" ht="38.25" x14ac:dyDescent="0.25">
      <c r="A2129" s="1">
        <v>2125</v>
      </c>
      <c r="B2129" s="1" t="str">
        <f t="shared" si="207"/>
        <v>2018-2789</v>
      </c>
      <c r="C2129" s="2" t="s">
        <v>1123</v>
      </c>
      <c r="D2129" s="1" t="s">
        <v>1026</v>
      </c>
      <c r="E2129" s="3" t="str">
        <f>""</f>
        <v/>
      </c>
      <c r="F2129" s="2" t="s">
        <v>27</v>
      </c>
      <c r="G2129" s="2" t="str">
        <f t="shared" si="208"/>
        <v>OTIS DIZALA D.O.O., PRILAZ VLADISLAVA BRAJKOVIĆA 15, 10000 ZAGREB, OIB: 76080865307</v>
      </c>
      <c r="H2129" s="4"/>
      <c r="I2129" s="1" t="s">
        <v>639</v>
      </c>
      <c r="J2129" s="1" t="s">
        <v>251</v>
      </c>
      <c r="K2129" s="6" t="str">
        <f>"700,00"</f>
        <v>700,00</v>
      </c>
      <c r="L2129" s="6" t="str">
        <f t="shared" ref="L2129:M2131" si="209">"0,00"</f>
        <v>0,00</v>
      </c>
      <c r="M2129" s="6" t="str">
        <f t="shared" si="209"/>
        <v>0,00</v>
      </c>
      <c r="N2129" s="1" t="s">
        <v>117</v>
      </c>
      <c r="O2129" s="7"/>
      <c r="P2129" s="6" t="str">
        <f>"0,00"</f>
        <v>0,00</v>
      </c>
      <c r="Q2129" s="7"/>
      <c r="R2129" s="1"/>
      <c r="S2129" s="1" t="str">
        <f>"7-19/NOS-49-A/18"</f>
        <v>7-19/NOS-49-A/18</v>
      </c>
      <c r="T2129" s="2" t="s">
        <v>33</v>
      </c>
    </row>
    <row r="2130" spans="1:20" ht="38.25" x14ac:dyDescent="0.25">
      <c r="A2130" s="1">
        <v>2126</v>
      </c>
      <c r="B2130" s="1" t="str">
        <f t="shared" si="207"/>
        <v>2018-2789</v>
      </c>
      <c r="C2130" s="2" t="s">
        <v>1123</v>
      </c>
      <c r="D2130" s="1" t="s">
        <v>1026</v>
      </c>
      <c r="E2130" s="3" t="str">
        <f>""</f>
        <v/>
      </c>
      <c r="F2130" s="2" t="s">
        <v>27</v>
      </c>
      <c r="G2130" s="2" t="str">
        <f t="shared" si="208"/>
        <v>OTIS DIZALA D.O.O., PRILAZ VLADISLAVA BRAJKOVIĆA 15, 10000 ZAGREB, OIB: 76080865307</v>
      </c>
      <c r="H2130" s="4"/>
      <c r="I2130" s="1" t="s">
        <v>320</v>
      </c>
      <c r="J2130" s="1" t="s">
        <v>251</v>
      </c>
      <c r="K2130" s="6" t="str">
        <f>"300,00"</f>
        <v>300,00</v>
      </c>
      <c r="L2130" s="6" t="str">
        <f t="shared" si="209"/>
        <v>0,00</v>
      </c>
      <c r="M2130" s="6" t="str">
        <f t="shared" si="209"/>
        <v>0,00</v>
      </c>
      <c r="N2130" s="1" t="s">
        <v>117</v>
      </c>
      <c r="O2130" s="7"/>
      <c r="P2130" s="6" t="str">
        <f>"0,00"</f>
        <v>0,00</v>
      </c>
      <c r="Q2130" s="7"/>
      <c r="R2130" s="1"/>
      <c r="S2130" s="1" t="str">
        <f>"8-19/NOS-49-A/18"</f>
        <v>8-19/NOS-49-A/18</v>
      </c>
      <c r="T2130" s="2" t="s">
        <v>33</v>
      </c>
    </row>
    <row r="2131" spans="1:20" ht="38.25" x14ac:dyDescent="0.25">
      <c r="A2131" s="1">
        <v>2127</v>
      </c>
      <c r="B2131" s="1" t="str">
        <f t="shared" si="207"/>
        <v>2018-2789</v>
      </c>
      <c r="C2131" s="2" t="s">
        <v>1123</v>
      </c>
      <c r="D2131" s="1" t="s">
        <v>1026</v>
      </c>
      <c r="E2131" s="3" t="str">
        <f>""</f>
        <v/>
      </c>
      <c r="F2131" s="2" t="s">
        <v>27</v>
      </c>
      <c r="G2131" s="2" t="str">
        <f t="shared" si="208"/>
        <v>OTIS DIZALA D.O.O., PRILAZ VLADISLAVA BRAJKOVIĆA 15, 10000 ZAGREB, OIB: 76080865307</v>
      </c>
      <c r="H2131" s="4"/>
      <c r="I2131" s="1" t="s">
        <v>414</v>
      </c>
      <c r="J2131" s="1" t="s">
        <v>251</v>
      </c>
      <c r="K2131" s="6" t="str">
        <f>"7.200,00"</f>
        <v>7.200,00</v>
      </c>
      <c r="L2131" s="6" t="str">
        <f t="shared" si="209"/>
        <v>0,00</v>
      </c>
      <c r="M2131" s="6" t="str">
        <f t="shared" si="209"/>
        <v>0,00</v>
      </c>
      <c r="N2131" s="1" t="s">
        <v>117</v>
      </c>
      <c r="O2131" s="7"/>
      <c r="P2131" s="6" t="str">
        <f>"0,00"</f>
        <v>0,00</v>
      </c>
      <c r="Q2131" s="7"/>
      <c r="R2131" s="1"/>
      <c r="S2131" s="1" t="str">
        <f>"9-19/NOS-49-A/18"</f>
        <v>9-19/NOS-49-A/18</v>
      </c>
      <c r="T2131" s="2" t="s">
        <v>33</v>
      </c>
    </row>
    <row r="2132" spans="1:20" ht="38.25" x14ac:dyDescent="0.25">
      <c r="A2132" s="1">
        <v>2128</v>
      </c>
      <c r="B2132" s="1" t="str">
        <f t="shared" si="207"/>
        <v>2018-2789</v>
      </c>
      <c r="C2132" s="2" t="s">
        <v>1123</v>
      </c>
      <c r="D2132" s="1" t="s">
        <v>1026</v>
      </c>
      <c r="E2132" s="3" t="str">
        <f>"2018/S 0F2-0018170"</f>
        <v>2018/S 0F2-0018170</v>
      </c>
      <c r="F2132" s="2" t="s">
        <v>23</v>
      </c>
      <c r="G2132" s="2" t="str">
        <f>CONCATENATE("KONE d.o.o.,"," ZAGREBAČKA CESTA 145A/III,"," 10000 ZAGREB,"," OIB: 15526597734")</f>
        <v>KONE d.o.o., ZAGREBAČKA CESTA 145A/III, 10000 ZAGREB, OIB: 15526597734</v>
      </c>
      <c r="H2132" s="4"/>
      <c r="I2132" s="1" t="s">
        <v>367</v>
      </c>
      <c r="J2132" s="1" t="s">
        <v>1145</v>
      </c>
      <c r="K2132" s="6" t="str">
        <f>"400.000,00"</f>
        <v>400.000,00</v>
      </c>
      <c r="L2132" s="6" t="str">
        <f>"100.000,00"</f>
        <v>100.000,00</v>
      </c>
      <c r="M2132" s="6" t="str">
        <f>"500.000,00"</f>
        <v>500.000,00</v>
      </c>
      <c r="N2132" s="7"/>
      <c r="O2132" s="7"/>
      <c r="P2132" s="6" t="str">
        <f>""</f>
        <v/>
      </c>
      <c r="Q2132" s="7"/>
      <c r="R2132" s="1"/>
      <c r="S2132" s="1" t="str">
        <f>"NOS-49-B/18"</f>
        <v>NOS-49-B/18</v>
      </c>
      <c r="T2132" s="2" t="s">
        <v>26</v>
      </c>
    </row>
    <row r="2133" spans="1:20" ht="25.5" x14ac:dyDescent="0.25">
      <c r="A2133" s="1">
        <v>2129</v>
      </c>
      <c r="B2133" s="1" t="str">
        <f t="shared" si="207"/>
        <v>2018-2789</v>
      </c>
      <c r="C2133" s="2" t="s">
        <v>1123</v>
      </c>
      <c r="D2133" s="1" t="s">
        <v>1026</v>
      </c>
      <c r="E2133" s="3" t="str">
        <f>""</f>
        <v/>
      </c>
      <c r="F2133" s="2" t="s">
        <v>27</v>
      </c>
      <c r="G2133" s="2" t="str">
        <f>CONCATENATE("KONE d.o.o.,"," ZAGREBAČKA CESTA 145A/III,"," 10000 ZAGREB,"," OIB: 15526597734")</f>
        <v>KONE d.o.o., ZAGREBAČKA CESTA 145A/III, 10000 ZAGREB, OIB: 15526597734</v>
      </c>
      <c r="H2133" s="4"/>
      <c r="I2133" s="1" t="s">
        <v>824</v>
      </c>
      <c r="J2133" s="1" t="s">
        <v>28</v>
      </c>
      <c r="K2133" s="6" t="str">
        <f>"27.360,00"</f>
        <v>27.360,00</v>
      </c>
      <c r="L2133" s="6" t="str">
        <f>"6.840,00"</f>
        <v>6.840,00</v>
      </c>
      <c r="M2133" s="6" t="str">
        <f>"34.200,00"</f>
        <v>34.200,00</v>
      </c>
      <c r="N2133" s="5">
        <v>43718</v>
      </c>
      <c r="O2133" s="7"/>
      <c r="P2133" s="6" t="str">
        <f>"25.125,00"</f>
        <v>25.125,00</v>
      </c>
      <c r="Q2133" s="7"/>
      <c r="R2133" s="1"/>
      <c r="S2133" s="1" t="str">
        <f>"2-18/NOS-49-B/18"</f>
        <v>2-18/NOS-49-B/18</v>
      </c>
      <c r="T2133" s="2" t="s">
        <v>33</v>
      </c>
    </row>
    <row r="2134" spans="1:20" ht="25.5" x14ac:dyDescent="0.25">
      <c r="A2134" s="1">
        <v>2130</v>
      </c>
      <c r="B2134" s="1" t="str">
        <f t="shared" si="207"/>
        <v>2018-2789</v>
      </c>
      <c r="C2134" s="2" t="s">
        <v>1123</v>
      </c>
      <c r="D2134" s="1" t="s">
        <v>1026</v>
      </c>
      <c r="E2134" s="3" t="str">
        <f>""</f>
        <v/>
      </c>
      <c r="F2134" s="2" t="s">
        <v>27</v>
      </c>
      <c r="G2134" s="2" t="str">
        <f>CONCATENATE("KONE d.o.o.,"," ZAGREBAČKA CESTA 145A/III,"," 10000 ZAGREB,"," OIB: 15526597734")</f>
        <v>KONE d.o.o., ZAGREBAČKA CESTA 145A/III, 10000 ZAGREB, OIB: 15526597734</v>
      </c>
      <c r="H2134" s="4"/>
      <c r="I2134" s="1" t="s">
        <v>229</v>
      </c>
      <c r="J2134" s="1" t="s">
        <v>303</v>
      </c>
      <c r="K2134" s="6" t="str">
        <f>"4.386,74"</f>
        <v>4.386,74</v>
      </c>
      <c r="L2134" s="6" t="str">
        <f>"1.096,69"</f>
        <v>1.096,69</v>
      </c>
      <c r="M2134" s="6" t="str">
        <f>"5.483,43"</f>
        <v>5.483,43</v>
      </c>
      <c r="N2134" s="5">
        <v>43536</v>
      </c>
      <c r="O2134" s="7"/>
      <c r="P2134" s="6" t="str">
        <f>"5.483,42"</f>
        <v>5.483,42</v>
      </c>
      <c r="Q2134" s="7"/>
      <c r="R2134" s="1"/>
      <c r="S2134" s="1" t="str">
        <f>"1-19/NOS-49-B/18"</f>
        <v>1-19/NOS-49-B/18</v>
      </c>
      <c r="T2134" s="2" t="s">
        <v>33</v>
      </c>
    </row>
    <row r="2135" spans="1:20" ht="51" x14ac:dyDescent="0.25">
      <c r="A2135" s="1">
        <v>2131</v>
      </c>
      <c r="B2135" s="1" t="str">
        <f>"2018-2833"</f>
        <v>2018-2833</v>
      </c>
      <c r="C2135" s="2" t="s">
        <v>1146</v>
      </c>
      <c r="D2135" s="1" t="s">
        <v>1147</v>
      </c>
      <c r="E2135" s="3" t="str">
        <f>"2018/S 0F2-0018969"</f>
        <v>2018/S 0F2-0018969</v>
      </c>
      <c r="F2135" s="2" t="s">
        <v>23</v>
      </c>
      <c r="G2135" s="2" t="str">
        <f>CONCATENATE("TEHNO-ELEKTRO D.O.O.,"," AUGUSTA CESARCA 3,"," 31400 ĐAKOVO,"," OIB: 11657560751",CHAR(10),"MIPEK D.O.O.,"," INDUSTRIJSKA CESTA bb,"," 10314 KRIŽ,"," OIB: 07285361673")</f>
        <v>TEHNO-ELEKTRO D.O.O., AUGUSTA CESARCA 3, 31400 ĐAKOVO, OIB: 11657560751
MIPEK D.O.O., INDUSTRIJSKA CESTA bb, 10314 KRIŽ, OIB: 07285361673</v>
      </c>
      <c r="H2135" s="4"/>
      <c r="I2135" s="1" t="s">
        <v>115</v>
      </c>
      <c r="J2135" s="1" t="s">
        <v>1148</v>
      </c>
      <c r="K2135" s="6" t="str">
        <f>"800.000,00"</f>
        <v>800.000,00</v>
      </c>
      <c r="L2135" s="6" t="str">
        <f>"200.000,00"</f>
        <v>200.000,00</v>
      </c>
      <c r="M2135" s="6" t="str">
        <f>"1.000.000,00"</f>
        <v>1.000.000,00</v>
      </c>
      <c r="N2135" s="7"/>
      <c r="O2135" s="7"/>
      <c r="P2135" s="6" t="str">
        <f>""</f>
        <v/>
      </c>
      <c r="Q2135" s="7"/>
      <c r="R2135" s="1"/>
      <c r="S2135" s="1" t="str">
        <f>"NOS-50/18"</f>
        <v>NOS-50/18</v>
      </c>
      <c r="T2135" s="2" t="s">
        <v>33</v>
      </c>
    </row>
    <row r="2136" spans="1:20" ht="76.5" x14ac:dyDescent="0.25">
      <c r="A2136" s="1">
        <v>2132</v>
      </c>
      <c r="B2136" s="1" t="str">
        <f>"2018-2785"</f>
        <v>2018-2785</v>
      </c>
      <c r="C2136" s="2" t="s">
        <v>1149</v>
      </c>
      <c r="D2136" s="1" t="s">
        <v>1150</v>
      </c>
      <c r="E2136" s="3" t="str">
        <f>"2018/S 0F2-0018604"</f>
        <v>2018/S 0F2-0018604</v>
      </c>
      <c r="F2136" s="2" t="s">
        <v>23</v>
      </c>
      <c r="G2136" s="2" t="str">
        <f>CONCATENATE("DIV GRUPA  D.O.O. ZA USLUGE,"," BOBOVICA 10/A,"," 10430 SAMOBOR,"," OIB: 33890755814",CHAR(10),"PISMORAD D.D.,"," III MALEŠNICA 12,"," 10000 ZAGREB,"," OIB: 33260306505",CHAR(10),"PRVI TREPTAČ D.O.O.,"," PUJANKE 24/A,"," 21000 SPLIT,"," OIB: 31014383635")</f>
        <v>DIV GRUPA  D.O.O. ZA USLUGE, BOBOVICA 10/A, 10430 SAMOBOR, OIB: 33890755814
PISMORAD D.D., III MALEŠNICA 12, 10000 ZAGREB, OIB: 33260306505
PRVI TREPTAČ D.O.O., PUJANKE 24/A, 21000 SPLIT, OIB: 31014383635</v>
      </c>
      <c r="H2136" s="4"/>
      <c r="I2136" s="1" t="s">
        <v>1151</v>
      </c>
      <c r="J2136" s="1" t="s">
        <v>1152</v>
      </c>
      <c r="K2136" s="6" t="str">
        <f>"800.000,00"</f>
        <v>800.000,00</v>
      </c>
      <c r="L2136" s="6" t="str">
        <f>"200.000,00"</f>
        <v>200.000,00</v>
      </c>
      <c r="M2136" s="6" t="str">
        <f>"1.000.000,00"</f>
        <v>1.000.000,00</v>
      </c>
      <c r="N2136" s="7"/>
      <c r="O2136" s="7"/>
      <c r="P2136" s="6" t="str">
        <f>""</f>
        <v/>
      </c>
      <c r="Q2136" s="7"/>
      <c r="R2136" s="1"/>
      <c r="S2136" s="1" t="str">
        <f>"NOS-51-A/18"</f>
        <v>NOS-51-A/18</v>
      </c>
      <c r="T2136" s="2" t="s">
        <v>33</v>
      </c>
    </row>
    <row r="2137" spans="1:20" ht="25.5" x14ac:dyDescent="0.25">
      <c r="A2137" s="1">
        <v>2133</v>
      </c>
      <c r="B2137" s="1" t="str">
        <f>"2018-2785"</f>
        <v>2018-2785</v>
      </c>
      <c r="C2137" s="2" t="s">
        <v>1149</v>
      </c>
      <c r="D2137" s="4"/>
      <c r="E2137" s="3" t="str">
        <f>""</f>
        <v/>
      </c>
      <c r="F2137" s="2" t="s">
        <v>27</v>
      </c>
      <c r="G2137" s="2" t="str">
        <f>CONCATENATE("PISMORAD D.D.,"," III MALEŠNICA 12,"," 10000 ZAGREB,"," OIB: 33260306505")</f>
        <v>PISMORAD D.D., III MALEŠNICA 12, 10000 ZAGREB, OIB: 33260306505</v>
      </c>
      <c r="H2137" s="4"/>
      <c r="I2137" s="1" t="s">
        <v>204</v>
      </c>
      <c r="J2137" s="1" t="s">
        <v>395</v>
      </c>
      <c r="K2137" s="6" t="str">
        <f>"151.710,00"</f>
        <v>151.710,00</v>
      </c>
      <c r="L2137" s="6" t="str">
        <f>"37.927,50"</f>
        <v>37.927,50</v>
      </c>
      <c r="M2137" s="6" t="str">
        <f>"189.637,50"</f>
        <v>189.637,50</v>
      </c>
      <c r="N2137" s="5">
        <v>43668</v>
      </c>
      <c r="O2137" s="7"/>
      <c r="P2137" s="6" t="str">
        <f>"189.637,50"</f>
        <v>189.637,50</v>
      </c>
      <c r="Q2137" s="7"/>
      <c r="R2137" s="1"/>
      <c r="S2137" s="1" t="str">
        <f>"1-19/NOS-51-A/18"</f>
        <v>1-19/NOS-51-A/18</v>
      </c>
      <c r="T2137" s="2" t="s">
        <v>33</v>
      </c>
    </row>
    <row r="2138" spans="1:20" ht="63.75" x14ac:dyDescent="0.25">
      <c r="A2138" s="1">
        <v>2134</v>
      </c>
      <c r="B2138" s="1" t="str">
        <f>"2018-2785"</f>
        <v>2018-2785</v>
      </c>
      <c r="C2138" s="2" t="s">
        <v>1149</v>
      </c>
      <c r="D2138" s="1" t="s">
        <v>1150</v>
      </c>
      <c r="E2138" s="3" t="str">
        <f>"2018/S 0F2-0018604"</f>
        <v>2018/S 0F2-0018604</v>
      </c>
      <c r="F2138" s="2" t="s">
        <v>23</v>
      </c>
      <c r="G2138" s="2" t="str">
        <f>CONCATENATE("DIV GRUPA  D.O.O. ZA USLUGE,"," BOBOVICA 10/A,"," 10430 SAMOBOR,"," OIB: 33890755814",CHAR(10),"SIGNALGRAD D.O.O.,"," RAKITJE,"," VELEBITSKA 1,"," 10437 BESTOVJE,"," OIB: 00513519279",CHAR(10),"PISMORAD D.D.,"," OIB: 33260306505")</f>
        <v>DIV GRUPA  D.O.O. ZA USLUGE, BOBOVICA 10/A, 10430 SAMOBOR, OIB: 33890755814
SIGNALGRAD D.O.O., RAKITJE, VELEBITSKA 1, 10437 BESTOVJE, OIB: 00513519279
PISMORAD D.D., OIB: 33260306505</v>
      </c>
      <c r="H2138" s="4"/>
      <c r="I2138" s="1" t="s">
        <v>1151</v>
      </c>
      <c r="J2138" s="1" t="s">
        <v>1152</v>
      </c>
      <c r="K2138" s="6" t="str">
        <f>"700.000,00"</f>
        <v>700.000,00</v>
      </c>
      <c r="L2138" s="6" t="str">
        <f>"175.000,00"</f>
        <v>175.000,00</v>
      </c>
      <c r="M2138" s="6" t="str">
        <f>"875.000,00"</f>
        <v>875.000,00</v>
      </c>
      <c r="N2138" s="7"/>
      <c r="O2138" s="7"/>
      <c r="P2138" s="6" t="str">
        <f>""</f>
        <v/>
      </c>
      <c r="Q2138" s="7"/>
      <c r="R2138" s="1"/>
      <c r="S2138" s="1" t="str">
        <f>"NOS-51-B/18"</f>
        <v>NOS-51-B/18</v>
      </c>
      <c r="T2138" s="2" t="s">
        <v>33</v>
      </c>
    </row>
    <row r="2139" spans="1:20" ht="114.75" x14ac:dyDescent="0.25">
      <c r="A2139" s="1">
        <v>2135</v>
      </c>
      <c r="B2139" s="1" t="str">
        <f t="shared" ref="B2139:B2153" si="210">"2018-2910"</f>
        <v>2018-2910</v>
      </c>
      <c r="C2139" s="2" t="s">
        <v>1153</v>
      </c>
      <c r="D2139" s="1" t="s">
        <v>1154</v>
      </c>
      <c r="E2139" s="3" t="str">
        <f>"2018/S 0F2-0012401"</f>
        <v>2018/S 0F2-0012401</v>
      </c>
      <c r="F2139" s="2" t="s">
        <v>23</v>
      </c>
      <c r="G2139" s="2" t="str">
        <f>CONCATENATE("PERUČA D.O.O.,"," DOBRA ULICA 2,"," 31000 OSIJEK,"," OIB: 53353155732")</f>
        <v>PERUČA D.O.O., DOBRA ULICA 2, 31000 OSIJEK, OIB: 53353155732</v>
      </c>
      <c r="H2139" s="4"/>
      <c r="I2139" s="1" t="s">
        <v>1121</v>
      </c>
      <c r="J2139" s="1" t="s">
        <v>1122</v>
      </c>
      <c r="K2139" s="6" t="str">
        <f>"850.000,00"</f>
        <v>850.000,00</v>
      </c>
      <c r="L2139" s="6" t="str">
        <f>"212.500,00"</f>
        <v>212.500,00</v>
      </c>
      <c r="M2139" s="6" t="str">
        <f>"1.062.500,00"</f>
        <v>1.062.500,00</v>
      </c>
      <c r="N2139" s="7"/>
      <c r="O2139" s="7"/>
      <c r="P2139" s="6" t="str">
        <f>""</f>
        <v/>
      </c>
      <c r="Q2139" s="7"/>
      <c r="R2139" s="1"/>
      <c r="S2139" s="1" t="str">
        <f>"NOS-52-A-ZGH/18"</f>
        <v>NOS-52-A-ZGH/18</v>
      </c>
      <c r="T2139" s="2" t="s">
        <v>281</v>
      </c>
    </row>
    <row r="2140" spans="1:20" ht="38.25" x14ac:dyDescent="0.25">
      <c r="A2140" s="1">
        <v>2136</v>
      </c>
      <c r="B2140" s="1" t="str">
        <f t="shared" si="210"/>
        <v>2018-2910</v>
      </c>
      <c r="C2140" s="2" t="s">
        <v>1153</v>
      </c>
      <c r="D2140" s="1" t="s">
        <v>1154</v>
      </c>
      <c r="E2140" s="3" t="str">
        <f>""</f>
        <v/>
      </c>
      <c r="F2140" s="2" t="s">
        <v>27</v>
      </c>
      <c r="G2140" s="2" t="str">
        <f>CONCATENATE("PERUČA D.O.O.,"," DOBRA ULICA 2,"," 31000 OSIJEK,"," OIB: 53353155732")</f>
        <v>PERUČA D.O.O., DOBRA ULICA 2, 31000 OSIJEK, OIB: 53353155732</v>
      </c>
      <c r="H2140" s="4"/>
      <c r="I2140" s="1" t="s">
        <v>339</v>
      </c>
      <c r="J2140" s="1" t="s">
        <v>121</v>
      </c>
      <c r="K2140" s="6" t="str">
        <f>"22.464,00"</f>
        <v>22.464,00</v>
      </c>
      <c r="L2140" s="6" t="str">
        <f>"5.616,00"</f>
        <v>5.616,00</v>
      </c>
      <c r="M2140" s="6" t="str">
        <f>"28.080,00"</f>
        <v>28.080,00</v>
      </c>
      <c r="N2140" s="5">
        <v>43554</v>
      </c>
      <c r="O2140" s="7"/>
      <c r="P2140" s="6" t="str">
        <f>"28.080,00"</f>
        <v>28.080,00</v>
      </c>
      <c r="Q2140" s="7"/>
      <c r="R2140" s="1"/>
      <c r="S2140" s="1" t="str">
        <f>"2-19/NOS-52-A-ZGH/18"</f>
        <v>2-19/NOS-52-A-ZGH/18</v>
      </c>
      <c r="T2140" s="2" t="s">
        <v>65</v>
      </c>
    </row>
    <row r="2141" spans="1:20" ht="38.25" x14ac:dyDescent="0.25">
      <c r="A2141" s="1">
        <v>2137</v>
      </c>
      <c r="B2141" s="1" t="str">
        <f t="shared" si="210"/>
        <v>2018-2910</v>
      </c>
      <c r="C2141" s="2" t="s">
        <v>1153</v>
      </c>
      <c r="D2141" s="1" t="s">
        <v>1154</v>
      </c>
      <c r="E2141" s="3" t="str">
        <f>""</f>
        <v/>
      </c>
      <c r="F2141" s="2" t="s">
        <v>27</v>
      </c>
      <c r="G2141" s="2" t="str">
        <f>CONCATENATE("PERUČA D.O.O.,"," DOBRA ULICA 2,"," 31000 OSIJEK,"," OIB: 53353155732")</f>
        <v>PERUČA D.O.O., DOBRA ULICA 2, 31000 OSIJEK, OIB: 53353155732</v>
      </c>
      <c r="H2141" s="4"/>
      <c r="I2141" s="1" t="s">
        <v>372</v>
      </c>
      <c r="J2141" s="1" t="s">
        <v>140</v>
      </c>
      <c r="K2141" s="6" t="str">
        <f>"10.434,00"</f>
        <v>10.434,00</v>
      </c>
      <c r="L2141" s="6" t="str">
        <f>"2.608,50"</f>
        <v>2.608,50</v>
      </c>
      <c r="M2141" s="6" t="str">
        <f>"13.042,50"</f>
        <v>13.042,50</v>
      </c>
      <c r="N2141" s="5">
        <v>43525</v>
      </c>
      <c r="O2141" s="7"/>
      <c r="P2141" s="6" t="str">
        <f>"13.042,50"</f>
        <v>13.042,50</v>
      </c>
      <c r="Q2141" s="7"/>
      <c r="R2141" s="1"/>
      <c r="S2141" s="1" t="str">
        <f>"4-18/NOS-52-A-ZGH/18"</f>
        <v>4-18/NOS-52-A-ZGH/18</v>
      </c>
      <c r="T2141" s="2" t="s">
        <v>26</v>
      </c>
    </row>
    <row r="2142" spans="1:20" ht="63.75" x14ac:dyDescent="0.25">
      <c r="A2142" s="1">
        <v>2138</v>
      </c>
      <c r="B2142" s="1" t="str">
        <f t="shared" si="210"/>
        <v>2018-2910</v>
      </c>
      <c r="C2142" s="2" t="s">
        <v>1153</v>
      </c>
      <c r="D2142" s="1" t="s">
        <v>1154</v>
      </c>
      <c r="E2142" s="3" t="str">
        <f>""</f>
        <v/>
      </c>
      <c r="F2142" s="2" t="s">
        <v>27</v>
      </c>
      <c r="G2142" s="2" t="str">
        <f>CONCATENATE("PERUČA D.O.O.,"," DOBRA ULICA 2,"," 31000 OSIJEK,"," OIB: 53353155732")</f>
        <v>PERUČA D.O.O., DOBRA ULICA 2, 31000 OSIJEK, OIB: 53353155732</v>
      </c>
      <c r="H2142" s="4"/>
      <c r="I2142" s="1" t="s">
        <v>579</v>
      </c>
      <c r="J2142" s="1" t="s">
        <v>114</v>
      </c>
      <c r="K2142" s="6" t="str">
        <f>"43.522,00"</f>
        <v>43.522,00</v>
      </c>
      <c r="L2142" s="6" t="str">
        <f>"10.880,50"</f>
        <v>10.880,50</v>
      </c>
      <c r="M2142" s="6" t="str">
        <f>"54.402,50"</f>
        <v>54.402,50</v>
      </c>
      <c r="N2142" s="5">
        <v>43693</v>
      </c>
      <c r="O2142" s="7"/>
      <c r="P2142" s="6" t="str">
        <f>"18.745,00"</f>
        <v>18.745,00</v>
      </c>
      <c r="Q2142" s="7"/>
      <c r="R2142" s="1"/>
      <c r="S2142" s="1" t="str">
        <f>"4-19/NOS-52-A-ZGH/18"</f>
        <v>4-19/NOS-52-A-ZGH/18</v>
      </c>
      <c r="T2142" s="2" t="s">
        <v>79</v>
      </c>
    </row>
    <row r="2143" spans="1:20" ht="25.5" x14ac:dyDescent="0.25">
      <c r="A2143" s="1">
        <v>2139</v>
      </c>
      <c r="B2143" s="1" t="str">
        <f t="shared" si="210"/>
        <v>2018-2910</v>
      </c>
      <c r="C2143" s="2" t="s">
        <v>1153</v>
      </c>
      <c r="D2143" s="1" t="s">
        <v>1154</v>
      </c>
      <c r="E2143" s="3" t="str">
        <f>""</f>
        <v/>
      </c>
      <c r="F2143" s="2" t="s">
        <v>27</v>
      </c>
      <c r="G2143" s="2" t="str">
        <f>CONCATENATE("PERUČA D.O.O.,"," DOBRA ULICA 2,"," 31000 OSIJEK,"," OIB: 53353155732")</f>
        <v>PERUČA D.O.O., DOBRA ULICA 2, 31000 OSIJEK, OIB: 53353155732</v>
      </c>
      <c r="H2143" s="4"/>
      <c r="I2143" s="1" t="s">
        <v>638</v>
      </c>
      <c r="J2143" s="1" t="s">
        <v>404</v>
      </c>
      <c r="K2143" s="6" t="str">
        <f>"32.630,00"</f>
        <v>32.630,00</v>
      </c>
      <c r="L2143" s="6" t="str">
        <f>"8.157,50"</f>
        <v>8.157,50</v>
      </c>
      <c r="M2143" s="6" t="str">
        <f>"40.787,50"</f>
        <v>40.787,50</v>
      </c>
      <c r="N2143" s="1" t="s">
        <v>117</v>
      </c>
      <c r="O2143" s="7"/>
      <c r="P2143" s="6" t="str">
        <f>""</f>
        <v/>
      </c>
      <c r="Q2143" s="7"/>
      <c r="R2143" s="1"/>
      <c r="S2143" s="1" t="str">
        <f>"5-19/NOS-52-A-ZGH/18"</f>
        <v>5-19/NOS-52-A-ZGH/18</v>
      </c>
      <c r="T2143" s="2" t="s">
        <v>33</v>
      </c>
    </row>
    <row r="2144" spans="1:20" ht="114.75" x14ac:dyDescent="0.25">
      <c r="A2144" s="1">
        <v>2140</v>
      </c>
      <c r="B2144" s="1" t="str">
        <f t="shared" si="210"/>
        <v>2018-2910</v>
      </c>
      <c r="C2144" s="2" t="s">
        <v>1153</v>
      </c>
      <c r="D2144" s="1" t="s">
        <v>1154</v>
      </c>
      <c r="E2144" s="3" t="str">
        <f>"2018/S 0F2-0012401"</f>
        <v>2018/S 0F2-0012401</v>
      </c>
      <c r="F2144" s="2" t="s">
        <v>23</v>
      </c>
      <c r="G2144" s="2" t="str">
        <f>CONCATENATE("TVIN D.O.O.,"," ULICA ZBORA NARODNE GARDE 2,"," 33000 VIROVITICA,"," OIB: 38872693315",CHAR(10),"PERUČA D.O.O.,"," DOBRA ULICA 2,"," 31000 OSIJEK,"," OIB: 53353155732",CHAR(10),"PROKLIMA - TIM D.O.O.,"," LUJE NALETILIĆA 10,"," 10020 ZAGREB-NOVI ZAGREB,"," OIB: 76937815443")</f>
        <v>TVIN D.O.O., ULICA ZBORA NARODNE GARDE 2, 33000 VIROVITICA, OIB: 38872693315
PERUČA D.O.O., DOBRA ULICA 2, 31000 OSIJEK, OIB: 53353155732
PROKLIMA - TIM D.O.O., LUJE NALETILIĆA 10, 10020 ZAGREB-NOVI ZAGREB, OIB: 76937815443</v>
      </c>
      <c r="H2144" s="4"/>
      <c r="I2144" s="1" t="s">
        <v>1121</v>
      </c>
      <c r="J2144" s="1" t="s">
        <v>1122</v>
      </c>
      <c r="K2144" s="6" t="str">
        <f>"1.560.000,00"</f>
        <v>1.560.000,00</v>
      </c>
      <c r="L2144" s="6" t="str">
        <f>"390.000,00"</f>
        <v>390.000,00</v>
      </c>
      <c r="M2144" s="6" t="str">
        <f>"1.950.000,00"</f>
        <v>1.950.000,00</v>
      </c>
      <c r="N2144" s="7"/>
      <c r="O2144" s="7"/>
      <c r="P2144" s="6" t="str">
        <f>""</f>
        <v/>
      </c>
      <c r="Q2144" s="7"/>
      <c r="R2144" s="1"/>
      <c r="S2144" s="1" t="str">
        <f>"NOS-52-B-ZGH/18"</f>
        <v>NOS-52-B-ZGH/18</v>
      </c>
      <c r="T2144" s="2" t="s">
        <v>281</v>
      </c>
    </row>
    <row r="2145" spans="1:20" ht="25.5" x14ac:dyDescent="0.25">
      <c r="A2145" s="1">
        <v>2141</v>
      </c>
      <c r="B2145" s="1" t="str">
        <f t="shared" si="210"/>
        <v>2018-2910</v>
      </c>
      <c r="C2145" s="2" t="s">
        <v>1153</v>
      </c>
      <c r="D2145" s="1" t="s">
        <v>1154</v>
      </c>
      <c r="E2145" s="3" t="str">
        <f>""</f>
        <v/>
      </c>
      <c r="F2145" s="2" t="s">
        <v>27</v>
      </c>
      <c r="G2145" s="2" t="str">
        <f>CONCATENATE("PERUČA D.O.O.,"," DOBRA ULICA 2,"," 31000 OSIJEK,"," OIB: 53353155732")</f>
        <v>PERUČA D.O.O., DOBRA ULICA 2, 31000 OSIJEK, OIB: 53353155732</v>
      </c>
      <c r="H2145" s="4"/>
      <c r="I2145" s="1" t="s">
        <v>277</v>
      </c>
      <c r="J2145" s="1" t="s">
        <v>436</v>
      </c>
      <c r="K2145" s="6" t="str">
        <f>"7.430,00"</f>
        <v>7.430,00</v>
      </c>
      <c r="L2145" s="6" t="str">
        <f>"1.857,50"</f>
        <v>1.857,50</v>
      </c>
      <c r="M2145" s="6" t="str">
        <f>"9.287,50"</f>
        <v>9.287,50</v>
      </c>
      <c r="N2145" s="5">
        <v>43587</v>
      </c>
      <c r="O2145" s="7"/>
      <c r="P2145" s="6" t="str">
        <f>"9.287,50"</f>
        <v>9.287,50</v>
      </c>
      <c r="Q2145" s="7"/>
      <c r="R2145" s="1"/>
      <c r="S2145" s="1" t="str">
        <f>"2-19/NOS-52-B-ZGH/18"</f>
        <v>2-19/NOS-52-B-ZGH/18</v>
      </c>
      <c r="T2145" s="2" t="s">
        <v>60</v>
      </c>
    </row>
    <row r="2146" spans="1:20" ht="38.25" x14ac:dyDescent="0.25">
      <c r="A2146" s="1">
        <v>2142</v>
      </c>
      <c r="B2146" s="1" t="str">
        <f t="shared" si="210"/>
        <v>2018-2910</v>
      </c>
      <c r="C2146" s="2" t="s">
        <v>1153</v>
      </c>
      <c r="D2146" s="1" t="s">
        <v>1154</v>
      </c>
      <c r="E2146" s="3" t="str">
        <f>""</f>
        <v/>
      </c>
      <c r="F2146" s="2" t="s">
        <v>27</v>
      </c>
      <c r="G2146" s="2" t="str">
        <f>CONCATENATE("PERUČA D.O.O.,"," DOBRA ULICA 2,"," 31000 OSIJEK,"," OIB: 53353155732")</f>
        <v>PERUČA D.O.O., DOBRA ULICA 2, 31000 OSIJEK, OIB: 53353155732</v>
      </c>
      <c r="H2146" s="4"/>
      <c r="I2146" s="1" t="s">
        <v>244</v>
      </c>
      <c r="J2146" s="1" t="s">
        <v>121</v>
      </c>
      <c r="K2146" s="6" t="str">
        <f>"2.220,00"</f>
        <v>2.220,00</v>
      </c>
      <c r="L2146" s="6" t="str">
        <f>"555,00"</f>
        <v>555,00</v>
      </c>
      <c r="M2146" s="6" t="str">
        <f>"2.775,00"</f>
        <v>2.775,00</v>
      </c>
      <c r="N2146" s="5">
        <v>43627</v>
      </c>
      <c r="O2146" s="7"/>
      <c r="P2146" s="6" t="str">
        <f>"2.775,00"</f>
        <v>2.775,00</v>
      </c>
      <c r="Q2146" s="7"/>
      <c r="R2146" s="1"/>
      <c r="S2146" s="1" t="str">
        <f>"4-19/NOS-52-B-ZGH/18"</f>
        <v>4-19/NOS-52-B-ZGH/18</v>
      </c>
      <c r="T2146" s="2" t="s">
        <v>65</v>
      </c>
    </row>
    <row r="2147" spans="1:20" ht="38.25" x14ac:dyDescent="0.25">
      <c r="A2147" s="1">
        <v>2143</v>
      </c>
      <c r="B2147" s="1" t="str">
        <f t="shared" si="210"/>
        <v>2018-2910</v>
      </c>
      <c r="C2147" s="2" t="s">
        <v>1153</v>
      </c>
      <c r="D2147" s="1" t="s">
        <v>1154</v>
      </c>
      <c r="E2147" s="3" t="str">
        <f>""</f>
        <v/>
      </c>
      <c r="F2147" s="2" t="s">
        <v>27</v>
      </c>
      <c r="G2147" s="2" t="str">
        <f>CONCATENATE("PROKLIMA - TIM D.O.O.,"," LUJE NALETILIĆA 10,"," 10020 ZAGREB-NOVI ZAGREB,"," OIB: 76937815443")</f>
        <v>PROKLIMA - TIM D.O.O., LUJE NALETILIĆA 10, 10020 ZAGREB-NOVI ZAGREB, OIB: 76937815443</v>
      </c>
      <c r="H2147" s="4"/>
      <c r="I2147" s="1" t="s">
        <v>220</v>
      </c>
      <c r="J2147" s="1" t="s">
        <v>121</v>
      </c>
      <c r="K2147" s="6" t="str">
        <f>"2.695,00"</f>
        <v>2.695,00</v>
      </c>
      <c r="L2147" s="6" t="str">
        <f>"673,75"</f>
        <v>673,75</v>
      </c>
      <c r="M2147" s="6" t="str">
        <f>"3.368,75"</f>
        <v>3.368,75</v>
      </c>
      <c r="N2147" s="5">
        <v>43607</v>
      </c>
      <c r="O2147" s="7"/>
      <c r="P2147" s="6" t="str">
        <f>"3.368,75"</f>
        <v>3.368,75</v>
      </c>
      <c r="Q2147" s="7"/>
      <c r="R2147" s="1"/>
      <c r="S2147" s="1" t="str">
        <f>"5-19/NOS-52-B-ZGH/18"</f>
        <v>5-19/NOS-52-B-ZGH/18</v>
      </c>
      <c r="T2147" s="2" t="s">
        <v>60</v>
      </c>
    </row>
    <row r="2148" spans="1:20" ht="25.5" x14ac:dyDescent="0.25">
      <c r="A2148" s="1">
        <v>2144</v>
      </c>
      <c r="B2148" s="1" t="str">
        <f t="shared" si="210"/>
        <v>2018-2910</v>
      </c>
      <c r="C2148" s="2" t="s">
        <v>1153</v>
      </c>
      <c r="D2148" s="1" t="s">
        <v>1154</v>
      </c>
      <c r="E2148" s="3" t="str">
        <f>""</f>
        <v/>
      </c>
      <c r="F2148" s="2" t="s">
        <v>27</v>
      </c>
      <c r="G2148" s="2" t="str">
        <f>CONCATENATE("PERUČA D.O.O.,"," DOBRA ULICA 2,"," 31000 OSIJEK,"," OIB: 53353155732")</f>
        <v>PERUČA D.O.O., DOBRA ULICA 2, 31000 OSIJEK, OIB: 53353155732</v>
      </c>
      <c r="H2148" s="4"/>
      <c r="I2148" s="1" t="s">
        <v>30</v>
      </c>
      <c r="J2148" s="1" t="s">
        <v>121</v>
      </c>
      <c r="K2148" s="6" t="str">
        <f>"2.880,00"</f>
        <v>2.880,00</v>
      </c>
      <c r="L2148" s="6" t="str">
        <f>"720,00"</f>
        <v>720,00</v>
      </c>
      <c r="M2148" s="6" t="str">
        <f>"3.600,00"</f>
        <v>3.600,00</v>
      </c>
      <c r="N2148" s="5">
        <v>43627</v>
      </c>
      <c r="O2148" s="7"/>
      <c r="P2148" s="6" t="str">
        <f>"3.600,00"</f>
        <v>3.600,00</v>
      </c>
      <c r="Q2148" s="7"/>
      <c r="R2148" s="1"/>
      <c r="S2148" s="1" t="str">
        <f>"6-19/NOS-52-B-ZGH/18"</f>
        <v>6-19/NOS-52-B-ZGH/18</v>
      </c>
      <c r="T2148" s="2" t="s">
        <v>29</v>
      </c>
    </row>
    <row r="2149" spans="1:20" ht="25.5" x14ac:dyDescent="0.25">
      <c r="A2149" s="1">
        <v>2145</v>
      </c>
      <c r="B2149" s="1" t="str">
        <f t="shared" si="210"/>
        <v>2018-2910</v>
      </c>
      <c r="C2149" s="2" t="s">
        <v>1153</v>
      </c>
      <c r="D2149" s="1" t="s">
        <v>1154</v>
      </c>
      <c r="E2149" s="3" t="str">
        <f>""</f>
        <v/>
      </c>
      <c r="F2149" s="2" t="s">
        <v>27</v>
      </c>
      <c r="G2149" s="2" t="str">
        <f>CONCATENATE("PERUČA D.O.O.,"," DOBRA ULICA 2,"," 31000 OSIJEK,"," OIB: 53353155732")</f>
        <v>PERUČA D.O.O., DOBRA ULICA 2, 31000 OSIJEK, OIB: 53353155732</v>
      </c>
      <c r="H2149" s="4"/>
      <c r="I2149" s="1" t="s">
        <v>266</v>
      </c>
      <c r="J2149" s="1" t="s">
        <v>121</v>
      </c>
      <c r="K2149" s="6" t="str">
        <f>"1.820,00"</f>
        <v>1.820,00</v>
      </c>
      <c r="L2149" s="6" t="str">
        <f>"455,00"</f>
        <v>455,00</v>
      </c>
      <c r="M2149" s="6" t="str">
        <f>"2.275,00"</f>
        <v>2.275,00</v>
      </c>
      <c r="N2149" s="5">
        <v>43627</v>
      </c>
      <c r="O2149" s="7"/>
      <c r="P2149" s="6" t="str">
        <f>"2.275,00"</f>
        <v>2.275,00</v>
      </c>
      <c r="Q2149" s="7"/>
      <c r="R2149" s="1"/>
      <c r="S2149" s="1" t="str">
        <f>"7-19/NOS-52-B-ZGH/18"</f>
        <v>7-19/NOS-52-B-ZGH/18</v>
      </c>
      <c r="T2149" s="2" t="s">
        <v>29</v>
      </c>
    </row>
    <row r="2150" spans="1:20" ht="25.5" x14ac:dyDescent="0.25">
      <c r="A2150" s="1">
        <v>2146</v>
      </c>
      <c r="B2150" s="1" t="str">
        <f t="shared" si="210"/>
        <v>2018-2910</v>
      </c>
      <c r="C2150" s="2" t="s">
        <v>1153</v>
      </c>
      <c r="D2150" s="1" t="s">
        <v>1154</v>
      </c>
      <c r="E2150" s="3" t="str">
        <f>""</f>
        <v/>
      </c>
      <c r="F2150" s="2" t="s">
        <v>27</v>
      </c>
      <c r="G2150" s="2" t="str">
        <f>CONCATENATE("PERUČA D.O.O.,"," DOBRA ULICA 2,"," 31000 OSIJEK,"," OIB: 53353155732")</f>
        <v>PERUČA D.O.O., DOBRA ULICA 2, 31000 OSIJEK, OIB: 53353155732</v>
      </c>
      <c r="H2150" s="4"/>
      <c r="I2150" s="1" t="s">
        <v>481</v>
      </c>
      <c r="J2150" s="1" t="s">
        <v>121</v>
      </c>
      <c r="K2150" s="6" t="str">
        <f>"2.300,00"</f>
        <v>2.300,00</v>
      </c>
      <c r="L2150" s="6" t="str">
        <f>"575,00"</f>
        <v>575,00</v>
      </c>
      <c r="M2150" s="6" t="str">
        <f>"2.875,00"</f>
        <v>2.875,00</v>
      </c>
      <c r="N2150" s="5">
        <v>43627</v>
      </c>
      <c r="O2150" s="7"/>
      <c r="P2150" s="6" t="str">
        <f>"2.875,00"</f>
        <v>2.875,00</v>
      </c>
      <c r="Q2150" s="7"/>
      <c r="R2150" s="1"/>
      <c r="S2150" s="1" t="str">
        <f>"9-19/NOS-52-B-ZGH/18"</f>
        <v>9-19/NOS-52-B-ZGH/18</v>
      </c>
      <c r="T2150" s="2" t="s">
        <v>60</v>
      </c>
    </row>
    <row r="2151" spans="1:20" ht="76.5" x14ac:dyDescent="0.25">
      <c r="A2151" s="1">
        <v>2147</v>
      </c>
      <c r="B2151" s="1" t="str">
        <f t="shared" si="210"/>
        <v>2018-2910</v>
      </c>
      <c r="C2151" s="2" t="s">
        <v>1153</v>
      </c>
      <c r="D2151" s="1" t="s">
        <v>1154</v>
      </c>
      <c r="E2151" s="3" t="str">
        <f>""</f>
        <v/>
      </c>
      <c r="F2151" s="2" t="s">
        <v>27</v>
      </c>
      <c r="G2151" s="2" t="str">
        <f>CONCATENATE("TVIN D.O.O.,"," ULICA ZBORA NARODNE GARDE 2,"," 33000 VIROVITICA,"," OIB: 38872693315")</f>
        <v>TVIN D.O.O., ULICA ZBORA NARODNE GARDE 2, 33000 VIROVITICA, OIB: 38872693315</v>
      </c>
      <c r="H2151" s="4"/>
      <c r="I2151" s="1" t="s">
        <v>200</v>
      </c>
      <c r="J2151" s="1" t="s">
        <v>140</v>
      </c>
      <c r="K2151" s="6" t="str">
        <f>"85.102,00"</f>
        <v>85.102,00</v>
      </c>
      <c r="L2151" s="6" t="str">
        <f>"21.275,50"</f>
        <v>21.275,50</v>
      </c>
      <c r="M2151" s="6" t="str">
        <f>"106.377,50"</f>
        <v>106.377,50</v>
      </c>
      <c r="N2151" s="5">
        <v>43535</v>
      </c>
      <c r="O2151" s="7"/>
      <c r="P2151" s="6" t="str">
        <f>"105.627,50"</f>
        <v>105.627,50</v>
      </c>
      <c r="Q2151" s="7"/>
      <c r="R2151" s="1"/>
      <c r="S2151" s="1" t="str">
        <f>"2-18/NOS-52-B-ZGH/18"</f>
        <v>2-18/NOS-52-B-ZGH/18</v>
      </c>
      <c r="T2151" s="2" t="s">
        <v>671</v>
      </c>
    </row>
    <row r="2152" spans="1:20" ht="38.25" x14ac:dyDescent="0.25">
      <c r="A2152" s="1">
        <v>2148</v>
      </c>
      <c r="B2152" s="1" t="str">
        <f t="shared" si="210"/>
        <v>2018-2910</v>
      </c>
      <c r="C2152" s="2" t="s">
        <v>1153</v>
      </c>
      <c r="D2152" s="1" t="s">
        <v>1154</v>
      </c>
      <c r="E2152" s="3" t="str">
        <f>""</f>
        <v/>
      </c>
      <c r="F2152" s="2" t="s">
        <v>27</v>
      </c>
      <c r="G2152" s="2" t="str">
        <f>CONCATENATE("PERUČA D.O.O.,"," DOBRA ULICA 2,"," 31000 OSIJEK,"," OIB: 53353155732")</f>
        <v>PERUČA D.O.O., DOBRA ULICA 2, 31000 OSIJEK, OIB: 53353155732</v>
      </c>
      <c r="H2152" s="4"/>
      <c r="I2152" s="1" t="s">
        <v>320</v>
      </c>
      <c r="J2152" s="1" t="s">
        <v>457</v>
      </c>
      <c r="K2152" s="6" t="str">
        <f>"7.201,00"</f>
        <v>7.201,00</v>
      </c>
      <c r="L2152" s="6" t="str">
        <f>"1.800,25"</f>
        <v>1.800,25</v>
      </c>
      <c r="M2152" s="6" t="str">
        <f>"9.001,25"</f>
        <v>9.001,25</v>
      </c>
      <c r="N2152" s="5">
        <v>43689</v>
      </c>
      <c r="O2152" s="7"/>
      <c r="P2152" s="6" t="str">
        <f>"9.001,25"</f>
        <v>9.001,25</v>
      </c>
      <c r="Q2152" s="7"/>
      <c r="R2152" s="1"/>
      <c r="S2152" s="1" t="str">
        <f>"10-19/NOS-52-B-ZGH/18"</f>
        <v>10-19/NOS-52-B-ZGH/18</v>
      </c>
      <c r="T2152" s="2" t="s">
        <v>167</v>
      </c>
    </row>
    <row r="2153" spans="1:20" ht="51" x14ac:dyDescent="0.25">
      <c r="A2153" s="1">
        <v>2149</v>
      </c>
      <c r="B2153" s="1" t="str">
        <f t="shared" si="210"/>
        <v>2018-2910</v>
      </c>
      <c r="C2153" s="2" t="s">
        <v>1153</v>
      </c>
      <c r="D2153" s="1" t="s">
        <v>1154</v>
      </c>
      <c r="E2153" s="3" t="str">
        <f>""</f>
        <v/>
      </c>
      <c r="F2153" s="2" t="s">
        <v>27</v>
      </c>
      <c r="G2153" s="2" t="str">
        <f>CONCATENATE("PERUČA D.O.O.,"," DOBRA ULICA 2,"," 31000 OSIJEK,"," OIB: 53353155732")</f>
        <v>PERUČA D.O.O., DOBRA ULICA 2, 31000 OSIJEK, OIB: 53353155732</v>
      </c>
      <c r="H2153" s="4"/>
      <c r="I2153" s="1" t="s">
        <v>403</v>
      </c>
      <c r="J2153" s="1" t="s">
        <v>404</v>
      </c>
      <c r="K2153" s="6" t="str">
        <f>"79.960,00"</f>
        <v>79.960,00</v>
      </c>
      <c r="L2153" s="6" t="str">
        <f>"19.990,00"</f>
        <v>19.990,00</v>
      </c>
      <c r="M2153" s="6" t="str">
        <f>"99.950,00"</f>
        <v>99.950,00</v>
      </c>
      <c r="N2153" s="5">
        <v>43670</v>
      </c>
      <c r="O2153" s="7"/>
      <c r="P2153" s="6" t="str">
        <f>"4.087,50"</f>
        <v>4.087,50</v>
      </c>
      <c r="Q2153" s="7"/>
      <c r="R2153" s="1"/>
      <c r="S2153" s="1" t="str">
        <f>"11-19/NOS-52-B-ZGH/18"</f>
        <v>11-19/NOS-52-B-ZGH/18</v>
      </c>
      <c r="T2153" s="2" t="s">
        <v>514</v>
      </c>
    </row>
    <row r="2154" spans="1:20" ht="38.25" x14ac:dyDescent="0.25">
      <c r="A2154" s="1">
        <v>2150</v>
      </c>
      <c r="B2154" s="1" t="str">
        <f>"2018-2802"</f>
        <v>2018-2802</v>
      </c>
      <c r="C2154" s="2" t="s">
        <v>1155</v>
      </c>
      <c r="D2154" s="1" t="s">
        <v>223</v>
      </c>
      <c r="E2154" s="3" t="str">
        <f>"2018/S 0F2-0020339"</f>
        <v>2018/S 0F2-0020339</v>
      </c>
      <c r="F2154" s="2" t="s">
        <v>23</v>
      </c>
      <c r="G2154" s="2" t="str">
        <f>CONCATENATE("EURO-TERA D.O.O.,"," TRG SENJSKIH USKOKA 8,"," 10000 ZAGREB,"," OIB: 86966588514")</f>
        <v>EURO-TERA D.O.O., TRG SENJSKIH USKOKA 8, 10000 ZAGREB, OIB: 86966588514</v>
      </c>
      <c r="H2154" s="4"/>
      <c r="I2154" s="1" t="s">
        <v>1134</v>
      </c>
      <c r="J2154" s="1" t="s">
        <v>1135</v>
      </c>
      <c r="K2154" s="6" t="str">
        <f>"1.000.000,00"</f>
        <v>1.000.000,00</v>
      </c>
      <c r="L2154" s="6" t="str">
        <f>"250.000,00"</f>
        <v>250.000,00</v>
      </c>
      <c r="M2154" s="6" t="str">
        <f>"1.250.000,00"</f>
        <v>1.250.000,00</v>
      </c>
      <c r="N2154" s="7"/>
      <c r="O2154" s="7"/>
      <c r="P2154" s="6" t="str">
        <f>""</f>
        <v/>
      </c>
      <c r="Q2154" s="7"/>
      <c r="R2154" s="1"/>
      <c r="S2154" s="1" t="str">
        <f>"NOS-53/18"</f>
        <v>NOS-53/18</v>
      </c>
      <c r="T2154" s="2" t="s">
        <v>33</v>
      </c>
    </row>
    <row r="2155" spans="1:20" ht="25.5" x14ac:dyDescent="0.25">
      <c r="A2155" s="1">
        <v>2151</v>
      </c>
      <c r="B2155" s="1" t="str">
        <f>"2018-2802"</f>
        <v>2018-2802</v>
      </c>
      <c r="C2155" s="2" t="s">
        <v>1155</v>
      </c>
      <c r="D2155" s="4"/>
      <c r="E2155" s="3" t="str">
        <f>""</f>
        <v/>
      </c>
      <c r="F2155" s="2" t="s">
        <v>27</v>
      </c>
      <c r="G2155" s="2" t="str">
        <f>CONCATENATE("EURO-TERA D.O.O.,"," TRG SENJSKIH USKOKA 8,"," 10000 ZAGREB,"," OIB: 86966588514")</f>
        <v>EURO-TERA D.O.O., TRG SENJSKIH USKOKA 8, 10000 ZAGREB, OIB: 86966588514</v>
      </c>
      <c r="H2155" s="4"/>
      <c r="I2155" s="1" t="s">
        <v>1144</v>
      </c>
      <c r="J2155" s="1" t="s">
        <v>28</v>
      </c>
      <c r="K2155" s="6" t="str">
        <f>"166.000,00"</f>
        <v>166.000,00</v>
      </c>
      <c r="L2155" s="6" t="str">
        <f>"41.500,00"</f>
        <v>41.500,00</v>
      </c>
      <c r="M2155" s="6" t="str">
        <f>"207.500,00"</f>
        <v>207.500,00</v>
      </c>
      <c r="N2155" s="5">
        <v>43678</v>
      </c>
      <c r="O2155" s="7"/>
      <c r="P2155" s="6" t="str">
        <f>"62.250,00"</f>
        <v>62.250,00</v>
      </c>
      <c r="Q2155" s="7"/>
      <c r="R2155" s="1"/>
      <c r="S2155" s="1" t="str">
        <f>"1-18/NOS-53/18"</f>
        <v>1-18/NOS-53/18</v>
      </c>
      <c r="T2155" s="2" t="s">
        <v>33</v>
      </c>
    </row>
    <row r="2156" spans="1:20" ht="38.25" x14ac:dyDescent="0.25">
      <c r="A2156" s="1">
        <v>2152</v>
      </c>
      <c r="B2156" s="1" t="str">
        <f t="shared" ref="B2156:B2165" si="211">"2018-2866"</f>
        <v>2018-2866</v>
      </c>
      <c r="C2156" s="2" t="s">
        <v>425</v>
      </c>
      <c r="D2156" s="1" t="s">
        <v>426</v>
      </c>
      <c r="E2156" s="3" t="str">
        <f>"2018/S 0F2-0025268"</f>
        <v>2018/S 0F2-0025268</v>
      </c>
      <c r="F2156" s="2" t="s">
        <v>23</v>
      </c>
      <c r="G2156" s="2" t="str">
        <f t="shared" ref="G2156:G2165" si="212">CONCATENATE("GRANDIFLORA D.O.O.,"," DOLENICA 8,"," 10250 LUČKO,"," OIB: 89219306427")</f>
        <v>GRANDIFLORA D.O.O., DOLENICA 8, 10250 LUČKO, OIB: 89219306427</v>
      </c>
      <c r="H2156" s="4"/>
      <c r="I2156" s="1" t="s">
        <v>1156</v>
      </c>
      <c r="J2156" s="1" t="s">
        <v>1157</v>
      </c>
      <c r="K2156" s="6" t="str">
        <f>"450.000,00"</f>
        <v>450.000,00</v>
      </c>
      <c r="L2156" s="6" t="str">
        <f>"112.500,00"</f>
        <v>112.500,00</v>
      </c>
      <c r="M2156" s="6" t="str">
        <f>"562.500,00"</f>
        <v>562.500,00</v>
      </c>
      <c r="N2156" s="7"/>
      <c r="O2156" s="7"/>
      <c r="P2156" s="6" t="str">
        <f>""</f>
        <v/>
      </c>
      <c r="Q2156" s="7"/>
      <c r="R2156" s="1"/>
      <c r="S2156" s="1" t="str">
        <f>"NOS-54-A/18"</f>
        <v>NOS-54-A/18</v>
      </c>
      <c r="T2156" s="2" t="s">
        <v>33</v>
      </c>
    </row>
    <row r="2157" spans="1:20" ht="25.5" x14ac:dyDescent="0.25">
      <c r="A2157" s="1">
        <v>2153</v>
      </c>
      <c r="B2157" s="1" t="str">
        <f t="shared" si="211"/>
        <v>2018-2866</v>
      </c>
      <c r="C2157" s="2" t="s">
        <v>425</v>
      </c>
      <c r="D2157" s="1" t="s">
        <v>426</v>
      </c>
      <c r="E2157" s="3" t="str">
        <f>""</f>
        <v/>
      </c>
      <c r="F2157" s="2" t="s">
        <v>27</v>
      </c>
      <c r="G2157" s="2" t="str">
        <f t="shared" si="212"/>
        <v>GRANDIFLORA D.O.O., DOLENICA 8, 10250 LUČKO, OIB: 89219306427</v>
      </c>
      <c r="H2157" s="4"/>
      <c r="I2157" s="1" t="s">
        <v>361</v>
      </c>
      <c r="J2157" s="1" t="s">
        <v>492</v>
      </c>
      <c r="K2157" s="6" t="str">
        <f>"28.021,04"</f>
        <v>28.021,04</v>
      </c>
      <c r="L2157" s="6" t="str">
        <f>"7.213,97"</f>
        <v>7.213,97</v>
      </c>
      <c r="M2157" s="6" t="str">
        <f>"36.069,84"</f>
        <v>36.069,84</v>
      </c>
      <c r="N2157" s="5">
        <v>43633</v>
      </c>
      <c r="O2157" s="7"/>
      <c r="P2157" s="6" t="str">
        <f>"36.069,84"</f>
        <v>36.069,84</v>
      </c>
      <c r="Q2157" s="7"/>
      <c r="R2157" s="1"/>
      <c r="S2157" s="1" t="str">
        <f>"1-19/NOS-54-A/18"</f>
        <v>1-19/NOS-54-A/18</v>
      </c>
      <c r="T2157" s="2" t="s">
        <v>33</v>
      </c>
    </row>
    <row r="2158" spans="1:20" ht="25.5" x14ac:dyDescent="0.25">
      <c r="A2158" s="1">
        <v>2154</v>
      </c>
      <c r="B2158" s="1" t="str">
        <f t="shared" si="211"/>
        <v>2018-2866</v>
      </c>
      <c r="C2158" s="2" t="s">
        <v>425</v>
      </c>
      <c r="D2158" s="1" t="s">
        <v>426</v>
      </c>
      <c r="E2158" s="3" t="str">
        <f>""</f>
        <v/>
      </c>
      <c r="F2158" s="2" t="s">
        <v>27</v>
      </c>
      <c r="G2158" s="2" t="str">
        <f t="shared" si="212"/>
        <v>GRANDIFLORA D.O.O., DOLENICA 8, 10250 LUČKO, OIB: 89219306427</v>
      </c>
      <c r="H2158" s="4"/>
      <c r="I2158" s="1" t="s">
        <v>628</v>
      </c>
      <c r="J2158" s="1" t="s">
        <v>492</v>
      </c>
      <c r="K2158" s="6" t="str">
        <f>"3.785,55"</f>
        <v>3.785,55</v>
      </c>
      <c r="L2158" s="6" t="str">
        <f>"946,39"</f>
        <v>946,39</v>
      </c>
      <c r="M2158" s="6" t="str">
        <f>"4.731,94"</f>
        <v>4.731,94</v>
      </c>
      <c r="N2158" s="5">
        <v>43619</v>
      </c>
      <c r="O2158" s="7"/>
      <c r="P2158" s="6" t="str">
        <f>"4.731,94"</f>
        <v>4.731,94</v>
      </c>
      <c r="Q2158" s="7"/>
      <c r="R2158" s="1"/>
      <c r="S2158" s="1" t="str">
        <f>"2-19/NOS-54-A/18"</f>
        <v>2-19/NOS-54-A/18</v>
      </c>
      <c r="T2158" s="2" t="s">
        <v>33</v>
      </c>
    </row>
    <row r="2159" spans="1:20" ht="25.5" x14ac:dyDescent="0.25">
      <c r="A2159" s="1">
        <v>2155</v>
      </c>
      <c r="B2159" s="1" t="str">
        <f t="shared" si="211"/>
        <v>2018-2866</v>
      </c>
      <c r="C2159" s="2" t="s">
        <v>425</v>
      </c>
      <c r="D2159" s="1" t="s">
        <v>426</v>
      </c>
      <c r="E2159" s="3" t="str">
        <f>""</f>
        <v/>
      </c>
      <c r="F2159" s="2" t="s">
        <v>27</v>
      </c>
      <c r="G2159" s="2" t="str">
        <f t="shared" si="212"/>
        <v>GRANDIFLORA D.O.O., DOLENICA 8, 10250 LUČKO, OIB: 89219306427</v>
      </c>
      <c r="H2159" s="4"/>
      <c r="I2159" s="1" t="s">
        <v>269</v>
      </c>
      <c r="J2159" s="1" t="s">
        <v>492</v>
      </c>
      <c r="K2159" s="6" t="str">
        <f>"22.721,80"</f>
        <v>22.721,80</v>
      </c>
      <c r="L2159" s="6" t="str">
        <f>"6.170,08"</f>
        <v>6.170,08</v>
      </c>
      <c r="M2159" s="6" t="str">
        <f>"30.850,38"</f>
        <v>30.850,38</v>
      </c>
      <c r="N2159" s="5">
        <v>43633</v>
      </c>
      <c r="O2159" s="7"/>
      <c r="P2159" s="6" t="str">
        <f>"30.850,38"</f>
        <v>30.850,38</v>
      </c>
      <c r="Q2159" s="7"/>
      <c r="R2159" s="1"/>
      <c r="S2159" s="1" t="str">
        <f>"3-19/NOS-54-A/18"</f>
        <v>3-19/NOS-54-A/18</v>
      </c>
      <c r="T2159" s="2" t="s">
        <v>33</v>
      </c>
    </row>
    <row r="2160" spans="1:20" ht="38.25" x14ac:dyDescent="0.25">
      <c r="A2160" s="1">
        <v>2156</v>
      </c>
      <c r="B2160" s="1" t="str">
        <f t="shared" si="211"/>
        <v>2018-2866</v>
      </c>
      <c r="C2160" s="2" t="s">
        <v>425</v>
      </c>
      <c r="D2160" s="1" t="s">
        <v>426</v>
      </c>
      <c r="E2160" s="3" t="str">
        <f>"2018/S 0F2-0025268"</f>
        <v>2018/S 0F2-0025268</v>
      </c>
      <c r="F2160" s="2" t="s">
        <v>23</v>
      </c>
      <c r="G2160" s="2" t="str">
        <f t="shared" si="212"/>
        <v>GRANDIFLORA D.O.O., DOLENICA 8, 10250 LUČKO, OIB: 89219306427</v>
      </c>
      <c r="H2160" s="4"/>
      <c r="I2160" s="1" t="s">
        <v>491</v>
      </c>
      <c r="J2160" s="1" t="s">
        <v>1158</v>
      </c>
      <c r="K2160" s="6" t="str">
        <f>"350.000,00"</f>
        <v>350.000,00</v>
      </c>
      <c r="L2160" s="6" t="str">
        <f>"87.500,00"</f>
        <v>87.500,00</v>
      </c>
      <c r="M2160" s="6" t="str">
        <f>"437.500,00"</f>
        <v>437.500,00</v>
      </c>
      <c r="N2160" s="7"/>
      <c r="O2160" s="7"/>
      <c r="P2160" s="6" t="str">
        <f>""</f>
        <v/>
      </c>
      <c r="Q2160" s="7"/>
      <c r="R2160" s="1"/>
      <c r="S2160" s="1" t="str">
        <f>"NOS-54-B/18"</f>
        <v>NOS-54-B/18</v>
      </c>
      <c r="T2160" s="2" t="s">
        <v>33</v>
      </c>
    </row>
    <row r="2161" spans="1:20" ht="25.5" x14ac:dyDescent="0.25">
      <c r="A2161" s="1">
        <v>2157</v>
      </c>
      <c r="B2161" s="1" t="str">
        <f t="shared" si="211"/>
        <v>2018-2866</v>
      </c>
      <c r="C2161" s="2" t="s">
        <v>425</v>
      </c>
      <c r="D2161" s="1" t="s">
        <v>426</v>
      </c>
      <c r="E2161" s="3" t="str">
        <f>""</f>
        <v/>
      </c>
      <c r="F2161" s="2" t="s">
        <v>27</v>
      </c>
      <c r="G2161" s="2" t="str">
        <f t="shared" si="212"/>
        <v>GRANDIFLORA D.O.O., DOLENICA 8, 10250 LUČKO, OIB: 89219306427</v>
      </c>
      <c r="H2161" s="4"/>
      <c r="I2161" s="1" t="s">
        <v>25</v>
      </c>
      <c r="J2161" s="1" t="s">
        <v>492</v>
      </c>
      <c r="K2161" s="6" t="str">
        <f>"32.488,00"</f>
        <v>32.488,00</v>
      </c>
      <c r="L2161" s="6" t="str">
        <f>"8.933,00"</f>
        <v>8.933,00</v>
      </c>
      <c r="M2161" s="6" t="str">
        <f>"44.665,00"</f>
        <v>44.665,00</v>
      </c>
      <c r="N2161" s="5">
        <v>43633</v>
      </c>
      <c r="O2161" s="7"/>
      <c r="P2161" s="6" t="str">
        <f>"44.665,00"</f>
        <v>44.665,00</v>
      </c>
      <c r="Q2161" s="7"/>
      <c r="R2161" s="1"/>
      <c r="S2161" s="1" t="str">
        <f>"1-19/NOS-54-B/18"</f>
        <v>1-19/NOS-54-B/18</v>
      </c>
      <c r="T2161" s="2" t="s">
        <v>33</v>
      </c>
    </row>
    <row r="2162" spans="1:20" ht="25.5" x14ac:dyDescent="0.25">
      <c r="A2162" s="1">
        <v>2158</v>
      </c>
      <c r="B2162" s="1" t="str">
        <f t="shared" si="211"/>
        <v>2018-2866</v>
      </c>
      <c r="C2162" s="2" t="s">
        <v>425</v>
      </c>
      <c r="D2162" s="1" t="s">
        <v>426</v>
      </c>
      <c r="E2162" s="3" t="str">
        <f>""</f>
        <v/>
      </c>
      <c r="F2162" s="2" t="s">
        <v>27</v>
      </c>
      <c r="G2162" s="2" t="str">
        <f t="shared" si="212"/>
        <v>GRANDIFLORA D.O.O., DOLENICA 8, 10250 LUČKO, OIB: 89219306427</v>
      </c>
      <c r="H2162" s="4"/>
      <c r="I2162" s="1" t="s">
        <v>628</v>
      </c>
      <c r="J2162" s="1" t="s">
        <v>492</v>
      </c>
      <c r="K2162" s="6" t="str">
        <f>"2.232,00"</f>
        <v>2.232,00</v>
      </c>
      <c r="L2162" s="6" t="str">
        <f>"558,00"</f>
        <v>558,00</v>
      </c>
      <c r="M2162" s="6" t="str">
        <f>"2.790,00"</f>
        <v>2.790,00</v>
      </c>
      <c r="N2162" s="5">
        <v>43613</v>
      </c>
      <c r="O2162" s="7"/>
      <c r="P2162" s="6" t="str">
        <f>"2.790,00"</f>
        <v>2.790,00</v>
      </c>
      <c r="Q2162" s="7"/>
      <c r="R2162" s="1"/>
      <c r="S2162" s="1" t="str">
        <f>"2-19/NOS-54-B/18"</f>
        <v>2-19/NOS-54-B/18</v>
      </c>
      <c r="T2162" s="2" t="s">
        <v>33</v>
      </c>
    </row>
    <row r="2163" spans="1:20" ht="25.5" x14ac:dyDescent="0.25">
      <c r="A2163" s="1">
        <v>2159</v>
      </c>
      <c r="B2163" s="1" t="str">
        <f t="shared" si="211"/>
        <v>2018-2866</v>
      </c>
      <c r="C2163" s="2" t="s">
        <v>425</v>
      </c>
      <c r="D2163" s="1" t="s">
        <v>426</v>
      </c>
      <c r="E2163" s="3" t="str">
        <f>""</f>
        <v/>
      </c>
      <c r="F2163" s="2" t="s">
        <v>27</v>
      </c>
      <c r="G2163" s="2" t="str">
        <f t="shared" si="212"/>
        <v>GRANDIFLORA D.O.O., DOLENICA 8, 10250 LUČKO, OIB: 89219306427</v>
      </c>
      <c r="H2163" s="4"/>
      <c r="I2163" s="1" t="s">
        <v>440</v>
      </c>
      <c r="J2163" s="1" t="s">
        <v>492</v>
      </c>
      <c r="K2163" s="6" t="str">
        <f>"9.957,00"</f>
        <v>9.957,00</v>
      </c>
      <c r="L2163" s="6" t="str">
        <f>"2.489,25"</f>
        <v>2.489,25</v>
      </c>
      <c r="M2163" s="6" t="str">
        <f>"12.446,25"</f>
        <v>12.446,25</v>
      </c>
      <c r="N2163" s="5">
        <v>43622</v>
      </c>
      <c r="O2163" s="7"/>
      <c r="P2163" s="6" t="str">
        <f>"12.446,25"</f>
        <v>12.446,25</v>
      </c>
      <c r="Q2163" s="7"/>
      <c r="R2163" s="1"/>
      <c r="S2163" s="1" t="str">
        <f>"3-19/NOS-54-B/18"</f>
        <v>3-19/NOS-54-B/18</v>
      </c>
      <c r="T2163" s="2" t="s">
        <v>33</v>
      </c>
    </row>
    <row r="2164" spans="1:20" ht="38.25" x14ac:dyDescent="0.25">
      <c r="A2164" s="1">
        <v>2160</v>
      </c>
      <c r="B2164" s="1" t="str">
        <f t="shared" si="211"/>
        <v>2018-2866</v>
      </c>
      <c r="C2164" s="2" t="s">
        <v>425</v>
      </c>
      <c r="D2164" s="1" t="s">
        <v>426</v>
      </c>
      <c r="E2164" s="3" t="str">
        <f>"2018/S 0F2-0025268"</f>
        <v>2018/S 0F2-0025268</v>
      </c>
      <c r="F2164" s="2" t="s">
        <v>23</v>
      </c>
      <c r="G2164" s="2" t="str">
        <f t="shared" si="212"/>
        <v>GRANDIFLORA D.O.O., DOLENICA 8, 10250 LUČKO, OIB: 89219306427</v>
      </c>
      <c r="H2164" s="4"/>
      <c r="I2164" s="1" t="s">
        <v>1156</v>
      </c>
      <c r="J2164" s="1" t="s">
        <v>1157</v>
      </c>
      <c r="K2164" s="6" t="str">
        <f>"60.000,00"</f>
        <v>60.000,00</v>
      </c>
      <c r="L2164" s="6" t="str">
        <f>"15.000,00"</f>
        <v>15.000,00</v>
      </c>
      <c r="M2164" s="6" t="str">
        <f>"75.000,00"</f>
        <v>75.000,00</v>
      </c>
      <c r="N2164" s="7"/>
      <c r="O2164" s="7"/>
      <c r="P2164" s="6" t="str">
        <f>""</f>
        <v/>
      </c>
      <c r="Q2164" s="7"/>
      <c r="R2164" s="1"/>
      <c r="S2164" s="1" t="str">
        <f>"NOS-54-C/18"</f>
        <v>NOS-54-C/18</v>
      </c>
      <c r="T2164" s="2" t="s">
        <v>33</v>
      </c>
    </row>
    <row r="2165" spans="1:20" ht="38.25" x14ac:dyDescent="0.25">
      <c r="A2165" s="1">
        <v>2161</v>
      </c>
      <c r="B2165" s="1" t="str">
        <f t="shared" si="211"/>
        <v>2018-2866</v>
      </c>
      <c r="C2165" s="2" t="s">
        <v>425</v>
      </c>
      <c r="D2165" s="1" t="s">
        <v>426</v>
      </c>
      <c r="E2165" s="3" t="str">
        <f>"2018/S 0F2-0025268"</f>
        <v>2018/S 0F2-0025268</v>
      </c>
      <c r="F2165" s="2" t="s">
        <v>23</v>
      </c>
      <c r="G2165" s="2" t="str">
        <f t="shared" si="212"/>
        <v>GRANDIFLORA D.O.O., DOLENICA 8, 10250 LUČKO, OIB: 89219306427</v>
      </c>
      <c r="H2165" s="4"/>
      <c r="I2165" s="1" t="s">
        <v>1156</v>
      </c>
      <c r="J2165" s="1" t="s">
        <v>1157</v>
      </c>
      <c r="K2165" s="6" t="str">
        <f>"40.000,00"</f>
        <v>40.000,00</v>
      </c>
      <c r="L2165" s="6" t="str">
        <f>"10.000,00"</f>
        <v>10.000,00</v>
      </c>
      <c r="M2165" s="6" t="str">
        <f>"50.000,00"</f>
        <v>50.000,00</v>
      </c>
      <c r="N2165" s="7"/>
      <c r="O2165" s="7"/>
      <c r="P2165" s="6" t="str">
        <f>""</f>
        <v/>
      </c>
      <c r="Q2165" s="7"/>
      <c r="R2165" s="1"/>
      <c r="S2165" s="1" t="str">
        <f>"NOS-54-D/18"</f>
        <v>NOS-54-D/18</v>
      </c>
      <c r="T2165" s="2" t="s">
        <v>33</v>
      </c>
    </row>
    <row r="2166" spans="1:20" ht="38.25" x14ac:dyDescent="0.25">
      <c r="A2166" s="1">
        <v>2162</v>
      </c>
      <c r="B2166" s="1" t="str">
        <f>"2018-3046"</f>
        <v>2018-3046</v>
      </c>
      <c r="C2166" s="2" t="s">
        <v>1159</v>
      </c>
      <c r="D2166" s="1" t="s">
        <v>192</v>
      </c>
      <c r="E2166" s="3" t="str">
        <f>"2018/S 0F2-0022735"</f>
        <v>2018/S 0F2-0022735</v>
      </c>
      <c r="F2166" s="2" t="s">
        <v>23</v>
      </c>
      <c r="G2166" s="2" t="str">
        <f>CONCATENATE("RO-TEHNOLOGIJA D.O.O.,"," NOVA CESTA 86,"," 51410 OPATIJA,"," OIB: 94757004774")</f>
        <v>RO-TEHNOLOGIJA D.O.O., NOVA CESTA 86, 51410 OPATIJA, OIB: 94757004774</v>
      </c>
      <c r="H2166" s="4"/>
      <c r="I2166" s="1" t="s">
        <v>1156</v>
      </c>
      <c r="J2166" s="1" t="s">
        <v>1157</v>
      </c>
      <c r="K2166" s="6" t="str">
        <f>"2.500.000,00"</f>
        <v>2.500.000,00</v>
      </c>
      <c r="L2166" s="6" t="str">
        <f>"625.000,00"</f>
        <v>625.000,00</v>
      </c>
      <c r="M2166" s="6" t="str">
        <f>"3.125.000,00"</f>
        <v>3.125.000,00</v>
      </c>
      <c r="N2166" s="7"/>
      <c r="O2166" s="7"/>
      <c r="P2166" s="6" t="str">
        <f>""</f>
        <v/>
      </c>
      <c r="Q2166" s="7"/>
      <c r="R2166" s="1"/>
      <c r="S2166" s="1" t="str">
        <f>"NOS-55/18"</f>
        <v>NOS-55/18</v>
      </c>
      <c r="T2166" s="2" t="s">
        <v>33</v>
      </c>
    </row>
    <row r="2167" spans="1:20" ht="25.5" x14ac:dyDescent="0.25">
      <c r="A2167" s="1">
        <v>2163</v>
      </c>
      <c r="B2167" s="1" t="str">
        <f>"2018-3046"</f>
        <v>2018-3046</v>
      </c>
      <c r="C2167" s="2" t="s">
        <v>1159</v>
      </c>
      <c r="D2167" s="1" t="s">
        <v>192</v>
      </c>
      <c r="E2167" s="3" t="str">
        <f>""</f>
        <v/>
      </c>
      <c r="F2167" s="2" t="s">
        <v>27</v>
      </c>
      <c r="G2167" s="2" t="str">
        <f>CONCATENATE("RO-TEHNOLOGIJA D.O.O.,"," NOVA CESTA 86,"," 51410 OPATIJA,"," OIB: 94757004774")</f>
        <v>RO-TEHNOLOGIJA D.O.O., NOVA CESTA 86, 51410 OPATIJA, OIB: 94757004774</v>
      </c>
      <c r="H2167" s="4"/>
      <c r="I2167" s="1" t="s">
        <v>343</v>
      </c>
      <c r="J2167" s="1" t="s">
        <v>1160</v>
      </c>
      <c r="K2167" s="6" t="str">
        <f>"415.360,80"</f>
        <v>415.360,80</v>
      </c>
      <c r="L2167" s="6" t="str">
        <f>"103.840,20"</f>
        <v>103.840,20</v>
      </c>
      <c r="M2167" s="6" t="str">
        <f>"519.201,00"</f>
        <v>519.201,00</v>
      </c>
      <c r="N2167" s="5">
        <v>43644</v>
      </c>
      <c r="O2167" s="7"/>
      <c r="P2167" s="6" t="str">
        <f>"519.201,00"</f>
        <v>519.201,00</v>
      </c>
      <c r="Q2167" s="7"/>
      <c r="R2167" s="1"/>
      <c r="S2167" s="1" t="str">
        <f>"2-19/NOS-55/18"</f>
        <v>2-19/NOS-55/18</v>
      </c>
      <c r="T2167" s="2" t="s">
        <v>33</v>
      </c>
    </row>
    <row r="2168" spans="1:20" ht="114.75" x14ac:dyDescent="0.25">
      <c r="A2168" s="1">
        <v>2164</v>
      </c>
      <c r="B2168" s="1" t="str">
        <f t="shared" ref="B2168:B2183" si="213">"2018-2795"</f>
        <v>2018-2795</v>
      </c>
      <c r="C2168" s="2" t="s">
        <v>54</v>
      </c>
      <c r="D2168" s="1" t="s">
        <v>55</v>
      </c>
      <c r="E2168" s="3" t="str">
        <f>"2018/S 0F2-0019064"</f>
        <v>2018/S 0F2-0019064</v>
      </c>
      <c r="F2168" s="2" t="s">
        <v>23</v>
      </c>
      <c r="G2168" s="2" t="str">
        <f>CONCATENATE("NARODNE NOVINE D.D.,"," OIB: 64546066176",CHAR(10),"TIP - ZAGREB D.O.O.,"," VINOGRADSKA 34,"," 10431 SVETA NEDJELJA,"," OIB: 36198195227",CHAR(10),"BIRODOM D.O.O.,"," UL. HOJNIKOVA 19,"," 10250 LUČKO,"," OIB: 47794513055")</f>
        <v>NARODNE NOVINE D.D., OIB: 64546066176
TIP - ZAGREB D.O.O., VINOGRADSKA 34, 10431 SVETA NEDJELJA, OIB: 36198195227
BIRODOM D.O.O., UL. HOJNIKOVA 19, 10250 LUČKO, OIB: 47794513055</v>
      </c>
      <c r="H2168" s="4"/>
      <c r="I2168" s="1" t="s">
        <v>1156</v>
      </c>
      <c r="J2168" s="1" t="s">
        <v>1157</v>
      </c>
      <c r="K2168" s="6" t="str">
        <f>"1.438.000,00"</f>
        <v>1.438.000,00</v>
      </c>
      <c r="L2168" s="6" t="str">
        <f>"359.500,00"</f>
        <v>359.500,00</v>
      </c>
      <c r="M2168" s="6" t="str">
        <f>"1.797.500,00"</f>
        <v>1.797.500,00</v>
      </c>
      <c r="N2168" s="7"/>
      <c r="O2168" s="7"/>
      <c r="P2168" s="6" t="str">
        <f>""</f>
        <v/>
      </c>
      <c r="Q2168" s="7"/>
      <c r="R2168" s="1"/>
      <c r="S2168" s="1" t="str">
        <f>"NOS-56-A-ZGH/18"</f>
        <v>NOS-56-A-ZGH/18</v>
      </c>
      <c r="T2168" s="2" t="s">
        <v>58</v>
      </c>
    </row>
    <row r="2169" spans="1:20" ht="25.5" x14ac:dyDescent="0.25">
      <c r="A2169" s="1">
        <v>2165</v>
      </c>
      <c r="B2169" s="1" t="str">
        <f t="shared" si="213"/>
        <v>2018-2795</v>
      </c>
      <c r="C2169" s="2" t="s">
        <v>54</v>
      </c>
      <c r="D2169" s="1" t="s">
        <v>55</v>
      </c>
      <c r="E2169" s="3" t="str">
        <f>""</f>
        <v/>
      </c>
      <c r="F2169" s="2" t="s">
        <v>27</v>
      </c>
      <c r="G2169" s="2" t="str">
        <f t="shared" ref="G2169:G2174" si="214">CONCATENATE("NARODNE NOVINE D.D.,"," OIB: 64546066176")</f>
        <v>NARODNE NOVINE D.D., OIB: 64546066176</v>
      </c>
      <c r="H2169" s="4"/>
      <c r="I2169" s="1" t="s">
        <v>929</v>
      </c>
      <c r="J2169" s="1" t="s">
        <v>42</v>
      </c>
      <c r="K2169" s="6" t="str">
        <f>"125.925,07"</f>
        <v>125.925,07</v>
      </c>
      <c r="L2169" s="6" t="str">
        <f>"31.481,27"</f>
        <v>31.481,27</v>
      </c>
      <c r="M2169" s="6" t="str">
        <f>"157.406,34"</f>
        <v>157.406,34</v>
      </c>
      <c r="N2169" s="5">
        <v>43588</v>
      </c>
      <c r="O2169" s="7"/>
      <c r="P2169" s="6" t="str">
        <f>"109.674,85"</f>
        <v>109.674,85</v>
      </c>
      <c r="Q2169" s="7"/>
      <c r="R2169" s="1"/>
      <c r="S2169" s="1" t="str">
        <f>"1-18/NOS-56-A-ZGH/18"</f>
        <v>1-18/NOS-56-A-ZGH/18</v>
      </c>
      <c r="T2169" s="2" t="s">
        <v>33</v>
      </c>
    </row>
    <row r="2170" spans="1:20" ht="25.5" x14ac:dyDescent="0.25">
      <c r="A2170" s="1">
        <v>2166</v>
      </c>
      <c r="B2170" s="1" t="str">
        <f t="shared" si="213"/>
        <v>2018-2795</v>
      </c>
      <c r="C2170" s="2" t="s">
        <v>54</v>
      </c>
      <c r="D2170" s="1" t="s">
        <v>55</v>
      </c>
      <c r="E2170" s="3" t="str">
        <f>""</f>
        <v/>
      </c>
      <c r="F2170" s="2" t="s">
        <v>27</v>
      </c>
      <c r="G2170" s="2" t="str">
        <f t="shared" si="214"/>
        <v>NARODNE NOVINE D.D., OIB: 64546066176</v>
      </c>
      <c r="H2170" s="4"/>
      <c r="I2170" s="1" t="s">
        <v>159</v>
      </c>
      <c r="J2170" s="1" t="s">
        <v>42</v>
      </c>
      <c r="K2170" s="6" t="str">
        <f>"201.635,00"</f>
        <v>201.635,00</v>
      </c>
      <c r="L2170" s="6" t="str">
        <f>"50.408,75"</f>
        <v>50.408,75</v>
      </c>
      <c r="M2170" s="6" t="str">
        <f>"252.043,75"</f>
        <v>252.043,75</v>
      </c>
      <c r="N2170" s="5">
        <v>43543</v>
      </c>
      <c r="O2170" s="7"/>
      <c r="P2170" s="6" t="str">
        <f>"252.043,75"</f>
        <v>252.043,75</v>
      </c>
      <c r="Q2170" s="7"/>
      <c r="R2170" s="1"/>
      <c r="S2170" s="1" t="str">
        <f>"2-18/NOS-56-A-ZGH/18"</f>
        <v>2-18/NOS-56-A-ZGH/18</v>
      </c>
      <c r="T2170" s="2" t="s">
        <v>29</v>
      </c>
    </row>
    <row r="2171" spans="1:20" ht="25.5" x14ac:dyDescent="0.25">
      <c r="A2171" s="1">
        <v>2167</v>
      </c>
      <c r="B2171" s="1" t="str">
        <f t="shared" si="213"/>
        <v>2018-2795</v>
      </c>
      <c r="C2171" s="2" t="s">
        <v>54</v>
      </c>
      <c r="D2171" s="1" t="s">
        <v>55</v>
      </c>
      <c r="E2171" s="3" t="str">
        <f>""</f>
        <v/>
      </c>
      <c r="F2171" s="2" t="s">
        <v>27</v>
      </c>
      <c r="G2171" s="2" t="str">
        <f t="shared" si="214"/>
        <v>NARODNE NOVINE D.D., OIB: 64546066176</v>
      </c>
      <c r="H2171" s="4"/>
      <c r="I2171" s="1" t="s">
        <v>423</v>
      </c>
      <c r="J2171" s="1" t="s">
        <v>64</v>
      </c>
      <c r="K2171" s="6" t="str">
        <f>"4.870,00"</f>
        <v>4.870,00</v>
      </c>
      <c r="L2171" s="6" t="str">
        <f>"1.217,50"</f>
        <v>1.217,50</v>
      </c>
      <c r="M2171" s="6" t="str">
        <f>"6.087,50"</f>
        <v>6.087,50</v>
      </c>
      <c r="N2171" s="5">
        <v>43542</v>
      </c>
      <c r="O2171" s="7"/>
      <c r="P2171" s="6" t="str">
        <f>"6.087,50"</f>
        <v>6.087,50</v>
      </c>
      <c r="Q2171" s="7"/>
      <c r="R2171" s="1"/>
      <c r="S2171" s="1" t="str">
        <f>"2-19/NOS-56-A-ZGH/18"</f>
        <v>2-19/NOS-56-A-ZGH/18</v>
      </c>
      <c r="T2171" s="2" t="s">
        <v>33</v>
      </c>
    </row>
    <row r="2172" spans="1:20" ht="51" x14ac:dyDescent="0.25">
      <c r="A2172" s="1">
        <v>2168</v>
      </c>
      <c r="B2172" s="1" t="str">
        <f t="shared" si="213"/>
        <v>2018-2795</v>
      </c>
      <c r="C2172" s="2" t="s">
        <v>54</v>
      </c>
      <c r="D2172" s="1" t="s">
        <v>55</v>
      </c>
      <c r="E2172" s="3" t="str">
        <f>""</f>
        <v/>
      </c>
      <c r="F2172" s="2" t="s">
        <v>27</v>
      </c>
      <c r="G2172" s="2" t="str">
        <f t="shared" si="214"/>
        <v>NARODNE NOVINE D.D., OIB: 64546066176</v>
      </c>
      <c r="H2172" s="4"/>
      <c r="I2172" s="1" t="s">
        <v>494</v>
      </c>
      <c r="J2172" s="1" t="s">
        <v>456</v>
      </c>
      <c r="K2172" s="6" t="str">
        <f>"73.658,75"</f>
        <v>73.658,75</v>
      </c>
      <c r="L2172" s="6" t="str">
        <f>"18.414,69"</f>
        <v>18.414,69</v>
      </c>
      <c r="M2172" s="6" t="str">
        <f>"92.073,44"</f>
        <v>92.073,44</v>
      </c>
      <c r="N2172" s="5">
        <v>43613</v>
      </c>
      <c r="O2172" s="7"/>
      <c r="P2172" s="6" t="str">
        <f>"33.633,44"</f>
        <v>33.633,44</v>
      </c>
      <c r="Q2172" s="7"/>
      <c r="R2172" s="1"/>
      <c r="S2172" s="1" t="str">
        <f>"3-19/NOS-56-A-ZGH/18"</f>
        <v>3-19/NOS-56-A-ZGH/18</v>
      </c>
      <c r="T2172" s="2" t="s">
        <v>1161</v>
      </c>
    </row>
    <row r="2173" spans="1:20" ht="25.5" x14ac:dyDescent="0.25">
      <c r="A2173" s="1">
        <v>2169</v>
      </c>
      <c r="B2173" s="1" t="str">
        <f t="shared" si="213"/>
        <v>2018-2795</v>
      </c>
      <c r="C2173" s="2" t="s">
        <v>54</v>
      </c>
      <c r="D2173" s="1" t="s">
        <v>55</v>
      </c>
      <c r="E2173" s="3" t="str">
        <f>""</f>
        <v/>
      </c>
      <c r="F2173" s="2" t="s">
        <v>27</v>
      </c>
      <c r="G2173" s="2" t="str">
        <f t="shared" si="214"/>
        <v>NARODNE NOVINE D.D., OIB: 64546066176</v>
      </c>
      <c r="H2173" s="4"/>
      <c r="I2173" s="1" t="s">
        <v>73</v>
      </c>
      <c r="J2173" s="1" t="s">
        <v>457</v>
      </c>
      <c r="K2173" s="6" t="str">
        <f>"15.711,43"</f>
        <v>15.711,43</v>
      </c>
      <c r="L2173" s="6" t="str">
        <f>"3.927,86"</f>
        <v>3.927,86</v>
      </c>
      <c r="M2173" s="6" t="str">
        <f>"19.639,29"</f>
        <v>19.639,29</v>
      </c>
      <c r="N2173" s="5">
        <v>43626</v>
      </c>
      <c r="O2173" s="7"/>
      <c r="P2173" s="6" t="str">
        <f>"18.726,16"</f>
        <v>18.726,16</v>
      </c>
      <c r="Q2173" s="7"/>
      <c r="R2173" s="1"/>
      <c r="S2173" s="1" t="str">
        <f>"4-19/NOS-56-A-ZGH/18"</f>
        <v>4-19/NOS-56-A-ZGH/18</v>
      </c>
      <c r="T2173" s="2" t="s">
        <v>33</v>
      </c>
    </row>
    <row r="2174" spans="1:20" ht="76.5" x14ac:dyDescent="0.25">
      <c r="A2174" s="1">
        <v>2170</v>
      </c>
      <c r="B2174" s="1" t="str">
        <f t="shared" si="213"/>
        <v>2018-2795</v>
      </c>
      <c r="C2174" s="2" t="s">
        <v>54</v>
      </c>
      <c r="D2174" s="1" t="s">
        <v>55</v>
      </c>
      <c r="E2174" s="3" t="str">
        <f>""</f>
        <v/>
      </c>
      <c r="F2174" s="2" t="s">
        <v>27</v>
      </c>
      <c r="G2174" s="2" t="str">
        <f t="shared" si="214"/>
        <v>NARODNE NOVINE D.D., OIB: 64546066176</v>
      </c>
      <c r="H2174" s="4"/>
      <c r="I2174" s="1" t="s">
        <v>640</v>
      </c>
      <c r="J2174" s="1" t="s">
        <v>1162</v>
      </c>
      <c r="K2174" s="6" t="str">
        <f>"46.850,50"</f>
        <v>46.850,50</v>
      </c>
      <c r="L2174" s="6" t="str">
        <f>"11.712,63"</f>
        <v>11.712,63</v>
      </c>
      <c r="M2174" s="6" t="str">
        <f>"58.563,13"</f>
        <v>58.563,13</v>
      </c>
      <c r="N2174" s="5">
        <v>43679</v>
      </c>
      <c r="O2174" s="7"/>
      <c r="P2174" s="6" t="str">
        <f>"57.345,62"</f>
        <v>57.345,62</v>
      </c>
      <c r="Q2174" s="7"/>
      <c r="R2174" s="1"/>
      <c r="S2174" s="1" t="str">
        <f>"5-19/NOS-56-A-ZGH/18"</f>
        <v>5-19/NOS-56-A-ZGH/18</v>
      </c>
      <c r="T2174" s="2" t="s">
        <v>671</v>
      </c>
    </row>
    <row r="2175" spans="1:20" ht="114.75" x14ac:dyDescent="0.25">
      <c r="A2175" s="1">
        <v>2171</v>
      </c>
      <c r="B2175" s="1" t="str">
        <f t="shared" si="213"/>
        <v>2018-2795</v>
      </c>
      <c r="C2175" s="2" t="s">
        <v>54</v>
      </c>
      <c r="D2175" s="1" t="s">
        <v>55</v>
      </c>
      <c r="E2175" s="3" t="str">
        <f>"2018/S 0F2-0019064"</f>
        <v>2018/S 0F2-0019064</v>
      </c>
      <c r="F2175" s="2" t="s">
        <v>23</v>
      </c>
      <c r="G2175" s="2" t="str">
        <f>CONCATENATE("NARODNE NOVINE D.D.,"," OIB: 64546066176",CHAR(10),"TIP - ZAGREB D.O.O.,"," VINOGRADSKA 34,"," 10431 SVETA NEDJELJA,"," OIB: 36198195227",CHAR(10),"BIRODOM D.O.O.,"," UL. HOJNIKOVA 19,"," 10250 LUČKO,"," OIB: 47794513055")</f>
        <v>NARODNE NOVINE D.D., OIB: 64546066176
TIP - ZAGREB D.O.O., VINOGRADSKA 34, 10431 SVETA NEDJELJA, OIB: 36198195227
BIRODOM D.O.O., UL. HOJNIKOVA 19, 10250 LUČKO, OIB: 47794513055</v>
      </c>
      <c r="H2175" s="4"/>
      <c r="I2175" s="1" t="s">
        <v>1156</v>
      </c>
      <c r="J2175" s="1" t="s">
        <v>1157</v>
      </c>
      <c r="K2175" s="6" t="str">
        <f>"4.066.000,00"</f>
        <v>4.066.000,00</v>
      </c>
      <c r="L2175" s="6" t="str">
        <f>"1.016.500,00"</f>
        <v>1.016.500,00</v>
      </c>
      <c r="M2175" s="6" t="str">
        <f>"5.082.500,00"</f>
        <v>5.082.500,00</v>
      </c>
      <c r="N2175" s="7"/>
      <c r="O2175" s="7"/>
      <c r="P2175" s="6" t="str">
        <f>""</f>
        <v/>
      </c>
      <c r="Q2175" s="7"/>
      <c r="R2175" s="1"/>
      <c r="S2175" s="1" t="str">
        <f>"NOS-56-B-ZGH/18"</f>
        <v>NOS-56-B-ZGH/18</v>
      </c>
      <c r="T2175" s="2" t="s">
        <v>58</v>
      </c>
    </row>
    <row r="2176" spans="1:20" ht="25.5" x14ac:dyDescent="0.25">
      <c r="A2176" s="1">
        <v>2172</v>
      </c>
      <c r="B2176" s="1" t="str">
        <f t="shared" si="213"/>
        <v>2018-2795</v>
      </c>
      <c r="C2176" s="2" t="s">
        <v>54</v>
      </c>
      <c r="D2176" s="1" t="s">
        <v>55</v>
      </c>
      <c r="E2176" s="3" t="str">
        <f>""</f>
        <v/>
      </c>
      <c r="F2176" s="2" t="s">
        <v>27</v>
      </c>
      <c r="G2176" s="2" t="str">
        <f t="shared" ref="G2176:G2183" si="215">CONCATENATE("TIP - ZAGREB D.O.O.,"," VINOGRADSKA 34,"," 10431 SVETA NEDJELJA,"," OIB: 36198195227")</f>
        <v>TIP - ZAGREB D.O.O., VINOGRADSKA 34, 10431 SVETA NEDJELJA, OIB: 36198195227</v>
      </c>
      <c r="H2176" s="4"/>
      <c r="I2176" s="1" t="s">
        <v>929</v>
      </c>
      <c r="J2176" s="1" t="s">
        <v>42</v>
      </c>
      <c r="K2176" s="6" t="str">
        <f>"240.382,30"</f>
        <v>240.382,30</v>
      </c>
      <c r="L2176" s="6" t="str">
        <f>"60.095,58"</f>
        <v>60.095,58</v>
      </c>
      <c r="M2176" s="6" t="str">
        <f>"300.477,88"</f>
        <v>300.477,88</v>
      </c>
      <c r="N2176" s="5">
        <v>43819</v>
      </c>
      <c r="O2176" s="7"/>
      <c r="P2176" s="6" t="str">
        <f>"217.299,88"</f>
        <v>217.299,88</v>
      </c>
      <c r="Q2176" s="7"/>
      <c r="R2176" s="1"/>
      <c r="S2176" s="1" t="str">
        <f>"3-18/NOS-56-B-ZGH/18"</f>
        <v>3-18/NOS-56-B-ZGH/18</v>
      </c>
      <c r="T2176" s="2" t="s">
        <v>33</v>
      </c>
    </row>
    <row r="2177" spans="1:20" ht="25.5" x14ac:dyDescent="0.25">
      <c r="A2177" s="1">
        <v>2173</v>
      </c>
      <c r="B2177" s="1" t="str">
        <f t="shared" si="213"/>
        <v>2018-2795</v>
      </c>
      <c r="C2177" s="2" t="s">
        <v>54</v>
      </c>
      <c r="D2177" s="1" t="s">
        <v>55</v>
      </c>
      <c r="E2177" s="3" t="str">
        <f>""</f>
        <v/>
      </c>
      <c r="F2177" s="2" t="s">
        <v>27</v>
      </c>
      <c r="G2177" s="2" t="str">
        <f t="shared" si="215"/>
        <v>TIP - ZAGREB D.O.O., VINOGRADSKA 34, 10431 SVETA NEDJELJA, OIB: 36198195227</v>
      </c>
      <c r="H2177" s="4"/>
      <c r="I2177" s="1" t="s">
        <v>319</v>
      </c>
      <c r="J2177" s="1" t="s">
        <v>42</v>
      </c>
      <c r="K2177" s="6" t="str">
        <f>"71.137,20"</f>
        <v>71.137,20</v>
      </c>
      <c r="L2177" s="6" t="str">
        <f>"17.784,30"</f>
        <v>17.784,30</v>
      </c>
      <c r="M2177" s="6" t="str">
        <f>"88.921,50"</f>
        <v>88.921,50</v>
      </c>
      <c r="N2177" s="5">
        <v>43523</v>
      </c>
      <c r="O2177" s="7"/>
      <c r="P2177" s="6" t="str">
        <f>"88.921,50"</f>
        <v>88.921,50</v>
      </c>
      <c r="Q2177" s="7"/>
      <c r="R2177" s="1"/>
      <c r="S2177" s="1" t="str">
        <f>"4-18/NOS-56-B-ZGH/18"</f>
        <v>4-18/NOS-56-B-ZGH/18</v>
      </c>
      <c r="T2177" s="2" t="s">
        <v>29</v>
      </c>
    </row>
    <row r="2178" spans="1:20" ht="25.5" x14ac:dyDescent="0.25">
      <c r="A2178" s="1">
        <v>2174</v>
      </c>
      <c r="B2178" s="1" t="str">
        <f t="shared" si="213"/>
        <v>2018-2795</v>
      </c>
      <c r="C2178" s="2" t="s">
        <v>54</v>
      </c>
      <c r="D2178" s="1" t="s">
        <v>55</v>
      </c>
      <c r="E2178" s="3" t="str">
        <f>""</f>
        <v/>
      </c>
      <c r="F2178" s="2" t="s">
        <v>27</v>
      </c>
      <c r="G2178" s="2" t="str">
        <f t="shared" si="215"/>
        <v>TIP - ZAGREB D.O.O., VINOGRADSKA 34, 10431 SVETA NEDJELJA, OIB: 36198195227</v>
      </c>
      <c r="H2178" s="4"/>
      <c r="I2178" s="1" t="s">
        <v>64</v>
      </c>
      <c r="J2178" s="1" t="s">
        <v>251</v>
      </c>
      <c r="K2178" s="6" t="str">
        <f>"2.220,00"</f>
        <v>2.220,00</v>
      </c>
      <c r="L2178" s="6" t="str">
        <f>"555,00"</f>
        <v>555,00</v>
      </c>
      <c r="M2178" s="6" t="str">
        <f>"2.775,00"</f>
        <v>2.775,00</v>
      </c>
      <c r="N2178" s="5">
        <v>43591</v>
      </c>
      <c r="O2178" s="7"/>
      <c r="P2178" s="6" t="str">
        <f>"2.775,00"</f>
        <v>2.775,00</v>
      </c>
      <c r="Q2178" s="7"/>
      <c r="R2178" s="1"/>
      <c r="S2178" s="1" t="str">
        <f>"4-19/NOS-56-B-ZGH/18"</f>
        <v>4-19/NOS-56-B-ZGH/18</v>
      </c>
      <c r="T2178" s="2" t="s">
        <v>60</v>
      </c>
    </row>
    <row r="2179" spans="1:20" ht="63.75" x14ac:dyDescent="0.25">
      <c r="A2179" s="1">
        <v>2175</v>
      </c>
      <c r="B2179" s="1" t="str">
        <f t="shared" si="213"/>
        <v>2018-2795</v>
      </c>
      <c r="C2179" s="2" t="s">
        <v>54</v>
      </c>
      <c r="D2179" s="1" t="s">
        <v>55</v>
      </c>
      <c r="E2179" s="3" t="str">
        <f>""</f>
        <v/>
      </c>
      <c r="F2179" s="2" t="s">
        <v>27</v>
      </c>
      <c r="G2179" s="2" t="str">
        <f t="shared" si="215"/>
        <v>TIP - ZAGREB D.O.O., VINOGRADSKA 34, 10431 SVETA NEDJELJA, OIB: 36198195227</v>
      </c>
      <c r="H2179" s="4"/>
      <c r="I2179" s="1" t="s">
        <v>670</v>
      </c>
      <c r="J2179" s="1" t="s">
        <v>64</v>
      </c>
      <c r="K2179" s="6" t="str">
        <f>"42.867,20"</f>
        <v>42.867,20</v>
      </c>
      <c r="L2179" s="6" t="str">
        <f>"10.716,80"</f>
        <v>10.716,80</v>
      </c>
      <c r="M2179" s="6" t="str">
        <f>"53.584,00"</f>
        <v>53.584,00</v>
      </c>
      <c r="N2179" s="5">
        <v>43592</v>
      </c>
      <c r="O2179" s="7"/>
      <c r="P2179" s="6" t="str">
        <f>"53.086,25"</f>
        <v>53.086,25</v>
      </c>
      <c r="Q2179" s="7"/>
      <c r="R2179" s="1"/>
      <c r="S2179" s="1" t="str">
        <f>"2-19/NOS-56-B-ZGH/18"</f>
        <v>2-19/NOS-56-B-ZGH/18</v>
      </c>
      <c r="T2179" s="2" t="s">
        <v>400</v>
      </c>
    </row>
    <row r="2180" spans="1:20" ht="63.75" x14ac:dyDescent="0.25">
      <c r="A2180" s="1">
        <v>2176</v>
      </c>
      <c r="B2180" s="1" t="str">
        <f t="shared" si="213"/>
        <v>2018-2795</v>
      </c>
      <c r="C2180" s="2" t="s">
        <v>54</v>
      </c>
      <c r="D2180" s="1" t="s">
        <v>55</v>
      </c>
      <c r="E2180" s="3" t="str">
        <f>""</f>
        <v/>
      </c>
      <c r="F2180" s="2" t="s">
        <v>27</v>
      </c>
      <c r="G2180" s="2" t="str">
        <f t="shared" si="215"/>
        <v>TIP - ZAGREB D.O.O., VINOGRADSKA 34, 10431 SVETA NEDJELJA, OIB: 36198195227</v>
      </c>
      <c r="H2180" s="4"/>
      <c r="I2180" s="1" t="s">
        <v>340</v>
      </c>
      <c r="J2180" s="1" t="s">
        <v>355</v>
      </c>
      <c r="K2180" s="6" t="str">
        <f>"53.522,30"</f>
        <v>53.522,30</v>
      </c>
      <c r="L2180" s="6" t="str">
        <f>"13.380,58"</f>
        <v>13.380,58</v>
      </c>
      <c r="M2180" s="6" t="str">
        <f>"66.902,88"</f>
        <v>66.902,88</v>
      </c>
      <c r="N2180" s="5">
        <v>43598</v>
      </c>
      <c r="O2180" s="7"/>
      <c r="P2180" s="6" t="str">
        <f>"66.902,88"</f>
        <v>66.902,88</v>
      </c>
      <c r="Q2180" s="7"/>
      <c r="R2180" s="1"/>
      <c r="S2180" s="1" t="str">
        <f>"6-19/NOS-56-B-ZGH/18"</f>
        <v>6-19/NOS-56-B-ZGH/18</v>
      </c>
      <c r="T2180" s="2" t="s">
        <v>79</v>
      </c>
    </row>
    <row r="2181" spans="1:20" ht="38.25" x14ac:dyDescent="0.25">
      <c r="A2181" s="1">
        <v>2177</v>
      </c>
      <c r="B2181" s="1" t="str">
        <f t="shared" si="213"/>
        <v>2018-2795</v>
      </c>
      <c r="C2181" s="2" t="s">
        <v>54</v>
      </c>
      <c r="D2181" s="1" t="s">
        <v>55</v>
      </c>
      <c r="E2181" s="3" t="str">
        <f>""</f>
        <v/>
      </c>
      <c r="F2181" s="2" t="s">
        <v>27</v>
      </c>
      <c r="G2181" s="2" t="str">
        <f t="shared" si="215"/>
        <v>TIP - ZAGREB D.O.O., VINOGRADSKA 34, 10431 SVETA NEDJELJA, OIB: 36198195227</v>
      </c>
      <c r="H2181" s="4"/>
      <c r="I2181" s="1" t="s">
        <v>494</v>
      </c>
      <c r="J2181" s="1" t="s">
        <v>73</v>
      </c>
      <c r="K2181" s="6" t="str">
        <f>"38.629,20"</f>
        <v>38.629,20</v>
      </c>
      <c r="L2181" s="6" t="str">
        <f>"9.657,30"</f>
        <v>9.657,30</v>
      </c>
      <c r="M2181" s="6" t="str">
        <f>"48.286,50"</f>
        <v>48.286,50</v>
      </c>
      <c r="N2181" s="5">
        <v>43620</v>
      </c>
      <c r="O2181" s="7"/>
      <c r="P2181" s="6" t="str">
        <f>"39.347,50"</f>
        <v>39.347,50</v>
      </c>
      <c r="Q2181" s="7"/>
      <c r="R2181" s="1"/>
      <c r="S2181" s="1" t="str">
        <f>"7-19/NOS-56-B-ZGH/18"</f>
        <v>7-19/NOS-56-B-ZGH/18</v>
      </c>
      <c r="T2181" s="2" t="s">
        <v>706</v>
      </c>
    </row>
    <row r="2182" spans="1:20" ht="63.75" x14ac:dyDescent="0.25">
      <c r="A2182" s="1">
        <v>2178</v>
      </c>
      <c r="B2182" s="1" t="str">
        <f t="shared" si="213"/>
        <v>2018-2795</v>
      </c>
      <c r="C2182" s="2" t="s">
        <v>54</v>
      </c>
      <c r="D2182" s="1" t="s">
        <v>55</v>
      </c>
      <c r="E2182" s="3" t="str">
        <f>""</f>
        <v/>
      </c>
      <c r="F2182" s="2" t="s">
        <v>27</v>
      </c>
      <c r="G2182" s="2" t="str">
        <f t="shared" si="215"/>
        <v>TIP - ZAGREB D.O.O., VINOGRADSKA 34, 10431 SVETA NEDJELJA, OIB: 36198195227</v>
      </c>
      <c r="H2182" s="4"/>
      <c r="I2182" s="1" t="s">
        <v>73</v>
      </c>
      <c r="J2182" s="1" t="s">
        <v>457</v>
      </c>
      <c r="K2182" s="6" t="str">
        <f>"33.873,00"</f>
        <v>33.873,00</v>
      </c>
      <c r="L2182" s="6" t="str">
        <f>"8.468,25"</f>
        <v>8.468,25</v>
      </c>
      <c r="M2182" s="6" t="str">
        <f>"42.341,25"</f>
        <v>42.341,25</v>
      </c>
      <c r="N2182" s="5">
        <v>43699</v>
      </c>
      <c r="O2182" s="7"/>
      <c r="P2182" s="6" t="str">
        <f>"38.002,50"</f>
        <v>38.002,50</v>
      </c>
      <c r="Q2182" s="7"/>
      <c r="R2182" s="1"/>
      <c r="S2182" s="1" t="str">
        <f>"8-19/NOS-56-B-ZGH/18"</f>
        <v>8-19/NOS-56-B-ZGH/18</v>
      </c>
      <c r="T2182" s="2" t="s">
        <v>79</v>
      </c>
    </row>
    <row r="2183" spans="1:20" ht="63.75" x14ac:dyDescent="0.25">
      <c r="A2183" s="1">
        <v>2179</v>
      </c>
      <c r="B2183" s="1" t="str">
        <f t="shared" si="213"/>
        <v>2018-2795</v>
      </c>
      <c r="C2183" s="2" t="s">
        <v>54</v>
      </c>
      <c r="D2183" s="1" t="s">
        <v>55</v>
      </c>
      <c r="E2183" s="3" t="str">
        <f>""</f>
        <v/>
      </c>
      <c r="F2183" s="2" t="s">
        <v>27</v>
      </c>
      <c r="G2183" s="2" t="str">
        <f t="shared" si="215"/>
        <v>TIP - ZAGREB D.O.O., VINOGRADSKA 34, 10431 SVETA NEDJELJA, OIB: 36198195227</v>
      </c>
      <c r="H2183" s="4"/>
      <c r="I2183" s="1" t="s">
        <v>638</v>
      </c>
      <c r="J2183" s="1" t="s">
        <v>404</v>
      </c>
      <c r="K2183" s="6" t="str">
        <f>"70.689,65"</f>
        <v>70.689,65</v>
      </c>
      <c r="L2183" s="6" t="str">
        <f>"17.672,41"</f>
        <v>17.672,41</v>
      </c>
      <c r="M2183" s="6" t="str">
        <f>"88.362,06"</f>
        <v>88.362,06</v>
      </c>
      <c r="N2183" s="5">
        <v>43677</v>
      </c>
      <c r="O2183" s="7"/>
      <c r="P2183" s="6" t="str">
        <f>"70.150,11"</f>
        <v>70.150,11</v>
      </c>
      <c r="Q2183" s="7"/>
      <c r="R2183" s="1"/>
      <c r="S2183" s="1" t="str">
        <f>"9-19/NOS-56-B-ZGH/18"</f>
        <v>9-19/NOS-56-B-ZGH/18</v>
      </c>
      <c r="T2183" s="2" t="s">
        <v>400</v>
      </c>
    </row>
    <row r="2184" spans="1:20" ht="38.25" x14ac:dyDescent="0.25">
      <c r="A2184" s="1">
        <v>2180</v>
      </c>
      <c r="B2184" s="1" t="str">
        <f>"2018-2803"</f>
        <v>2018-2803</v>
      </c>
      <c r="C2184" s="2" t="s">
        <v>1163</v>
      </c>
      <c r="D2184" s="1" t="s">
        <v>1164</v>
      </c>
      <c r="E2184" s="3" t="str">
        <f>"2018/S F14-0023473"</f>
        <v>2018/S F14-0023473</v>
      </c>
      <c r="F2184" s="2" t="s">
        <v>23</v>
      </c>
      <c r="G2184" s="2" t="str">
        <f>CONCATENATE("PISMORAD D.D.,"," OIB: 33260306505")</f>
        <v>PISMORAD D.D., OIB: 33260306505</v>
      </c>
      <c r="H2184" s="4"/>
      <c r="I2184" s="1" t="s">
        <v>1156</v>
      </c>
      <c r="J2184" s="1" t="s">
        <v>1157</v>
      </c>
      <c r="K2184" s="6" t="str">
        <f>"5.700.000,00"</f>
        <v>5.700.000,00</v>
      </c>
      <c r="L2184" s="6" t="str">
        <f>"1.425.000,00"</f>
        <v>1.425.000,00</v>
      </c>
      <c r="M2184" s="6" t="str">
        <f>"7.125.000,00"</f>
        <v>7.125.000,00</v>
      </c>
      <c r="N2184" s="7"/>
      <c r="O2184" s="7"/>
      <c r="P2184" s="6" t="str">
        <f>""</f>
        <v/>
      </c>
      <c r="Q2184" s="7"/>
      <c r="R2184" s="1"/>
      <c r="S2184" s="1" t="str">
        <f>"NOS-57/18"</f>
        <v>NOS-57/18</v>
      </c>
      <c r="T2184" s="2" t="s">
        <v>33</v>
      </c>
    </row>
    <row r="2185" spans="1:20" ht="25.5" x14ac:dyDescent="0.25">
      <c r="A2185" s="1">
        <v>2181</v>
      </c>
      <c r="B2185" s="1" t="str">
        <f>"2018-2803"</f>
        <v>2018-2803</v>
      </c>
      <c r="C2185" s="2" t="s">
        <v>1163</v>
      </c>
      <c r="D2185" s="4"/>
      <c r="E2185" s="3" t="str">
        <f>""</f>
        <v/>
      </c>
      <c r="F2185" s="2" t="s">
        <v>27</v>
      </c>
      <c r="G2185" s="2" t="str">
        <f>CONCATENATE("PISMORAD D.D.,"," OIB: 33260306505")</f>
        <v>PISMORAD D.D., OIB: 33260306505</v>
      </c>
      <c r="H2185" s="4"/>
      <c r="I2185" s="1" t="s">
        <v>343</v>
      </c>
      <c r="J2185" s="1" t="s">
        <v>395</v>
      </c>
      <c r="K2185" s="6" t="str">
        <f>"2.499.450,00"</f>
        <v>2.499.450,00</v>
      </c>
      <c r="L2185" s="6" t="str">
        <f>"624.862,50"</f>
        <v>624.862,50</v>
      </c>
      <c r="M2185" s="6" t="str">
        <f>"3.124.312,50"</f>
        <v>3.124.312,50</v>
      </c>
      <c r="N2185" s="5">
        <v>43713</v>
      </c>
      <c r="O2185" s="7"/>
      <c r="P2185" s="6" t="str">
        <f>"1.219.743,75"</f>
        <v>1.219.743,75</v>
      </c>
      <c r="Q2185" s="7"/>
      <c r="R2185" s="1"/>
      <c r="S2185" s="1" t="str">
        <f>"1-19/NOS-57/18"</f>
        <v>1-19/NOS-57/18</v>
      </c>
      <c r="T2185" s="2" t="s">
        <v>33</v>
      </c>
    </row>
    <row r="2186" spans="1:20" ht="25.5" x14ac:dyDescent="0.25">
      <c r="A2186" s="1">
        <v>2182</v>
      </c>
      <c r="B2186" s="1" t="str">
        <f>"2018-2803"</f>
        <v>2018-2803</v>
      </c>
      <c r="C2186" s="2" t="s">
        <v>1163</v>
      </c>
      <c r="D2186" s="1" t="s">
        <v>1164</v>
      </c>
      <c r="E2186" s="3" t="str">
        <f>""</f>
        <v/>
      </c>
      <c r="F2186" s="2" t="s">
        <v>27</v>
      </c>
      <c r="G2186" s="2" t="str">
        <f>CONCATENATE("PISMORAD D.D.,"," OIB: 33260306505")</f>
        <v>PISMORAD D.D., OIB: 33260306505</v>
      </c>
      <c r="H2186" s="4"/>
      <c r="I2186" s="1" t="s">
        <v>374</v>
      </c>
      <c r="J2186" s="1" t="s">
        <v>251</v>
      </c>
      <c r="K2186" s="6" t="str">
        <f>"575.977,70"</f>
        <v>575.977,70</v>
      </c>
      <c r="L2186" s="6" t="str">
        <f>"0,00"</f>
        <v>0,00</v>
      </c>
      <c r="M2186" s="6" t="str">
        <f>"0,00"</f>
        <v>0,00</v>
      </c>
      <c r="N2186" s="1" t="s">
        <v>117</v>
      </c>
      <c r="O2186" s="7"/>
      <c r="P2186" s="6" t="str">
        <f>"0,00"</f>
        <v>0,00</v>
      </c>
      <c r="Q2186" s="7"/>
      <c r="R2186" s="1"/>
      <c r="S2186" s="1" t="str">
        <f>"2-19/NOS-57/18"</f>
        <v>2-19/NOS-57/18</v>
      </c>
      <c r="T2186" s="2" t="s">
        <v>33</v>
      </c>
    </row>
    <row r="2187" spans="1:20" ht="76.5" x14ac:dyDescent="0.25">
      <c r="A2187" s="1">
        <v>2183</v>
      </c>
      <c r="B2187" s="1" t="str">
        <f>"2018-2821"</f>
        <v>2018-2821</v>
      </c>
      <c r="C2187" s="2" t="s">
        <v>1165</v>
      </c>
      <c r="D2187" s="1" t="s">
        <v>786</v>
      </c>
      <c r="E2187" s="3" t="str">
        <f>"2018/S 0F2-0022852"</f>
        <v>2018/S 0F2-0022852</v>
      </c>
      <c r="F2187" s="2" t="s">
        <v>23</v>
      </c>
      <c r="G2187" s="2" t="str">
        <f>CONCATENATE("GEORAD D.O.O.,"," KORNATSKA 1,"," 10000 ZAGREB,"," OIB: 49756748234",CHAR(10),"RAMLJAK TRGOVINA D.O.O.,"," ŠAŠKOVEČKA 4,"," 10000 ZAGREB,"," OIB: 68381002629",CHAR(10),"M. SOLDO D.O.O.,"," DEBANIĆEVA 39,"," 10090 ZAGREB-SUSEDGRAD,"," OIB: 58353605637")</f>
        <v>GEORAD D.O.O., KORNATSKA 1, 10000 ZAGREB, OIB: 49756748234
RAMLJAK TRGOVINA D.O.O., ŠAŠKOVEČKA 4, 10000 ZAGREB, OIB: 68381002629
M. SOLDO D.O.O., DEBANIĆEVA 39, 10090 ZAGREB-SUSEDGRAD, OIB: 58353605637</v>
      </c>
      <c r="H2187" s="4"/>
      <c r="I2187" s="1" t="s">
        <v>1156</v>
      </c>
      <c r="J2187" s="1" t="s">
        <v>1166</v>
      </c>
      <c r="K2187" s="6" t="str">
        <f>"12.400.000,00"</f>
        <v>12.400.000,00</v>
      </c>
      <c r="L2187" s="6" t="str">
        <f>"3.100.000,00"</f>
        <v>3.100.000,00</v>
      </c>
      <c r="M2187" s="6" t="str">
        <f>"15.500.000,00"</f>
        <v>15.500.000,00</v>
      </c>
      <c r="N2187" s="7"/>
      <c r="O2187" s="7"/>
      <c r="P2187" s="6" t="str">
        <f>""</f>
        <v/>
      </c>
      <c r="Q2187" s="7"/>
      <c r="R2187" s="1"/>
      <c r="S2187" s="1" t="str">
        <f>"NOS-58/18"</f>
        <v>NOS-58/18</v>
      </c>
      <c r="T2187" s="2" t="s">
        <v>33</v>
      </c>
    </row>
    <row r="2188" spans="1:20" ht="25.5" x14ac:dyDescent="0.25">
      <c r="A2188" s="1">
        <v>2184</v>
      </c>
      <c r="B2188" s="1" t="str">
        <f>"2018-2821"</f>
        <v>2018-2821</v>
      </c>
      <c r="C2188" s="2" t="s">
        <v>1165</v>
      </c>
      <c r="D2188" s="1" t="s">
        <v>786</v>
      </c>
      <c r="E2188" s="3" t="str">
        <f>""</f>
        <v/>
      </c>
      <c r="F2188" s="2" t="s">
        <v>27</v>
      </c>
      <c r="G2188" s="2" t="str">
        <f>CONCATENATE("RAMLJAK TRGOVINA D.O.O.,"," ŠAŠKOVEČKA 4,"," 10000 ZAGREB,"," OIB: 68381002629")</f>
        <v>RAMLJAK TRGOVINA D.O.O., ŠAŠKOVEČKA 4, 10000 ZAGREB, OIB: 68381002629</v>
      </c>
      <c r="H2188" s="4"/>
      <c r="I2188" s="1" t="s">
        <v>641</v>
      </c>
      <c r="J2188" s="1" t="s">
        <v>323</v>
      </c>
      <c r="K2188" s="6" t="str">
        <f>"2.047.000,00"</f>
        <v>2.047.000,00</v>
      </c>
      <c r="L2188" s="6" t="str">
        <f>"206.742,75"</f>
        <v>206.742,75</v>
      </c>
      <c r="M2188" s="6" t="str">
        <f>"1.033.713,75"</f>
        <v>1.033.713,75</v>
      </c>
      <c r="N2188" s="5">
        <v>43706</v>
      </c>
      <c r="O2188" s="7"/>
      <c r="P2188" s="6" t="str">
        <f>"1.033.713,75"</f>
        <v>1.033.713,75</v>
      </c>
      <c r="Q2188" s="7"/>
      <c r="R2188" s="1"/>
      <c r="S2188" s="1" t="str">
        <f>"1-19/NOS-58/18"</f>
        <v>1-19/NOS-58/18</v>
      </c>
      <c r="T2188" s="2" t="s">
        <v>33</v>
      </c>
    </row>
    <row r="2189" spans="1:20" ht="38.25" x14ac:dyDescent="0.25">
      <c r="A2189" s="1">
        <v>2185</v>
      </c>
      <c r="B2189" s="1" t="str">
        <f t="shared" ref="B2189:B2220" si="216">"2018-2788"</f>
        <v>2018-2788</v>
      </c>
      <c r="C2189" s="2" t="s">
        <v>629</v>
      </c>
      <c r="D2189" s="1" t="s">
        <v>131</v>
      </c>
      <c r="E2189" s="3" t="str">
        <f>"2018/S 0F2-0020076"</f>
        <v>2018/S 0F2-0020076</v>
      </c>
      <c r="F2189" s="2" t="s">
        <v>23</v>
      </c>
      <c r="G2189" s="2" t="str">
        <f>CONCATENATE("GRADNJA i TRGOVINA - GAJ d.o.o.,"," ČULINEČKA CESTA 181,"," 10000 ZAGREB,"," OIB: 30603399085")</f>
        <v>GRADNJA i TRGOVINA - GAJ d.o.o., ČULINEČKA CESTA 181, 10000 ZAGREB, OIB: 30603399085</v>
      </c>
      <c r="H2189" s="4"/>
      <c r="I2189" s="1" t="s">
        <v>596</v>
      </c>
      <c r="J2189" s="1" t="s">
        <v>1167</v>
      </c>
      <c r="K2189" s="6" t="str">
        <f>"400.000,00"</f>
        <v>400.000,00</v>
      </c>
      <c r="L2189" s="6" t="str">
        <f>"100.000,00"</f>
        <v>100.000,00</v>
      </c>
      <c r="M2189" s="6" t="str">
        <f>"500.000,00"</f>
        <v>500.000,00</v>
      </c>
      <c r="N2189" s="7"/>
      <c r="O2189" s="7"/>
      <c r="P2189" s="6" t="str">
        <f>""</f>
        <v/>
      </c>
      <c r="Q2189" s="7"/>
      <c r="R2189" s="1"/>
      <c r="S2189" s="1" t="str">
        <f>"NOS-59-A/18"</f>
        <v>NOS-59-A/18</v>
      </c>
      <c r="T2189" s="2" t="s">
        <v>33</v>
      </c>
    </row>
    <row r="2190" spans="1:20" ht="38.25" x14ac:dyDescent="0.25">
      <c r="A2190" s="1">
        <v>2186</v>
      </c>
      <c r="B2190" s="1" t="str">
        <f t="shared" si="216"/>
        <v>2018-2788</v>
      </c>
      <c r="C2190" s="2" t="s">
        <v>629</v>
      </c>
      <c r="D2190" s="4"/>
      <c r="E2190" s="3" t="str">
        <f>""</f>
        <v/>
      </c>
      <c r="F2190" s="2" t="s">
        <v>27</v>
      </c>
      <c r="G2190" s="2" t="str">
        <f>CONCATENATE("GRADNJA i TRGOVINA - GAJ d.o.o.,"," ČULINEČKA CESTA 181,"," 10000 ZAGREB,"," OIB: 30603399085")</f>
        <v>GRADNJA i TRGOVINA - GAJ d.o.o., ČULINEČKA CESTA 181, 10000 ZAGREB, OIB: 30603399085</v>
      </c>
      <c r="H2190" s="4"/>
      <c r="I2190" s="1" t="s">
        <v>414</v>
      </c>
      <c r="J2190" s="1" t="s">
        <v>45</v>
      </c>
      <c r="K2190" s="6" t="str">
        <f>"375.000,00"</f>
        <v>375.000,00</v>
      </c>
      <c r="L2190" s="6" t="str">
        <f>"93.750,00"</f>
        <v>93.750,00</v>
      </c>
      <c r="M2190" s="6" t="str">
        <f>"468.750,00"</f>
        <v>468.750,00</v>
      </c>
      <c r="N2190" s="5">
        <v>43656</v>
      </c>
      <c r="O2190" s="7"/>
      <c r="P2190" s="6" t="str">
        <f>"74.531,25"</f>
        <v>74.531,25</v>
      </c>
      <c r="Q2190" s="7"/>
      <c r="R2190" s="1"/>
      <c r="S2190" s="1" t="str">
        <f>"1-19/NOS-59-A/18"</f>
        <v>1-19/NOS-59-A/18</v>
      </c>
      <c r="T2190" s="2" t="s">
        <v>33</v>
      </c>
    </row>
    <row r="2191" spans="1:20" ht="38.25" x14ac:dyDescent="0.25">
      <c r="A2191" s="1">
        <v>2187</v>
      </c>
      <c r="B2191" s="1" t="str">
        <f t="shared" si="216"/>
        <v>2018-2788</v>
      </c>
      <c r="C2191" s="2" t="s">
        <v>629</v>
      </c>
      <c r="D2191" s="1" t="s">
        <v>131</v>
      </c>
      <c r="E2191" s="3" t="str">
        <f>"2018/S 0F2-0020076"</f>
        <v>2018/S 0F2-0020076</v>
      </c>
      <c r="F2191" s="2" t="s">
        <v>23</v>
      </c>
      <c r="G2191" s="2" t="str">
        <f>CONCATENATE("POLJO-PROM,"," VL. ZLATKO KRIŽANIĆ,"," HRAŠĆE TUROPOLJSKO,"," KRIŽANIĆI 27,"," 10020 ZAGREB-NOVI ZAGREB,"," OIB: 22277452223")</f>
        <v>POLJO-PROM, VL. ZLATKO KRIŽANIĆ, HRAŠĆE TUROPOLJSKO, KRIŽANIĆI 27, 10020 ZAGREB-NOVI ZAGREB, OIB: 22277452223</v>
      </c>
      <c r="H2191" s="4"/>
      <c r="I2191" s="1" t="s">
        <v>241</v>
      </c>
      <c r="J2191" s="1" t="s">
        <v>1168</v>
      </c>
      <c r="K2191" s="6" t="str">
        <f>"3.560.000,00"</f>
        <v>3.560.000,00</v>
      </c>
      <c r="L2191" s="6" t="str">
        <f>"890.000,00"</f>
        <v>890.000,00</v>
      </c>
      <c r="M2191" s="6" t="str">
        <f>"4.450.000,00"</f>
        <v>4.450.000,00</v>
      </c>
      <c r="N2191" s="7"/>
      <c r="O2191" s="7"/>
      <c r="P2191" s="6" t="str">
        <f>""</f>
        <v/>
      </c>
      <c r="Q2191" s="7"/>
      <c r="R2191" s="1"/>
      <c r="S2191" s="1" t="str">
        <f>"NOS-59-B/18"</f>
        <v>NOS-59-B/18</v>
      </c>
      <c r="T2191" s="2" t="s">
        <v>33</v>
      </c>
    </row>
    <row r="2192" spans="1:20" ht="38.25" x14ac:dyDescent="0.25">
      <c r="A2192" s="1">
        <v>2188</v>
      </c>
      <c r="B2192" s="1" t="str">
        <f t="shared" si="216"/>
        <v>2018-2788</v>
      </c>
      <c r="C2192" s="2" t="s">
        <v>629</v>
      </c>
      <c r="D2192" s="4"/>
      <c r="E2192" s="3" t="str">
        <f>""</f>
        <v/>
      </c>
      <c r="F2192" s="2" t="s">
        <v>27</v>
      </c>
      <c r="G2192" s="2" t="str">
        <f>CONCATENATE("POLJO-PROM,"," VL. ZLATKO KRIŽANIĆ,"," HRAŠĆE TUROPOLJSKO,"," KRIŽANIĆI 27,"," 10020 ZAGREB-NOVI ZAGREB,"," OIB: 22277452223")</f>
        <v>POLJO-PROM, VL. ZLATKO KRIŽANIĆ, HRAŠĆE TUROPOLJSKO, KRIŽANIĆI 27, 10020 ZAGREB-NOVI ZAGREB, OIB: 22277452223</v>
      </c>
      <c r="H2192" s="4"/>
      <c r="I2192" s="1" t="s">
        <v>579</v>
      </c>
      <c r="J2192" s="1" t="s">
        <v>45</v>
      </c>
      <c r="K2192" s="6" t="str">
        <f>"1.617.000,00"</f>
        <v>1.617.000,00</v>
      </c>
      <c r="L2192" s="6" t="str">
        <f>"404.250,00"</f>
        <v>404.250,00</v>
      </c>
      <c r="M2192" s="6" t="str">
        <f>"2.021.250,00"</f>
        <v>2.021.250,00</v>
      </c>
      <c r="N2192" s="5">
        <v>43677</v>
      </c>
      <c r="O2192" s="7"/>
      <c r="P2192" s="6" t="str">
        <f>"2.800,00"</f>
        <v>2.800,00</v>
      </c>
      <c r="Q2192" s="7"/>
      <c r="R2192" s="1"/>
      <c r="S2192" s="1" t="str">
        <f>"1-19/NOS-59-B/18"</f>
        <v>1-19/NOS-59-B/18</v>
      </c>
      <c r="T2192" s="2" t="s">
        <v>33</v>
      </c>
    </row>
    <row r="2193" spans="1:20" ht="38.25" x14ac:dyDescent="0.25">
      <c r="A2193" s="1">
        <v>2189</v>
      </c>
      <c r="B2193" s="1" t="str">
        <f t="shared" si="216"/>
        <v>2018-2788</v>
      </c>
      <c r="C2193" s="2" t="s">
        <v>629</v>
      </c>
      <c r="D2193" s="1" t="s">
        <v>131</v>
      </c>
      <c r="E2193" s="3" t="str">
        <f>""</f>
        <v/>
      </c>
      <c r="F2193" s="2" t="s">
        <v>27</v>
      </c>
      <c r="G2193" s="2" t="str">
        <f>CONCATENATE("POLJO-PROM,"," VL. ZLATKO KRIŽANIĆ,"," HRAŠĆE TUROPOLJSKO,"," KRIŽANIĆI 27,"," 10020 ZAGREB-NOVI ZAGREB,"," OIB: 22277452223")</f>
        <v>POLJO-PROM, VL. ZLATKO KRIŽANIĆ, HRAŠĆE TUROPOLJSKO, KRIŽANIĆI 27, 10020 ZAGREB-NOVI ZAGREB, OIB: 22277452223</v>
      </c>
      <c r="H2193" s="4"/>
      <c r="I2193" s="1" t="s">
        <v>640</v>
      </c>
      <c r="J2193" s="1" t="s">
        <v>492</v>
      </c>
      <c r="K2193" s="6" t="str">
        <f>"155.000,00"</f>
        <v>155.000,00</v>
      </c>
      <c r="L2193" s="6" t="str">
        <f>"23.800,00"</f>
        <v>23.800,00</v>
      </c>
      <c r="M2193" s="6" t="str">
        <f>"119.000,00"</f>
        <v>119.000,00</v>
      </c>
      <c r="N2193" s="5">
        <v>43670</v>
      </c>
      <c r="O2193" s="7"/>
      <c r="P2193" s="6" t="str">
        <f>"119.000,00"</f>
        <v>119.000,00</v>
      </c>
      <c r="Q2193" s="7"/>
      <c r="R2193" s="1"/>
      <c r="S2193" s="1" t="str">
        <f>"2-19/NOS-59-B/18"</f>
        <v>2-19/NOS-59-B/18</v>
      </c>
      <c r="T2193" s="2" t="s">
        <v>33</v>
      </c>
    </row>
    <row r="2194" spans="1:20" ht="51" x14ac:dyDescent="0.25">
      <c r="A2194" s="1">
        <v>2190</v>
      </c>
      <c r="B2194" s="1" t="str">
        <f t="shared" si="216"/>
        <v>2018-2788</v>
      </c>
      <c r="C2194" s="2" t="s">
        <v>629</v>
      </c>
      <c r="D2194" s="1" t="s">
        <v>131</v>
      </c>
      <c r="E2194" s="3" t="str">
        <f>"2018/S 0F2-0020076"</f>
        <v>2018/S 0F2-0020076</v>
      </c>
      <c r="F2194" s="2" t="s">
        <v>23</v>
      </c>
      <c r="G2194"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194" s="4"/>
      <c r="I2194" s="1" t="s">
        <v>241</v>
      </c>
      <c r="J2194" s="1" t="s">
        <v>1168</v>
      </c>
      <c r="K2194" s="6" t="str">
        <f>"430.000,00"</f>
        <v>430.000,00</v>
      </c>
      <c r="L2194" s="6" t="str">
        <f>"107.500,00"</f>
        <v>107.500,00</v>
      </c>
      <c r="M2194" s="6" t="str">
        <f>"537.500,00"</f>
        <v>537.500,00</v>
      </c>
      <c r="N2194" s="7"/>
      <c r="O2194" s="7"/>
      <c r="P2194" s="6" t="str">
        <f>""</f>
        <v/>
      </c>
      <c r="Q2194" s="7"/>
      <c r="R2194" s="1"/>
      <c r="S2194" s="1" t="str">
        <f>"NOS-59-C/18"</f>
        <v>NOS-59-C/18</v>
      </c>
      <c r="T2194" s="2" t="s">
        <v>33</v>
      </c>
    </row>
    <row r="2195" spans="1:20" ht="51" x14ac:dyDescent="0.25">
      <c r="A2195" s="1">
        <v>2191</v>
      </c>
      <c r="B2195" s="1" t="str">
        <f t="shared" si="216"/>
        <v>2018-2788</v>
      </c>
      <c r="C2195" s="2" t="s">
        <v>629</v>
      </c>
      <c r="D2195" s="4"/>
      <c r="E2195" s="3" t="str">
        <f>""</f>
        <v/>
      </c>
      <c r="F2195" s="2" t="s">
        <v>27</v>
      </c>
      <c r="G2195"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195" s="4"/>
      <c r="I2195" s="1" t="s">
        <v>414</v>
      </c>
      <c r="J2195" s="1" t="s">
        <v>45</v>
      </c>
      <c r="K2195" s="6" t="str">
        <f>"344.400,00"</f>
        <v>344.400,00</v>
      </c>
      <c r="L2195" s="6" t="str">
        <f>"86.100,00"</f>
        <v>86.100,00</v>
      </c>
      <c r="M2195" s="6" t="str">
        <f>"430.500,00"</f>
        <v>430.500,00</v>
      </c>
      <c r="N2195" s="1" t="s">
        <v>117</v>
      </c>
      <c r="O2195" s="7"/>
      <c r="P2195" s="6" t="str">
        <f>""</f>
        <v/>
      </c>
      <c r="Q2195" s="7"/>
      <c r="R2195" s="1"/>
      <c r="S2195" s="1" t="str">
        <f>"2-19/NOS-59-C/18"</f>
        <v>2-19/NOS-59-C/18</v>
      </c>
      <c r="T2195" s="2" t="s">
        <v>33</v>
      </c>
    </row>
    <row r="2196" spans="1:20" ht="51" x14ac:dyDescent="0.25">
      <c r="A2196" s="1">
        <v>2192</v>
      </c>
      <c r="B2196" s="1" t="str">
        <f t="shared" si="216"/>
        <v>2018-2788</v>
      </c>
      <c r="C2196" s="2" t="s">
        <v>629</v>
      </c>
      <c r="D2196" s="1" t="s">
        <v>131</v>
      </c>
      <c r="E2196" s="3" t="str">
        <f>""</f>
        <v/>
      </c>
      <c r="F2196" s="2" t="s">
        <v>27</v>
      </c>
      <c r="G2196"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196" s="4"/>
      <c r="I2196" s="1" t="s">
        <v>30</v>
      </c>
      <c r="J2196" s="1" t="s">
        <v>492</v>
      </c>
      <c r="K2196" s="6" t="str">
        <f>"84.000,00"</f>
        <v>84.000,00</v>
      </c>
      <c r="L2196" s="6" t="str">
        <f>"980,00"</f>
        <v>980,00</v>
      </c>
      <c r="M2196" s="6" t="str">
        <f>"4.900,00"</f>
        <v>4.900,00</v>
      </c>
      <c r="N2196" s="5">
        <v>43689</v>
      </c>
      <c r="O2196" s="7"/>
      <c r="P2196" s="6" t="str">
        <f>"4.900,00"</f>
        <v>4.900,00</v>
      </c>
      <c r="Q2196" s="7"/>
      <c r="R2196" s="1"/>
      <c r="S2196" s="1" t="str">
        <f>"1-19/NOS-59-C/18"</f>
        <v>1-19/NOS-59-C/18</v>
      </c>
      <c r="T2196" s="2" t="s">
        <v>33</v>
      </c>
    </row>
    <row r="2197" spans="1:20" ht="38.25" x14ac:dyDescent="0.25">
      <c r="A2197" s="1">
        <v>2193</v>
      </c>
      <c r="B2197" s="1" t="str">
        <f t="shared" si="216"/>
        <v>2018-2788</v>
      </c>
      <c r="C2197" s="2" t="s">
        <v>629</v>
      </c>
      <c r="D2197" s="1" t="s">
        <v>131</v>
      </c>
      <c r="E2197" s="3" t="str">
        <f>"2018/S 0F2-0020076"</f>
        <v>2018/S 0F2-0020076</v>
      </c>
      <c r="F2197" s="2" t="s">
        <v>23</v>
      </c>
      <c r="G2197" s="2" t="str">
        <f>CONCATENATE("I.B. JAZBINA D.O.O.,"," JAZBINA 151,"," 10000 ZAGREB,"," OIB: 77265033209")</f>
        <v>I.B. JAZBINA D.O.O., JAZBINA 151, 10000 ZAGREB, OIB: 77265033209</v>
      </c>
      <c r="H2197" s="4"/>
      <c r="I2197" s="1" t="s">
        <v>241</v>
      </c>
      <c r="J2197" s="1" t="s">
        <v>1168</v>
      </c>
      <c r="K2197" s="6" t="str">
        <f>"430.000,00"</f>
        <v>430.000,00</v>
      </c>
      <c r="L2197" s="6" t="str">
        <f>"107.500,00"</f>
        <v>107.500,00</v>
      </c>
      <c r="M2197" s="6" t="str">
        <f>"537.500,00"</f>
        <v>537.500,00</v>
      </c>
      <c r="N2197" s="7"/>
      <c r="O2197" s="7"/>
      <c r="P2197" s="6" t="str">
        <f>""</f>
        <v/>
      </c>
      <c r="Q2197" s="7"/>
      <c r="R2197" s="1"/>
      <c r="S2197" s="1" t="str">
        <f>"NOS-59-D/18"</f>
        <v>NOS-59-D/18</v>
      </c>
      <c r="T2197" s="2" t="s">
        <v>33</v>
      </c>
    </row>
    <row r="2198" spans="1:20" ht="25.5" x14ac:dyDescent="0.25">
      <c r="A2198" s="1">
        <v>2194</v>
      </c>
      <c r="B2198" s="1" t="str">
        <f t="shared" si="216"/>
        <v>2018-2788</v>
      </c>
      <c r="C2198" s="2" t="s">
        <v>629</v>
      </c>
      <c r="D2198" s="4"/>
      <c r="E2198" s="3" t="str">
        <f>""</f>
        <v/>
      </c>
      <c r="F2198" s="2" t="s">
        <v>27</v>
      </c>
      <c r="G2198" s="2" t="str">
        <f>CONCATENATE("I.B. JAZBINA D.O.O.,"," JAZBINA 151,"," 10000 ZAGREB,"," OIB: 77265033209")</f>
        <v>I.B. JAZBINA D.O.O., JAZBINA 151, 10000 ZAGREB, OIB: 77265033209</v>
      </c>
      <c r="H2198" s="4"/>
      <c r="I2198" s="1" t="s">
        <v>414</v>
      </c>
      <c r="J2198" s="1" t="s">
        <v>45</v>
      </c>
      <c r="K2198" s="6" t="str">
        <f>"358.400,00"</f>
        <v>358.400,00</v>
      </c>
      <c r="L2198" s="6" t="str">
        <f>"89.600,00"</f>
        <v>89.600,00</v>
      </c>
      <c r="M2198" s="6" t="str">
        <f>"448.000,00"</f>
        <v>448.000,00</v>
      </c>
      <c r="N2198" s="1" t="s">
        <v>117</v>
      </c>
      <c r="O2198" s="7"/>
      <c r="P2198" s="6" t="str">
        <f>""</f>
        <v/>
      </c>
      <c r="Q2198" s="7"/>
      <c r="R2198" s="1"/>
      <c r="S2198" s="1" t="str">
        <f>"2-19/NOS-59-D/18"</f>
        <v>2-19/NOS-59-D/18</v>
      </c>
      <c r="T2198" s="2" t="s">
        <v>33</v>
      </c>
    </row>
    <row r="2199" spans="1:20" ht="25.5" x14ac:dyDescent="0.25">
      <c r="A2199" s="1">
        <v>2195</v>
      </c>
      <c r="B2199" s="1" t="str">
        <f t="shared" si="216"/>
        <v>2018-2788</v>
      </c>
      <c r="C2199" s="2" t="s">
        <v>629</v>
      </c>
      <c r="D2199" s="1" t="s">
        <v>131</v>
      </c>
      <c r="E2199" s="3" t="str">
        <f>""</f>
        <v/>
      </c>
      <c r="F2199" s="2" t="s">
        <v>27</v>
      </c>
      <c r="G2199" s="2" t="str">
        <f>CONCATENATE("I.B. JAZBINA D.O.O.,"," JAZBINA 151,"," 10000 ZAGREB,"," OIB: 77265033209")</f>
        <v>I.B. JAZBINA D.O.O., JAZBINA 151, 10000 ZAGREB, OIB: 77265033209</v>
      </c>
      <c r="H2199" s="4"/>
      <c r="I2199" s="1" t="s">
        <v>30</v>
      </c>
      <c r="J2199" s="1" t="s">
        <v>492</v>
      </c>
      <c r="K2199" s="6" t="str">
        <f>"70.000,00"</f>
        <v>70.000,00</v>
      </c>
      <c r="L2199" s="6" t="str">
        <f>"3.290,00"</f>
        <v>3.290,00</v>
      </c>
      <c r="M2199" s="6" t="str">
        <f>"16.450,00"</f>
        <v>16.450,00</v>
      </c>
      <c r="N2199" s="5">
        <v>43651</v>
      </c>
      <c r="O2199" s="7"/>
      <c r="P2199" s="6" t="str">
        <f>"16.450,00"</f>
        <v>16.450,00</v>
      </c>
      <c r="Q2199" s="7"/>
      <c r="R2199" s="1"/>
      <c r="S2199" s="1" t="str">
        <f>"1-19/NOS-59-D/18"</f>
        <v>1-19/NOS-59-D/18</v>
      </c>
      <c r="T2199" s="2" t="s">
        <v>33</v>
      </c>
    </row>
    <row r="2200" spans="1:20" ht="51" x14ac:dyDescent="0.25">
      <c r="A2200" s="1">
        <v>2196</v>
      </c>
      <c r="B2200" s="1" t="str">
        <f t="shared" si="216"/>
        <v>2018-2788</v>
      </c>
      <c r="C2200" s="2" t="s">
        <v>629</v>
      </c>
      <c r="D2200" s="1" t="s">
        <v>131</v>
      </c>
      <c r="E2200" s="3" t="str">
        <f>"2018/S 0F2-0020076"</f>
        <v>2018/S 0F2-0020076</v>
      </c>
      <c r="F2200" s="2" t="s">
        <v>23</v>
      </c>
      <c r="G2200"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00" s="4"/>
      <c r="I2200" s="1" t="s">
        <v>339</v>
      </c>
      <c r="J2200" s="1" t="s">
        <v>928</v>
      </c>
      <c r="K2200" s="6" t="str">
        <f>"2.450.000,00"</f>
        <v>2.450.000,00</v>
      </c>
      <c r="L2200" s="6" t="str">
        <f>"612.500,00"</f>
        <v>612.500,00</v>
      </c>
      <c r="M2200" s="6" t="str">
        <f>"3.062.500,00"</f>
        <v>3.062.500,00</v>
      </c>
      <c r="N2200" s="7"/>
      <c r="O2200" s="7"/>
      <c r="P2200" s="6" t="str">
        <f>""</f>
        <v/>
      </c>
      <c r="Q2200" s="7"/>
      <c r="R2200" s="1"/>
      <c r="S2200" s="1" t="str">
        <f>"NOS-59-E/18"</f>
        <v>NOS-59-E/18</v>
      </c>
      <c r="T2200" s="2" t="s">
        <v>33</v>
      </c>
    </row>
    <row r="2201" spans="1:20" ht="51" x14ac:dyDescent="0.25">
      <c r="A2201" s="1">
        <v>2197</v>
      </c>
      <c r="B2201" s="1" t="str">
        <f t="shared" si="216"/>
        <v>2018-2788</v>
      </c>
      <c r="C2201" s="2" t="s">
        <v>629</v>
      </c>
      <c r="D2201" s="4"/>
      <c r="E2201" s="3" t="str">
        <f>""</f>
        <v/>
      </c>
      <c r="F2201" s="2" t="s">
        <v>27</v>
      </c>
      <c r="G2201"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01" s="4"/>
      <c r="I2201" s="1" t="s">
        <v>440</v>
      </c>
      <c r="J2201" s="1" t="s">
        <v>45</v>
      </c>
      <c r="K2201" s="6" t="str">
        <f>"275.000,00"</f>
        <v>275.000,00</v>
      </c>
      <c r="L2201" s="6" t="str">
        <f>"68.750,00"</f>
        <v>68.750,00</v>
      </c>
      <c r="M2201" s="6" t="str">
        <f>"343.750,00"</f>
        <v>343.750,00</v>
      </c>
      <c r="N2201" s="5">
        <v>43644</v>
      </c>
      <c r="O2201" s="7"/>
      <c r="P2201" s="6" t="str">
        <f>"343.200,00"</f>
        <v>343.200,00</v>
      </c>
      <c r="Q2201" s="7"/>
      <c r="R2201" s="1"/>
      <c r="S2201" s="1" t="str">
        <f>"1-19/NOS-59-E/18"</f>
        <v>1-19/NOS-59-E/18</v>
      </c>
      <c r="T2201" s="2" t="s">
        <v>33</v>
      </c>
    </row>
    <row r="2202" spans="1:20" ht="38.25" x14ac:dyDescent="0.25">
      <c r="A2202" s="1">
        <v>2198</v>
      </c>
      <c r="B2202" s="1" t="str">
        <f t="shared" si="216"/>
        <v>2018-2788</v>
      </c>
      <c r="C2202" s="2" t="s">
        <v>629</v>
      </c>
      <c r="D2202" s="1" t="s">
        <v>131</v>
      </c>
      <c r="E2202" s="3" t="str">
        <f>"2018/S 0F2-0020076"</f>
        <v>2018/S 0F2-0020076</v>
      </c>
      <c r="F2202" s="2" t="s">
        <v>23</v>
      </c>
      <c r="G2202" s="2" t="str">
        <f>CONCATENATE("GRADNJA i TRGOVINA - GAJ d.o.o.,"," ČULINEČKA CESTA 181,"," 10000 ZAGREB,"," OIB: 30603399085")</f>
        <v>GRADNJA i TRGOVINA - GAJ d.o.o., ČULINEČKA CESTA 181, 10000 ZAGREB, OIB: 30603399085</v>
      </c>
      <c r="H2202" s="4"/>
      <c r="I2202" s="1" t="s">
        <v>339</v>
      </c>
      <c r="J2202" s="1" t="s">
        <v>928</v>
      </c>
      <c r="K2202" s="6" t="str">
        <f>"2.450.000,00"</f>
        <v>2.450.000,00</v>
      </c>
      <c r="L2202" s="6" t="str">
        <f>"612.500,00"</f>
        <v>612.500,00</v>
      </c>
      <c r="M2202" s="6" t="str">
        <f>"3.062.500,00"</f>
        <v>3.062.500,00</v>
      </c>
      <c r="N2202" s="7"/>
      <c r="O2202" s="7"/>
      <c r="P2202" s="6" t="str">
        <f>""</f>
        <v/>
      </c>
      <c r="Q2202" s="7"/>
      <c r="R2202" s="1"/>
      <c r="S2202" s="1" t="str">
        <f>"NOS-59-F/18"</f>
        <v>NOS-59-F/18</v>
      </c>
      <c r="T2202" s="2" t="s">
        <v>33</v>
      </c>
    </row>
    <row r="2203" spans="1:20" ht="38.25" x14ac:dyDescent="0.25">
      <c r="A2203" s="1">
        <v>2199</v>
      </c>
      <c r="B2203" s="1" t="str">
        <f t="shared" si="216"/>
        <v>2018-2788</v>
      </c>
      <c r="C2203" s="2" t="s">
        <v>629</v>
      </c>
      <c r="D2203" s="4"/>
      <c r="E2203" s="3" t="str">
        <f>""</f>
        <v/>
      </c>
      <c r="F2203" s="2" t="s">
        <v>27</v>
      </c>
      <c r="G2203" s="2" t="str">
        <f>CONCATENATE("GRADNJA i TRGOVINA - GAJ d.o.o.,"," ČULINEČKA CESTA 181,"," 10000 ZAGREB,"," OIB: 30603399085")</f>
        <v>GRADNJA i TRGOVINA - GAJ d.o.o., ČULINEČKA CESTA 181, 10000 ZAGREB, OIB: 30603399085</v>
      </c>
      <c r="H2203" s="4"/>
      <c r="I2203" s="1" t="s">
        <v>640</v>
      </c>
      <c r="J2203" s="1" t="s">
        <v>45</v>
      </c>
      <c r="K2203" s="6" t="str">
        <f>"186.250,00"</f>
        <v>186.250,00</v>
      </c>
      <c r="L2203" s="6" t="str">
        <f>"46.562,50"</f>
        <v>46.562,50</v>
      </c>
      <c r="M2203" s="6" t="str">
        <f>"232.812,50"</f>
        <v>232.812,50</v>
      </c>
      <c r="N2203" s="1" t="s">
        <v>117</v>
      </c>
      <c r="O2203" s="7"/>
      <c r="P2203" s="6" t="str">
        <f>""</f>
        <v/>
      </c>
      <c r="Q2203" s="7"/>
      <c r="R2203" s="1"/>
      <c r="S2203" s="1" t="str">
        <f>"1-19/NOS-59-F/18"</f>
        <v>1-19/NOS-59-F/18</v>
      </c>
      <c r="T2203" s="2" t="s">
        <v>33</v>
      </c>
    </row>
    <row r="2204" spans="1:20" ht="38.25" x14ac:dyDescent="0.25">
      <c r="A2204" s="1">
        <v>2200</v>
      </c>
      <c r="B2204" s="1" t="str">
        <f t="shared" si="216"/>
        <v>2018-2788</v>
      </c>
      <c r="C2204" s="2" t="s">
        <v>629</v>
      </c>
      <c r="D2204" s="1" t="s">
        <v>131</v>
      </c>
      <c r="E2204" s="3" t="str">
        <f>"2018/S 0F2-0020076"</f>
        <v>2018/S 0F2-0020076</v>
      </c>
      <c r="F2204" s="2" t="s">
        <v>23</v>
      </c>
      <c r="G2204" s="2" t="str">
        <f>CONCATENATE("BISTRA-KOP OBRT,"," vl. Bratislav Škrlin-Batina,"," BUKOVJE BISTRANSKO,"," M. GUPCA 11,"," 10298 DONJA BISTRA,"," OIB: 77220131152")</f>
        <v>BISTRA-KOP OBRT, vl. Bratislav Škrlin-Batina, BUKOVJE BISTRANSKO, M. GUPCA 11, 10298 DONJA BISTRA, OIB: 77220131152</v>
      </c>
      <c r="H2204" s="4"/>
      <c r="I2204" s="1" t="s">
        <v>241</v>
      </c>
      <c r="J2204" s="1" t="s">
        <v>1168</v>
      </c>
      <c r="K2204" s="6" t="str">
        <f>"2.450.000,00"</f>
        <v>2.450.000,00</v>
      </c>
      <c r="L2204" s="6" t="str">
        <f>"612.500,00"</f>
        <v>612.500,00</v>
      </c>
      <c r="M2204" s="6" t="str">
        <f>"3.062.500,00"</f>
        <v>3.062.500,00</v>
      </c>
      <c r="N2204" s="7"/>
      <c r="O2204" s="7"/>
      <c r="P2204" s="6" t="str">
        <f>""</f>
        <v/>
      </c>
      <c r="Q2204" s="7"/>
      <c r="R2204" s="1"/>
      <c r="S2204" s="1" t="str">
        <f>"NOS-59-G/18"</f>
        <v>NOS-59-G/18</v>
      </c>
      <c r="T2204" s="2" t="s">
        <v>33</v>
      </c>
    </row>
    <row r="2205" spans="1:20" ht="38.25" x14ac:dyDescent="0.25">
      <c r="A2205" s="1">
        <v>2201</v>
      </c>
      <c r="B2205" s="1" t="str">
        <f t="shared" si="216"/>
        <v>2018-2788</v>
      </c>
      <c r="C2205" s="2" t="s">
        <v>629</v>
      </c>
      <c r="D2205" s="4"/>
      <c r="E2205" s="3" t="str">
        <f>""</f>
        <v/>
      </c>
      <c r="F2205" s="2" t="s">
        <v>27</v>
      </c>
      <c r="G2205" s="2" t="str">
        <f>CONCATENATE("BISTRA-KOP OBRT,"," vl. Bratislav Škrlin-Batina,"," BUKOVJE BISTRANSKO,"," M. GUPCA 11,"," 10298 DONJA BISTRA,"," OIB: 77220131152")</f>
        <v>BISTRA-KOP OBRT, vl. Bratislav Škrlin-Batina, BUKOVJE BISTRANSKO, M. GUPCA 11, 10298 DONJA BISTRA, OIB: 77220131152</v>
      </c>
      <c r="H2205" s="4"/>
      <c r="I2205" s="1" t="s">
        <v>332</v>
      </c>
      <c r="J2205" s="1" t="s">
        <v>114</v>
      </c>
      <c r="K2205" s="6" t="str">
        <f>"220.000,00"</f>
        <v>220.000,00</v>
      </c>
      <c r="L2205" s="6" t="str">
        <f>"55.000,00"</f>
        <v>55.000,00</v>
      </c>
      <c r="M2205" s="6" t="str">
        <f>"275.000,00"</f>
        <v>275.000,00</v>
      </c>
      <c r="N2205" s="5">
        <v>43677</v>
      </c>
      <c r="O2205" s="7"/>
      <c r="P2205" s="6" t="str">
        <f>"274.725,00"</f>
        <v>274.725,00</v>
      </c>
      <c r="Q2205" s="7"/>
      <c r="R2205" s="1"/>
      <c r="S2205" s="1" t="str">
        <f>"1-19/NOS-59-G/18"</f>
        <v>1-19/NOS-59-G/18</v>
      </c>
      <c r="T2205" s="2" t="s">
        <v>33</v>
      </c>
    </row>
    <row r="2206" spans="1:20" ht="38.25" x14ac:dyDescent="0.25">
      <c r="A2206" s="1">
        <v>2202</v>
      </c>
      <c r="B2206" s="1" t="str">
        <f t="shared" si="216"/>
        <v>2018-2788</v>
      </c>
      <c r="C2206" s="2" t="s">
        <v>629</v>
      </c>
      <c r="D2206" s="4"/>
      <c r="E2206" s="3" t="str">
        <f>""</f>
        <v/>
      </c>
      <c r="F2206" s="2" t="s">
        <v>27</v>
      </c>
      <c r="G2206" s="2" t="str">
        <f>CONCATENATE("BISTRA-KOP OBRT,"," vl. Bratislav Škrlin-Batina,"," BUKOVJE BISTRANSKO,"," M. GUPCA 11,"," 10298 DONJA BISTRA,"," OIB: 77220131152")</f>
        <v>BISTRA-KOP OBRT, vl. Bratislav Škrlin-Batina, BUKOVJE BISTRANSKO, M. GUPCA 11, 10298 DONJA BISTRA, OIB: 77220131152</v>
      </c>
      <c r="H2206" s="4"/>
      <c r="I2206" s="1" t="s">
        <v>73</v>
      </c>
      <c r="J2206" s="1" t="s">
        <v>45</v>
      </c>
      <c r="K2206" s="6" t="str">
        <f>"220.000,00"</f>
        <v>220.000,00</v>
      </c>
      <c r="L2206" s="6" t="str">
        <f>"55.000,00"</f>
        <v>55.000,00</v>
      </c>
      <c r="M2206" s="6" t="str">
        <f>"275.000,00"</f>
        <v>275.000,00</v>
      </c>
      <c r="N2206" s="1" t="s">
        <v>117</v>
      </c>
      <c r="O2206" s="7"/>
      <c r="P2206" s="6" t="str">
        <f>""</f>
        <v/>
      </c>
      <c r="Q2206" s="7"/>
      <c r="R2206" s="1"/>
      <c r="S2206" s="1" t="str">
        <f>"2-19/NOS-59-G/18"</f>
        <v>2-19/NOS-59-G/18</v>
      </c>
      <c r="T2206" s="2" t="s">
        <v>33</v>
      </c>
    </row>
    <row r="2207" spans="1:20" ht="38.25" x14ac:dyDescent="0.25">
      <c r="A2207" s="1">
        <v>2203</v>
      </c>
      <c r="B2207" s="1" t="str">
        <f t="shared" si="216"/>
        <v>2018-2788</v>
      </c>
      <c r="C2207" s="2" t="s">
        <v>629</v>
      </c>
      <c r="D2207" s="1" t="s">
        <v>131</v>
      </c>
      <c r="E2207" s="3" t="str">
        <f>"2018/S 0F2-0020076"</f>
        <v>2018/S 0F2-0020076</v>
      </c>
      <c r="F2207" s="2" t="s">
        <v>23</v>
      </c>
      <c r="G2207" s="2" t="str">
        <f t="shared" ref="G2207:G2217" si="217">CONCATENATE("I.B. JAZBINA D.O.O.,"," JAZBINA 151,"," 10000 ZAGREB,"," OIB: 77265033209")</f>
        <v>I.B. JAZBINA D.O.O., JAZBINA 151, 10000 ZAGREB, OIB: 77265033209</v>
      </c>
      <c r="H2207" s="4"/>
      <c r="I2207" s="1" t="s">
        <v>241</v>
      </c>
      <c r="J2207" s="1" t="s">
        <v>1168</v>
      </c>
      <c r="K2207" s="6" t="str">
        <f>"1.650.000,00"</f>
        <v>1.650.000,00</v>
      </c>
      <c r="L2207" s="6" t="str">
        <f>"412.500,00"</f>
        <v>412.500,00</v>
      </c>
      <c r="M2207" s="6" t="str">
        <f>"2.062.500,00"</f>
        <v>2.062.500,00</v>
      </c>
      <c r="N2207" s="7"/>
      <c r="O2207" s="7"/>
      <c r="P2207" s="6" t="str">
        <f>""</f>
        <v/>
      </c>
      <c r="Q2207" s="7"/>
      <c r="R2207" s="1"/>
      <c r="S2207" s="1" t="str">
        <f>"NOS-59-H/18"</f>
        <v>NOS-59-H/18</v>
      </c>
      <c r="T2207" s="2" t="s">
        <v>33</v>
      </c>
    </row>
    <row r="2208" spans="1:20" ht="25.5" x14ac:dyDescent="0.25">
      <c r="A2208" s="1">
        <v>2204</v>
      </c>
      <c r="B2208" s="1" t="str">
        <f t="shared" si="216"/>
        <v>2018-2788</v>
      </c>
      <c r="C2208" s="2" t="s">
        <v>629</v>
      </c>
      <c r="D2208" s="4"/>
      <c r="E2208" s="3" t="str">
        <f>""</f>
        <v/>
      </c>
      <c r="F2208" s="2" t="s">
        <v>27</v>
      </c>
      <c r="G2208" s="2" t="str">
        <f t="shared" si="217"/>
        <v>I.B. JAZBINA D.O.O., JAZBINA 151, 10000 ZAGREB, OIB: 77265033209</v>
      </c>
      <c r="H2208" s="4"/>
      <c r="I2208" s="1" t="s">
        <v>46</v>
      </c>
      <c r="J2208" s="1" t="s">
        <v>45</v>
      </c>
      <c r="K2208" s="6" t="str">
        <f>"69.000,00"</f>
        <v>69.000,00</v>
      </c>
      <c r="L2208" s="6" t="str">
        <f>"17.250,00"</f>
        <v>17.250,00</v>
      </c>
      <c r="M2208" s="6" t="str">
        <f>"86.250,00"</f>
        <v>86.250,00</v>
      </c>
      <c r="N2208" s="5">
        <v>43651</v>
      </c>
      <c r="O2208" s="7"/>
      <c r="P2208" s="6" t="str">
        <f>"16.243,75"</f>
        <v>16.243,75</v>
      </c>
      <c r="Q2208" s="7"/>
      <c r="R2208" s="1"/>
      <c r="S2208" s="1" t="str">
        <f>"2-19/NOS-59-H/18"</f>
        <v>2-19/NOS-59-H/18</v>
      </c>
      <c r="T2208" s="2" t="s">
        <v>33</v>
      </c>
    </row>
    <row r="2209" spans="1:20" ht="25.5" x14ac:dyDescent="0.25">
      <c r="A2209" s="1">
        <v>2205</v>
      </c>
      <c r="B2209" s="1" t="str">
        <f t="shared" si="216"/>
        <v>2018-2788</v>
      </c>
      <c r="C2209" s="2" t="s">
        <v>629</v>
      </c>
      <c r="D2209" s="1" t="s">
        <v>131</v>
      </c>
      <c r="E2209" s="3" t="str">
        <f>""</f>
        <v/>
      </c>
      <c r="F2209" s="2" t="s">
        <v>27</v>
      </c>
      <c r="G2209" s="2" t="str">
        <f t="shared" si="217"/>
        <v>I.B. JAZBINA D.O.O., JAZBINA 151, 10000 ZAGREB, OIB: 77265033209</v>
      </c>
      <c r="H2209" s="4"/>
      <c r="I2209" s="1" t="s">
        <v>30</v>
      </c>
      <c r="J2209" s="1" t="s">
        <v>492</v>
      </c>
      <c r="K2209" s="6" t="str">
        <f>"69.000,00"</f>
        <v>69.000,00</v>
      </c>
      <c r="L2209" s="6" t="str">
        <f>"17.250,00"</f>
        <v>17.250,00</v>
      </c>
      <c r="M2209" s="6" t="str">
        <f>"86.250,00"</f>
        <v>86.250,00</v>
      </c>
      <c r="N2209" s="5">
        <v>43651</v>
      </c>
      <c r="O2209" s="7"/>
      <c r="P2209" s="6" t="str">
        <f>"86.250,00"</f>
        <v>86.250,00</v>
      </c>
      <c r="Q2209" s="7"/>
      <c r="R2209" s="1"/>
      <c r="S2209" s="1" t="str">
        <f>"1-19/NOS-59-H/18"</f>
        <v>1-19/NOS-59-H/18</v>
      </c>
      <c r="T2209" s="2" t="s">
        <v>33</v>
      </c>
    </row>
    <row r="2210" spans="1:20" ht="38.25" x14ac:dyDescent="0.25">
      <c r="A2210" s="1">
        <v>2206</v>
      </c>
      <c r="B2210" s="1" t="str">
        <f t="shared" si="216"/>
        <v>2018-2788</v>
      </c>
      <c r="C2210" s="2" t="s">
        <v>629</v>
      </c>
      <c r="D2210" s="1" t="s">
        <v>131</v>
      </c>
      <c r="E2210" s="3" t="str">
        <f>"2018/S 0F2-0020076"</f>
        <v>2018/S 0F2-0020076</v>
      </c>
      <c r="F2210" s="2" t="s">
        <v>23</v>
      </c>
      <c r="G2210" s="2" t="str">
        <f t="shared" si="217"/>
        <v>I.B. JAZBINA D.O.O., JAZBINA 151, 10000 ZAGREB, OIB: 77265033209</v>
      </c>
      <c r="H2210" s="4"/>
      <c r="I2210" s="1" t="s">
        <v>241</v>
      </c>
      <c r="J2210" s="1" t="s">
        <v>1168</v>
      </c>
      <c r="K2210" s="6" t="str">
        <f>"380.000,00"</f>
        <v>380.000,00</v>
      </c>
      <c r="L2210" s="6" t="str">
        <f>"95.000,00"</f>
        <v>95.000,00</v>
      </c>
      <c r="M2210" s="6" t="str">
        <f>"475.000,00"</f>
        <v>475.000,00</v>
      </c>
      <c r="N2210" s="7"/>
      <c r="O2210" s="7"/>
      <c r="P2210" s="6" t="str">
        <f>""</f>
        <v/>
      </c>
      <c r="Q2210" s="7"/>
      <c r="R2210" s="1"/>
      <c r="S2210" s="1" t="str">
        <f>"NOS-59-J/18"</f>
        <v>NOS-59-J/18</v>
      </c>
      <c r="T2210" s="2" t="s">
        <v>33</v>
      </c>
    </row>
    <row r="2211" spans="1:20" ht="25.5" x14ac:dyDescent="0.25">
      <c r="A2211" s="1">
        <v>2207</v>
      </c>
      <c r="B2211" s="1" t="str">
        <f t="shared" si="216"/>
        <v>2018-2788</v>
      </c>
      <c r="C2211" s="2" t="s">
        <v>629</v>
      </c>
      <c r="D2211" s="4"/>
      <c r="E2211" s="3" t="str">
        <f>""</f>
        <v/>
      </c>
      <c r="F2211" s="2" t="s">
        <v>27</v>
      </c>
      <c r="G2211" s="2" t="str">
        <f t="shared" si="217"/>
        <v>I.B. JAZBINA D.O.O., JAZBINA 151, 10000 ZAGREB, OIB: 77265033209</v>
      </c>
      <c r="H2211" s="4"/>
      <c r="I2211" s="1" t="s">
        <v>431</v>
      </c>
      <c r="J2211" s="1" t="s">
        <v>114</v>
      </c>
      <c r="K2211" s="6" t="str">
        <f>"141.600,00"</f>
        <v>141.600,00</v>
      </c>
      <c r="L2211" s="6" t="str">
        <f>"35.400,00"</f>
        <v>35.400,00</v>
      </c>
      <c r="M2211" s="6" t="str">
        <f>"177.000,00"</f>
        <v>177.000,00</v>
      </c>
      <c r="N2211" s="5">
        <v>43651</v>
      </c>
      <c r="O2211" s="7"/>
      <c r="P2211" s="6" t="str">
        <f>"118.737,50"</f>
        <v>118.737,50</v>
      </c>
      <c r="Q2211" s="7"/>
      <c r="R2211" s="1"/>
      <c r="S2211" s="1" t="str">
        <f>"1-19/NOS-59-J/18"</f>
        <v>1-19/NOS-59-J/18</v>
      </c>
      <c r="T2211" s="2" t="s">
        <v>33</v>
      </c>
    </row>
    <row r="2212" spans="1:20" ht="25.5" x14ac:dyDescent="0.25">
      <c r="A2212" s="1">
        <v>2208</v>
      </c>
      <c r="B2212" s="1" t="str">
        <f t="shared" si="216"/>
        <v>2018-2788</v>
      </c>
      <c r="C2212" s="2" t="s">
        <v>629</v>
      </c>
      <c r="D2212" s="4"/>
      <c r="E2212" s="3" t="str">
        <f>""</f>
        <v/>
      </c>
      <c r="F2212" s="2" t="s">
        <v>27</v>
      </c>
      <c r="G2212" s="2" t="str">
        <f t="shared" si="217"/>
        <v>I.B. JAZBINA D.O.O., JAZBINA 151, 10000 ZAGREB, OIB: 77265033209</v>
      </c>
      <c r="H2212" s="4"/>
      <c r="I2212" s="1" t="s">
        <v>46</v>
      </c>
      <c r="J2212" s="1" t="s">
        <v>45</v>
      </c>
      <c r="K2212" s="6" t="str">
        <f>"236.000,00"</f>
        <v>236.000,00</v>
      </c>
      <c r="L2212" s="6" t="str">
        <f>"59.000,00"</f>
        <v>59.000,00</v>
      </c>
      <c r="M2212" s="6" t="str">
        <f>"295.000,00"</f>
        <v>295.000,00</v>
      </c>
      <c r="N2212" s="5">
        <v>43651</v>
      </c>
      <c r="O2212" s="7"/>
      <c r="P2212" s="6" t="str">
        <f>"7.743,75"</f>
        <v>7.743,75</v>
      </c>
      <c r="Q2212" s="7"/>
      <c r="R2212" s="1"/>
      <c r="S2212" s="1" t="str">
        <f>"3-19/NOS-59-J/18"</f>
        <v>3-19/NOS-59-J/18</v>
      </c>
      <c r="T2212" s="2" t="s">
        <v>33</v>
      </c>
    </row>
    <row r="2213" spans="1:20" ht="38.25" x14ac:dyDescent="0.25">
      <c r="A2213" s="1">
        <v>2209</v>
      </c>
      <c r="B2213" s="1" t="str">
        <f t="shared" si="216"/>
        <v>2018-2788</v>
      </c>
      <c r="C2213" s="2" t="s">
        <v>629</v>
      </c>
      <c r="D2213" s="1" t="s">
        <v>131</v>
      </c>
      <c r="E2213" s="3" t="str">
        <f>"2018/S 0F2-0020076"</f>
        <v>2018/S 0F2-0020076</v>
      </c>
      <c r="F2213" s="2" t="s">
        <v>23</v>
      </c>
      <c r="G2213" s="2" t="str">
        <f t="shared" si="217"/>
        <v>I.B. JAZBINA D.O.O., JAZBINA 151, 10000 ZAGREB, OIB: 77265033209</v>
      </c>
      <c r="H2213" s="4"/>
      <c r="I2213" s="1" t="s">
        <v>596</v>
      </c>
      <c r="J2213" s="1" t="s">
        <v>1167</v>
      </c>
      <c r="K2213" s="6" t="str">
        <f>"115.000,00"</f>
        <v>115.000,00</v>
      </c>
      <c r="L2213" s="6" t="str">
        <f>"28.750,00"</f>
        <v>28.750,00</v>
      </c>
      <c r="M2213" s="6" t="str">
        <f>"143.750,00"</f>
        <v>143.750,00</v>
      </c>
      <c r="N2213" s="7"/>
      <c r="O2213" s="7"/>
      <c r="P2213" s="6" t="str">
        <f>""</f>
        <v/>
      </c>
      <c r="Q2213" s="7"/>
      <c r="R2213" s="1"/>
      <c r="S2213" s="1" t="str">
        <f>"NOS-59-K/18"</f>
        <v>NOS-59-K/18</v>
      </c>
      <c r="T2213" s="2" t="s">
        <v>33</v>
      </c>
    </row>
    <row r="2214" spans="1:20" ht="25.5" x14ac:dyDescent="0.25">
      <c r="A2214" s="1">
        <v>2210</v>
      </c>
      <c r="B2214" s="1" t="str">
        <f t="shared" si="216"/>
        <v>2018-2788</v>
      </c>
      <c r="C2214" s="2" t="s">
        <v>629</v>
      </c>
      <c r="D2214" s="4"/>
      <c r="E2214" s="3" t="str">
        <f>""</f>
        <v/>
      </c>
      <c r="F2214" s="2" t="s">
        <v>27</v>
      </c>
      <c r="G2214" s="2" t="str">
        <f t="shared" si="217"/>
        <v>I.B. JAZBINA D.O.O., JAZBINA 151, 10000 ZAGREB, OIB: 77265033209</v>
      </c>
      <c r="H2214" s="4"/>
      <c r="I2214" s="1" t="s">
        <v>46</v>
      </c>
      <c r="J2214" s="1" t="s">
        <v>45</v>
      </c>
      <c r="K2214" s="6" t="str">
        <f>"92.000,00"</f>
        <v>92.000,00</v>
      </c>
      <c r="L2214" s="6" t="str">
        <f>"23.000,00"</f>
        <v>23.000,00</v>
      </c>
      <c r="M2214" s="6" t="str">
        <f>"115.000,00"</f>
        <v>115.000,00</v>
      </c>
      <c r="N2214" s="1" t="s">
        <v>117</v>
      </c>
      <c r="O2214" s="7"/>
      <c r="P2214" s="6" t="str">
        <f>""</f>
        <v/>
      </c>
      <c r="Q2214" s="7"/>
      <c r="R2214" s="1"/>
      <c r="S2214" s="1" t="str">
        <f>"3-19/NOS-59-K/18"</f>
        <v>3-19/NOS-59-K/18</v>
      </c>
      <c r="T2214" s="2" t="s">
        <v>33</v>
      </c>
    </row>
    <row r="2215" spans="1:20" ht="25.5" x14ac:dyDescent="0.25">
      <c r="A2215" s="1">
        <v>2211</v>
      </c>
      <c r="B2215" s="1" t="str">
        <f t="shared" si="216"/>
        <v>2018-2788</v>
      </c>
      <c r="C2215" s="2" t="s">
        <v>629</v>
      </c>
      <c r="D2215" s="1" t="s">
        <v>131</v>
      </c>
      <c r="E2215" s="3" t="str">
        <f>""</f>
        <v/>
      </c>
      <c r="F2215" s="2" t="s">
        <v>27</v>
      </c>
      <c r="G2215" s="2" t="str">
        <f t="shared" si="217"/>
        <v>I.B. JAZBINA D.O.O., JAZBINA 151, 10000 ZAGREB, OIB: 77265033209</v>
      </c>
      <c r="H2215" s="4"/>
      <c r="I2215" s="1" t="s">
        <v>343</v>
      </c>
      <c r="J2215" s="1" t="s">
        <v>492</v>
      </c>
      <c r="K2215" s="6" t="str">
        <f>"20.000,00"</f>
        <v>20.000,00</v>
      </c>
      <c r="L2215" s="6" t="str">
        <f>"0,00"</f>
        <v>0,00</v>
      </c>
      <c r="M2215" s="6" t="str">
        <f>"0,00"</f>
        <v>0,00</v>
      </c>
      <c r="N2215" s="1" t="s">
        <v>117</v>
      </c>
      <c r="O2215" s="7"/>
      <c r="P2215" s="6" t="str">
        <f>"0,00"</f>
        <v>0,00</v>
      </c>
      <c r="Q2215" s="7"/>
      <c r="R2215" s="1"/>
      <c r="S2215" s="1" t="str">
        <f>"1-19/NOS-59-K/18"</f>
        <v>1-19/NOS-59-K/18</v>
      </c>
      <c r="T2215" s="2" t="s">
        <v>33</v>
      </c>
    </row>
    <row r="2216" spans="1:20" ht="38.25" x14ac:dyDescent="0.25">
      <c r="A2216" s="1">
        <v>2212</v>
      </c>
      <c r="B2216" s="1" t="str">
        <f t="shared" si="216"/>
        <v>2018-2788</v>
      </c>
      <c r="C2216" s="2" t="s">
        <v>629</v>
      </c>
      <c r="D2216" s="1" t="s">
        <v>131</v>
      </c>
      <c r="E2216" s="3" t="str">
        <f>"2018/S 0F2-0020076"</f>
        <v>2018/S 0F2-0020076</v>
      </c>
      <c r="F2216" s="2" t="s">
        <v>23</v>
      </c>
      <c r="G2216" s="2" t="str">
        <f t="shared" si="217"/>
        <v>I.B. JAZBINA D.O.O., JAZBINA 151, 10000 ZAGREB, OIB: 77265033209</v>
      </c>
      <c r="H2216" s="4"/>
      <c r="I2216" s="1" t="s">
        <v>241</v>
      </c>
      <c r="J2216" s="1" t="s">
        <v>1168</v>
      </c>
      <c r="K2216" s="6" t="str">
        <f>"1.500.000,00"</f>
        <v>1.500.000,00</v>
      </c>
      <c r="L2216" s="6" t="str">
        <f>"375.000,00"</f>
        <v>375.000,00</v>
      </c>
      <c r="M2216" s="6" t="str">
        <f>"1.875.000,00"</f>
        <v>1.875.000,00</v>
      </c>
      <c r="N2216" s="7"/>
      <c r="O2216" s="7"/>
      <c r="P2216" s="6" t="str">
        <f>""</f>
        <v/>
      </c>
      <c r="Q2216" s="7"/>
      <c r="R2216" s="1"/>
      <c r="S2216" s="1" t="str">
        <f>"NOS-59-L/18"</f>
        <v>NOS-59-L/18</v>
      </c>
      <c r="T2216" s="2" t="s">
        <v>33</v>
      </c>
    </row>
    <row r="2217" spans="1:20" ht="25.5" x14ac:dyDescent="0.25">
      <c r="A2217" s="1">
        <v>2213</v>
      </c>
      <c r="B2217" s="1" t="str">
        <f t="shared" si="216"/>
        <v>2018-2788</v>
      </c>
      <c r="C2217" s="2" t="s">
        <v>629</v>
      </c>
      <c r="D2217" s="1" t="s">
        <v>131</v>
      </c>
      <c r="E2217" s="3" t="str">
        <f>""</f>
        <v/>
      </c>
      <c r="F2217" s="2" t="s">
        <v>27</v>
      </c>
      <c r="G2217" s="2" t="str">
        <f t="shared" si="217"/>
        <v>I.B. JAZBINA D.O.O., JAZBINA 151, 10000 ZAGREB, OIB: 77265033209</v>
      </c>
      <c r="H2217" s="4"/>
      <c r="I2217" s="1" t="s">
        <v>343</v>
      </c>
      <c r="J2217" s="1" t="s">
        <v>492</v>
      </c>
      <c r="K2217" s="6" t="str">
        <f>"30.000,00"</f>
        <v>30.000,00</v>
      </c>
      <c r="L2217" s="6" t="str">
        <f>"0,00"</f>
        <v>0,00</v>
      </c>
      <c r="M2217" s="6" t="str">
        <f>"0,00"</f>
        <v>0,00</v>
      </c>
      <c r="N2217" s="1" t="s">
        <v>117</v>
      </c>
      <c r="O2217" s="7"/>
      <c r="P2217" s="6" t="str">
        <f>"0,00"</f>
        <v>0,00</v>
      </c>
      <c r="Q2217" s="7"/>
      <c r="R2217" s="1"/>
      <c r="S2217" s="1" t="str">
        <f>"1-19/NOS-59-L/18"</f>
        <v>1-19/NOS-59-L/18</v>
      </c>
      <c r="T2217" s="2" t="s">
        <v>33</v>
      </c>
    </row>
    <row r="2218" spans="1:20" ht="51" x14ac:dyDescent="0.25">
      <c r="A2218" s="1">
        <v>2214</v>
      </c>
      <c r="B2218" s="1" t="str">
        <f t="shared" si="216"/>
        <v>2018-2788</v>
      </c>
      <c r="C2218" s="2" t="s">
        <v>629</v>
      </c>
      <c r="D2218" s="1" t="s">
        <v>131</v>
      </c>
      <c r="E2218" s="3" t="str">
        <f>"2018/S 0F2-0020076"</f>
        <v>2018/S 0F2-0020076</v>
      </c>
      <c r="F2218" s="2" t="s">
        <v>23</v>
      </c>
      <c r="G2218"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18" s="4"/>
      <c r="I2218" s="1" t="s">
        <v>241</v>
      </c>
      <c r="J2218" s="1" t="s">
        <v>1168</v>
      </c>
      <c r="K2218" s="6" t="str">
        <f>"675.000,00"</f>
        <v>675.000,00</v>
      </c>
      <c r="L2218" s="6" t="str">
        <f>"168.750,00"</f>
        <v>168.750,00</v>
      </c>
      <c r="M2218" s="6" t="str">
        <f>"843.750,00"</f>
        <v>843.750,00</v>
      </c>
      <c r="N2218" s="7"/>
      <c r="O2218" s="7"/>
      <c r="P2218" s="6" t="str">
        <f>""</f>
        <v/>
      </c>
      <c r="Q2218" s="7"/>
      <c r="R2218" s="1"/>
      <c r="S2218" s="1" t="str">
        <f>"NOS-59-M/18"</f>
        <v>NOS-59-M/18</v>
      </c>
      <c r="T2218" s="2" t="s">
        <v>33</v>
      </c>
    </row>
    <row r="2219" spans="1:20" ht="51" x14ac:dyDescent="0.25">
      <c r="A2219" s="1">
        <v>2215</v>
      </c>
      <c r="B2219" s="1" t="str">
        <f t="shared" si="216"/>
        <v>2018-2788</v>
      </c>
      <c r="C2219" s="2" t="s">
        <v>629</v>
      </c>
      <c r="D2219" s="4"/>
      <c r="E2219" s="3" t="str">
        <f>""</f>
        <v/>
      </c>
      <c r="F2219" s="2" t="s">
        <v>27</v>
      </c>
      <c r="G2219"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19" s="4"/>
      <c r="I2219" s="1" t="s">
        <v>551</v>
      </c>
      <c r="J2219" s="1" t="s">
        <v>114</v>
      </c>
      <c r="K2219" s="6" t="str">
        <f>"123.500,00"</f>
        <v>123.500,00</v>
      </c>
      <c r="L2219" s="6" t="str">
        <f>"30.875,00"</f>
        <v>30.875,00</v>
      </c>
      <c r="M2219" s="6" t="str">
        <f>"154.375,00"</f>
        <v>154.375,00</v>
      </c>
      <c r="N2219" s="5">
        <v>43595</v>
      </c>
      <c r="O2219" s="7"/>
      <c r="P2219" s="6" t="str">
        <f>"154.375,00"</f>
        <v>154.375,00</v>
      </c>
      <c r="Q2219" s="7"/>
      <c r="R2219" s="1"/>
      <c r="S2219" s="1" t="str">
        <f>"1-19/NOS-59-M/18"</f>
        <v>1-19/NOS-59-M/18</v>
      </c>
      <c r="T2219" s="2" t="s">
        <v>33</v>
      </c>
    </row>
    <row r="2220" spans="1:20" ht="51" x14ac:dyDescent="0.25">
      <c r="A2220" s="1">
        <v>2216</v>
      </c>
      <c r="B2220" s="1" t="str">
        <f t="shared" si="216"/>
        <v>2018-2788</v>
      </c>
      <c r="C2220" s="2" t="s">
        <v>629</v>
      </c>
      <c r="D2220" s="4"/>
      <c r="E2220" s="3" t="str">
        <f>""</f>
        <v/>
      </c>
      <c r="F2220" s="2" t="s">
        <v>27</v>
      </c>
      <c r="G2220"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20" s="4"/>
      <c r="I2220" s="1" t="s">
        <v>579</v>
      </c>
      <c r="J2220" s="1" t="s">
        <v>45</v>
      </c>
      <c r="K2220" s="6" t="str">
        <f>"551.000,00"</f>
        <v>551.000,00</v>
      </c>
      <c r="L2220" s="6" t="str">
        <f>"137.750,00"</f>
        <v>137.750,00</v>
      </c>
      <c r="M2220" s="6" t="str">
        <f>"688.750,00"</f>
        <v>688.750,00</v>
      </c>
      <c r="N2220" s="5">
        <v>43658</v>
      </c>
      <c r="O2220" s="7"/>
      <c r="P2220" s="6" t="str">
        <f>"446.975,00"</f>
        <v>446.975,00</v>
      </c>
      <c r="Q2220" s="7"/>
      <c r="R2220" s="1"/>
      <c r="S2220" s="1" t="str">
        <f>"2-19/NOS-59-M/18"</f>
        <v>2-19/NOS-59-M/18</v>
      </c>
      <c r="T2220" s="2" t="s">
        <v>33</v>
      </c>
    </row>
    <row r="2221" spans="1:20" ht="38.25" x14ac:dyDescent="0.25">
      <c r="A2221" s="1">
        <v>2217</v>
      </c>
      <c r="B2221" s="1" t="str">
        <f t="shared" ref="B2221:B2243" si="218">"2018-2788"</f>
        <v>2018-2788</v>
      </c>
      <c r="C2221" s="2" t="s">
        <v>629</v>
      </c>
      <c r="D2221" s="1" t="s">
        <v>131</v>
      </c>
      <c r="E2221" s="3" t="str">
        <f>"2018/S 0F2-0020076"</f>
        <v>2018/S 0F2-0020076</v>
      </c>
      <c r="F2221" s="2" t="s">
        <v>23</v>
      </c>
      <c r="G2221" s="2" t="str">
        <f>CONCATENATE("I.B. JAZBINA D.O.O.,"," JAZBINA 151,"," 10000 ZAGREB,"," OIB: 77265033209")</f>
        <v>I.B. JAZBINA D.O.O., JAZBINA 151, 10000 ZAGREB, OIB: 77265033209</v>
      </c>
      <c r="H2221" s="4"/>
      <c r="I2221" s="1" t="s">
        <v>596</v>
      </c>
      <c r="J2221" s="1" t="s">
        <v>1167</v>
      </c>
      <c r="K2221" s="6" t="str">
        <f>"675.000,00"</f>
        <v>675.000,00</v>
      </c>
      <c r="L2221" s="6" t="str">
        <f>"168.750,00"</f>
        <v>168.750,00</v>
      </c>
      <c r="M2221" s="6" t="str">
        <f>"843.750,00"</f>
        <v>843.750,00</v>
      </c>
      <c r="N2221" s="7"/>
      <c r="O2221" s="7"/>
      <c r="P2221" s="6" t="str">
        <f>""</f>
        <v/>
      </c>
      <c r="Q2221" s="7"/>
      <c r="R2221" s="1"/>
      <c r="S2221" s="1" t="str">
        <f>"NOS-59-N/18"</f>
        <v>NOS-59-N/18</v>
      </c>
      <c r="T2221" s="2" t="s">
        <v>33</v>
      </c>
    </row>
    <row r="2222" spans="1:20" ht="25.5" x14ac:dyDescent="0.25">
      <c r="A2222" s="1">
        <v>2218</v>
      </c>
      <c r="B2222" s="1" t="str">
        <f t="shared" si="218"/>
        <v>2018-2788</v>
      </c>
      <c r="C2222" s="2" t="s">
        <v>629</v>
      </c>
      <c r="D2222" s="4"/>
      <c r="E2222" s="3" t="str">
        <f>""</f>
        <v/>
      </c>
      <c r="F2222" s="2" t="s">
        <v>27</v>
      </c>
      <c r="G2222" s="2" t="str">
        <f>CONCATENATE("I.B. JAZBINA D.O.O.,"," JAZBINA 151,"," 10000 ZAGREB,"," OIB: 77265033209")</f>
        <v>I.B. JAZBINA D.O.O., JAZBINA 151, 10000 ZAGREB, OIB: 77265033209</v>
      </c>
      <c r="H2222" s="4"/>
      <c r="I2222" s="1" t="s">
        <v>494</v>
      </c>
      <c r="J2222" s="1" t="s">
        <v>114</v>
      </c>
      <c r="K2222" s="6" t="str">
        <f>"94.250,00"</f>
        <v>94.250,00</v>
      </c>
      <c r="L2222" s="6" t="str">
        <f>"23.562,50"</f>
        <v>23.562,50</v>
      </c>
      <c r="M2222" s="6" t="str">
        <f>"117.812,50"</f>
        <v>117.812,50</v>
      </c>
      <c r="N2222" s="5">
        <v>43622</v>
      </c>
      <c r="O2222" s="7"/>
      <c r="P2222" s="6" t="str">
        <f>"117.812,50"</f>
        <v>117.812,50</v>
      </c>
      <c r="Q2222" s="7"/>
      <c r="R2222" s="1"/>
      <c r="S2222" s="1" t="str">
        <f>"1-19/NOS-59-N/18"</f>
        <v>1-19/NOS-59-N/18</v>
      </c>
      <c r="T2222" s="2" t="s">
        <v>33</v>
      </c>
    </row>
    <row r="2223" spans="1:20" ht="25.5" x14ac:dyDescent="0.25">
      <c r="A2223" s="1">
        <v>2219</v>
      </c>
      <c r="B2223" s="1" t="str">
        <f t="shared" si="218"/>
        <v>2018-2788</v>
      </c>
      <c r="C2223" s="2" t="s">
        <v>629</v>
      </c>
      <c r="D2223" s="4"/>
      <c r="E2223" s="3" t="str">
        <f>""</f>
        <v/>
      </c>
      <c r="F2223" s="2" t="s">
        <v>27</v>
      </c>
      <c r="G2223" s="2" t="str">
        <f>CONCATENATE("I.B. JAZBINA D.O.O.,"," JAZBINA 151,"," 10000 ZAGREB,"," OIB: 77265033209")</f>
        <v>I.B. JAZBINA D.O.O., JAZBINA 151, 10000 ZAGREB, OIB: 77265033209</v>
      </c>
      <c r="H2223" s="4"/>
      <c r="I2223" s="1" t="s">
        <v>414</v>
      </c>
      <c r="J2223" s="1" t="s">
        <v>45</v>
      </c>
      <c r="K2223" s="6" t="str">
        <f>"580.000,00"</f>
        <v>580.000,00</v>
      </c>
      <c r="L2223" s="6" t="str">
        <f>"145.000,00"</f>
        <v>145.000,00</v>
      </c>
      <c r="M2223" s="6" t="str">
        <f>"725.000,00"</f>
        <v>725.000,00</v>
      </c>
      <c r="N2223" s="5">
        <v>43651</v>
      </c>
      <c r="O2223" s="7"/>
      <c r="P2223" s="6" t="str">
        <f>"124.881,25"</f>
        <v>124.881,25</v>
      </c>
      <c r="Q2223" s="7"/>
      <c r="R2223" s="1"/>
      <c r="S2223" s="1" t="str">
        <f>"2-19/NOS-59-N/18"</f>
        <v>2-19/NOS-59-N/18</v>
      </c>
      <c r="T2223" s="2" t="s">
        <v>33</v>
      </c>
    </row>
    <row r="2224" spans="1:20" ht="51" x14ac:dyDescent="0.25">
      <c r="A2224" s="1">
        <v>2220</v>
      </c>
      <c r="B2224" s="1" t="str">
        <f t="shared" si="218"/>
        <v>2018-2788</v>
      </c>
      <c r="C2224" s="2" t="s">
        <v>629</v>
      </c>
      <c r="D2224" s="1" t="s">
        <v>131</v>
      </c>
      <c r="E2224" s="3" t="str">
        <f>"2018/S 0F2-0020076"</f>
        <v>2018/S 0F2-0020076</v>
      </c>
      <c r="F2224" s="2" t="s">
        <v>23</v>
      </c>
      <c r="G2224"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24" s="4"/>
      <c r="I2224" s="1" t="s">
        <v>241</v>
      </c>
      <c r="J2224" s="1" t="s">
        <v>1168</v>
      </c>
      <c r="K2224" s="6" t="str">
        <f>"675.000,00"</f>
        <v>675.000,00</v>
      </c>
      <c r="L2224" s="6" t="str">
        <f>"168.750,00"</f>
        <v>168.750,00</v>
      </c>
      <c r="M2224" s="6" t="str">
        <f>"843.750,00"</f>
        <v>843.750,00</v>
      </c>
      <c r="N2224" s="7"/>
      <c r="O2224" s="7"/>
      <c r="P2224" s="6" t="str">
        <f>""</f>
        <v/>
      </c>
      <c r="Q2224" s="7"/>
      <c r="R2224" s="1"/>
      <c r="S2224" s="1" t="str">
        <f>"NOS-59-O/18"</f>
        <v>NOS-59-O/18</v>
      </c>
      <c r="T2224" s="2" t="s">
        <v>33</v>
      </c>
    </row>
    <row r="2225" spans="1:20" ht="51" x14ac:dyDescent="0.25">
      <c r="A2225" s="1">
        <v>2221</v>
      </c>
      <c r="B2225" s="1" t="str">
        <f t="shared" si="218"/>
        <v>2018-2788</v>
      </c>
      <c r="C2225" s="2" t="s">
        <v>629</v>
      </c>
      <c r="D2225" s="4"/>
      <c r="E2225" s="3" t="str">
        <f>""</f>
        <v/>
      </c>
      <c r="F2225" s="2" t="s">
        <v>27</v>
      </c>
      <c r="G2225"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25" s="4"/>
      <c r="I2225" s="1" t="s">
        <v>321</v>
      </c>
      <c r="J2225" s="1" t="s">
        <v>114</v>
      </c>
      <c r="K2225" s="6" t="str">
        <f>"142.500,00"</f>
        <v>142.500,00</v>
      </c>
      <c r="L2225" s="6" t="str">
        <f>"35.625,00"</f>
        <v>35.625,00</v>
      </c>
      <c r="M2225" s="6" t="str">
        <f>"178.125,00"</f>
        <v>178.125,00</v>
      </c>
      <c r="N2225" s="5">
        <v>43658</v>
      </c>
      <c r="O2225" s="7"/>
      <c r="P2225" s="6" t="str">
        <f>"134.425,00"</f>
        <v>134.425,00</v>
      </c>
      <c r="Q2225" s="7"/>
      <c r="R2225" s="1"/>
      <c r="S2225" s="1" t="str">
        <f>"1-19/NOS-59-O/18"</f>
        <v>1-19/NOS-59-O/18</v>
      </c>
      <c r="T2225" s="2" t="s">
        <v>33</v>
      </c>
    </row>
    <row r="2226" spans="1:20" ht="51" x14ac:dyDescent="0.25">
      <c r="A2226" s="1">
        <v>2222</v>
      </c>
      <c r="B2226" s="1" t="str">
        <f t="shared" si="218"/>
        <v>2018-2788</v>
      </c>
      <c r="C2226" s="2" t="s">
        <v>629</v>
      </c>
      <c r="D2226" s="4"/>
      <c r="E2226" s="3" t="str">
        <f>""</f>
        <v/>
      </c>
      <c r="F2226" s="2" t="s">
        <v>27</v>
      </c>
      <c r="G2226"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26" s="4"/>
      <c r="I2226" s="1" t="s">
        <v>46</v>
      </c>
      <c r="J2226" s="1" t="s">
        <v>45</v>
      </c>
      <c r="K2226" s="6" t="str">
        <f>"532.000,00"</f>
        <v>532.000,00</v>
      </c>
      <c r="L2226" s="6" t="str">
        <f>"133.000,00"</f>
        <v>133.000,00</v>
      </c>
      <c r="M2226" s="6" t="str">
        <f>"665.000,00"</f>
        <v>665.000,00</v>
      </c>
      <c r="N2226" s="1" t="s">
        <v>117</v>
      </c>
      <c r="O2226" s="7"/>
      <c r="P2226" s="6" t="str">
        <f>""</f>
        <v/>
      </c>
      <c r="Q2226" s="7"/>
      <c r="R2226" s="1"/>
      <c r="S2226" s="1" t="str">
        <f>"2-19/NOS-59-O/18"</f>
        <v>2-19/NOS-59-O/18</v>
      </c>
      <c r="T2226" s="2" t="s">
        <v>33</v>
      </c>
    </row>
    <row r="2227" spans="1:20" ht="38.25" x14ac:dyDescent="0.25">
      <c r="A2227" s="1">
        <v>2223</v>
      </c>
      <c r="B2227" s="1" t="str">
        <f t="shared" si="218"/>
        <v>2018-2788</v>
      </c>
      <c r="C2227" s="2" t="s">
        <v>629</v>
      </c>
      <c r="D2227" s="1" t="s">
        <v>131</v>
      </c>
      <c r="E2227" s="3" t="str">
        <f>"2018/S 0F2-0020076"</f>
        <v>2018/S 0F2-0020076</v>
      </c>
      <c r="F2227" s="2" t="s">
        <v>23</v>
      </c>
      <c r="G2227" s="2" t="str">
        <f>CONCATENATE("I.B. JAZBINA D.O.O.,"," JAZBINA 151,"," 10000 ZAGREB,"," OIB: 77265033209")</f>
        <v>I.B. JAZBINA D.O.O., JAZBINA 151, 10000 ZAGREB, OIB: 77265033209</v>
      </c>
      <c r="H2227" s="4"/>
      <c r="I2227" s="1" t="s">
        <v>596</v>
      </c>
      <c r="J2227" s="1" t="s">
        <v>1167</v>
      </c>
      <c r="K2227" s="6" t="str">
        <f>"560.000,00"</f>
        <v>560.000,00</v>
      </c>
      <c r="L2227" s="6" t="str">
        <f>"140.000,00"</f>
        <v>140.000,00</v>
      </c>
      <c r="M2227" s="6" t="str">
        <f>"700.000,00"</f>
        <v>700.000,00</v>
      </c>
      <c r="N2227" s="7"/>
      <c r="O2227" s="7"/>
      <c r="P2227" s="6" t="str">
        <f>""</f>
        <v/>
      </c>
      <c r="Q2227" s="7"/>
      <c r="R2227" s="1"/>
      <c r="S2227" s="1" t="str">
        <f>"NOS-59-P/18"</f>
        <v>NOS-59-P/18</v>
      </c>
      <c r="T2227" s="2" t="s">
        <v>33</v>
      </c>
    </row>
    <row r="2228" spans="1:20" ht="25.5" x14ac:dyDescent="0.25">
      <c r="A2228" s="1">
        <v>2224</v>
      </c>
      <c r="B2228" s="1" t="str">
        <f t="shared" si="218"/>
        <v>2018-2788</v>
      </c>
      <c r="C2228" s="2" t="s">
        <v>629</v>
      </c>
      <c r="D2228" s="4"/>
      <c r="E2228" s="3" t="str">
        <f>""</f>
        <v/>
      </c>
      <c r="F2228" s="2" t="s">
        <v>27</v>
      </c>
      <c r="G2228" s="2" t="str">
        <f>CONCATENATE("I.B. JAZBINA D.O.O.,"," JAZBINA 151,"," 10000 ZAGREB,"," OIB: 77265033209")</f>
        <v>I.B. JAZBINA D.O.O., JAZBINA 151, 10000 ZAGREB, OIB: 77265033209</v>
      </c>
      <c r="H2228" s="4"/>
      <c r="I2228" s="1" t="s">
        <v>494</v>
      </c>
      <c r="J2228" s="1" t="s">
        <v>114</v>
      </c>
      <c r="K2228" s="6" t="str">
        <f>"93.750,00"</f>
        <v>93.750,00</v>
      </c>
      <c r="L2228" s="6" t="str">
        <f>"23.437,50"</f>
        <v>23.437,50</v>
      </c>
      <c r="M2228" s="6" t="str">
        <f>"117.187,50"</f>
        <v>117.187,50</v>
      </c>
      <c r="N2228" s="5">
        <v>43651</v>
      </c>
      <c r="O2228" s="7"/>
      <c r="P2228" s="6" t="str">
        <f>"26.093,75"</f>
        <v>26.093,75</v>
      </c>
      <c r="Q2228" s="7"/>
      <c r="R2228" s="1"/>
      <c r="S2228" s="1" t="str">
        <f>"1-19/NOS-59-P/18"</f>
        <v>1-19/NOS-59-P/18</v>
      </c>
      <c r="T2228" s="2" t="s">
        <v>33</v>
      </c>
    </row>
    <row r="2229" spans="1:20" ht="25.5" x14ac:dyDescent="0.25">
      <c r="A2229" s="1">
        <v>2225</v>
      </c>
      <c r="B2229" s="1" t="str">
        <f t="shared" si="218"/>
        <v>2018-2788</v>
      </c>
      <c r="C2229" s="2" t="s">
        <v>629</v>
      </c>
      <c r="D2229" s="4"/>
      <c r="E2229" s="3" t="str">
        <f>""</f>
        <v/>
      </c>
      <c r="F2229" s="2" t="s">
        <v>27</v>
      </c>
      <c r="G2229" s="2" t="str">
        <f>CONCATENATE("I.B. JAZBINA D.O.O.,"," JAZBINA 151,"," 10000 ZAGREB,"," OIB: 77265033209")</f>
        <v>I.B. JAZBINA D.O.O., JAZBINA 151, 10000 ZAGREB, OIB: 77265033209</v>
      </c>
      <c r="H2229" s="4"/>
      <c r="I2229" s="1" t="s">
        <v>46</v>
      </c>
      <c r="J2229" s="1" t="s">
        <v>45</v>
      </c>
      <c r="K2229" s="6" t="str">
        <f>"462.500,00"</f>
        <v>462.500,00</v>
      </c>
      <c r="L2229" s="6" t="str">
        <f>"115.625,00"</f>
        <v>115.625,00</v>
      </c>
      <c r="M2229" s="6" t="str">
        <f>"578.125,00"</f>
        <v>578.125,00</v>
      </c>
      <c r="N2229" s="1" t="s">
        <v>117</v>
      </c>
      <c r="O2229" s="7"/>
      <c r="P2229" s="6" t="str">
        <f>""</f>
        <v/>
      </c>
      <c r="Q2229" s="7"/>
      <c r="R2229" s="1"/>
      <c r="S2229" s="1" t="str">
        <f>"2-19/NOS-59-P/18"</f>
        <v>2-19/NOS-59-P/18</v>
      </c>
      <c r="T2229" s="2" t="s">
        <v>33</v>
      </c>
    </row>
    <row r="2230" spans="1:20" ht="38.25" x14ac:dyDescent="0.25">
      <c r="A2230" s="1">
        <v>2226</v>
      </c>
      <c r="B2230" s="1" t="str">
        <f t="shared" si="218"/>
        <v>2018-2788</v>
      </c>
      <c r="C2230" s="2" t="s">
        <v>629</v>
      </c>
      <c r="D2230" s="1" t="s">
        <v>131</v>
      </c>
      <c r="E2230" s="3" t="str">
        <f>"2018/S 0F2-0020076"</f>
        <v>2018/S 0F2-0020076</v>
      </c>
      <c r="F2230" s="2" t="s">
        <v>23</v>
      </c>
      <c r="G2230" s="2" t="str">
        <f>CONCATENATE("GRADITELJ SVRATIŠTA D.O.O.,"," IVANA ČESMIČKOG 16,"," 10000 ZAGREB,"," OIB: 5204465757")</f>
        <v>GRADITELJ SVRATIŠTA D.O.O., IVANA ČESMIČKOG 16, 10000 ZAGREB, OIB: 5204465757</v>
      </c>
      <c r="H2230" s="4"/>
      <c r="I2230" s="1" t="s">
        <v>596</v>
      </c>
      <c r="J2230" s="1" t="s">
        <v>1167</v>
      </c>
      <c r="K2230" s="6" t="str">
        <f>"430.000,00"</f>
        <v>430.000,00</v>
      </c>
      <c r="L2230" s="6" t="str">
        <f>"107.500,00"</f>
        <v>107.500,00</v>
      </c>
      <c r="M2230" s="6" t="str">
        <f>"537.500,00"</f>
        <v>537.500,00</v>
      </c>
      <c r="N2230" s="7"/>
      <c r="O2230" s="7"/>
      <c r="P2230" s="6" t="str">
        <f>""</f>
        <v/>
      </c>
      <c r="Q2230" s="7"/>
      <c r="R2230" s="1"/>
      <c r="S2230" s="1" t="str">
        <f>"NOS-59-R/18"</f>
        <v>NOS-59-R/18</v>
      </c>
      <c r="T2230" s="2" t="s">
        <v>33</v>
      </c>
    </row>
    <row r="2231" spans="1:20" ht="38.25" x14ac:dyDescent="0.25">
      <c r="A2231" s="1">
        <v>2227</v>
      </c>
      <c r="B2231" s="1" t="str">
        <f t="shared" si="218"/>
        <v>2018-2788</v>
      </c>
      <c r="C2231" s="2" t="s">
        <v>629</v>
      </c>
      <c r="D2231" s="4"/>
      <c r="E2231" s="3" t="str">
        <f>""</f>
        <v/>
      </c>
      <c r="F2231" s="2" t="s">
        <v>27</v>
      </c>
      <c r="G2231" s="2" t="str">
        <f>CONCATENATE("GRADITELJ SVRATIŠTA D.O.O.,"," IVANA ČESMIČKOG 16,"," 10000 ZAGREB,"," OIB: 5204465757")</f>
        <v>GRADITELJ SVRATIŠTA D.O.O., IVANA ČESMIČKOG 16, 10000 ZAGREB, OIB: 5204465757</v>
      </c>
      <c r="H2231" s="4"/>
      <c r="I2231" s="1" t="s">
        <v>46</v>
      </c>
      <c r="J2231" s="1" t="s">
        <v>45</v>
      </c>
      <c r="K2231" s="6" t="str">
        <f>"324.350,00"</f>
        <v>324.350,00</v>
      </c>
      <c r="L2231" s="6" t="str">
        <f>"81.087,50"</f>
        <v>81.087,50</v>
      </c>
      <c r="M2231" s="6" t="str">
        <f>"405.437,50"</f>
        <v>405.437,50</v>
      </c>
      <c r="N2231" s="5">
        <v>43684</v>
      </c>
      <c r="O2231" s="7"/>
      <c r="P2231" s="6" t="str">
        <f>"117.918,75"</f>
        <v>117.918,75</v>
      </c>
      <c r="Q2231" s="7"/>
      <c r="R2231" s="1"/>
      <c r="S2231" s="1" t="str">
        <f>"2-19/NOS-59-R/18"</f>
        <v>2-19/NOS-59-R/18</v>
      </c>
      <c r="T2231" s="2" t="s">
        <v>33</v>
      </c>
    </row>
    <row r="2232" spans="1:20" ht="38.25" x14ac:dyDescent="0.25">
      <c r="A2232" s="1">
        <v>2228</v>
      </c>
      <c r="B2232" s="1" t="str">
        <f t="shared" si="218"/>
        <v>2018-2788</v>
      </c>
      <c r="C2232" s="2" t="s">
        <v>629</v>
      </c>
      <c r="D2232" s="1" t="s">
        <v>131</v>
      </c>
      <c r="E2232" s="3" t="str">
        <f>""</f>
        <v/>
      </c>
      <c r="F2232" s="2" t="s">
        <v>27</v>
      </c>
      <c r="G2232" s="2" t="str">
        <f>CONCATENATE("GRADITELJ SVRATIŠTA D.O.O.,"," IVANA ČESMIČKOG 16,"," 10000 ZAGREB,"," OIB: 5204465757")</f>
        <v>GRADITELJ SVRATIŠTA D.O.O., IVANA ČESMIČKOG 16, 10000 ZAGREB, OIB: 5204465757</v>
      </c>
      <c r="H2232" s="4"/>
      <c r="I2232" s="1" t="s">
        <v>30</v>
      </c>
      <c r="J2232" s="1" t="s">
        <v>492</v>
      </c>
      <c r="K2232" s="6" t="str">
        <f>"55.600,00"</f>
        <v>55.600,00</v>
      </c>
      <c r="L2232" s="6" t="str">
        <f>"13.822,50"</f>
        <v>13.822,50</v>
      </c>
      <c r="M2232" s="6" t="str">
        <f>"69.112,50"</f>
        <v>69.112,50</v>
      </c>
      <c r="N2232" s="5">
        <v>43623</v>
      </c>
      <c r="O2232" s="7"/>
      <c r="P2232" s="6" t="str">
        <f>"69.112,50"</f>
        <v>69.112,50</v>
      </c>
      <c r="Q2232" s="7"/>
      <c r="R2232" s="1"/>
      <c r="S2232" s="1" t="str">
        <f>"1-19/NOS-59-R/18"</f>
        <v>1-19/NOS-59-R/18</v>
      </c>
      <c r="T2232" s="2" t="s">
        <v>33</v>
      </c>
    </row>
    <row r="2233" spans="1:20" ht="51" x14ac:dyDescent="0.25">
      <c r="A2233" s="1">
        <v>2229</v>
      </c>
      <c r="B2233" s="1" t="str">
        <f t="shared" si="218"/>
        <v>2018-2788</v>
      </c>
      <c r="C2233" s="2" t="s">
        <v>629</v>
      </c>
      <c r="D2233" s="1" t="s">
        <v>131</v>
      </c>
      <c r="E2233" s="3" t="str">
        <f>"2018/S 0F2-0020076"</f>
        <v>2018/S 0F2-0020076</v>
      </c>
      <c r="F2233" s="2" t="s">
        <v>23</v>
      </c>
      <c r="G2233"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33" s="4"/>
      <c r="I2233" s="1" t="s">
        <v>241</v>
      </c>
      <c r="J2233" s="1" t="s">
        <v>1168</v>
      </c>
      <c r="K2233" s="6" t="str">
        <f>"4.260.000,00"</f>
        <v>4.260.000,00</v>
      </c>
      <c r="L2233" s="6" t="str">
        <f>"1.065.000,00"</f>
        <v>1.065.000,00</v>
      </c>
      <c r="M2233" s="6" t="str">
        <f>"5.325.000,00"</f>
        <v>5.325.000,00</v>
      </c>
      <c r="N2233" s="7"/>
      <c r="O2233" s="7"/>
      <c r="P2233" s="6" t="str">
        <f>""</f>
        <v/>
      </c>
      <c r="Q2233" s="7"/>
      <c r="R2233" s="1"/>
      <c r="S2233" s="1" t="str">
        <f>"NOS-59-S/18"</f>
        <v>NOS-59-S/18</v>
      </c>
      <c r="T2233" s="2" t="s">
        <v>33</v>
      </c>
    </row>
    <row r="2234" spans="1:20" ht="51" x14ac:dyDescent="0.25">
      <c r="A2234" s="1">
        <v>2230</v>
      </c>
      <c r="B2234" s="1" t="str">
        <f t="shared" si="218"/>
        <v>2018-2788</v>
      </c>
      <c r="C2234" s="2" t="s">
        <v>629</v>
      </c>
      <c r="D2234" s="4"/>
      <c r="E2234" s="3" t="str">
        <f>""</f>
        <v/>
      </c>
      <c r="F2234" s="2" t="s">
        <v>27</v>
      </c>
      <c r="G2234"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34" s="4"/>
      <c r="I2234" s="1" t="s">
        <v>637</v>
      </c>
      <c r="J2234" s="1" t="s">
        <v>114</v>
      </c>
      <c r="K2234" s="6" t="str">
        <f>"199.000,00"</f>
        <v>199.000,00</v>
      </c>
      <c r="L2234" s="6" t="str">
        <f>"49.750,00"</f>
        <v>49.750,00</v>
      </c>
      <c r="M2234" s="6" t="str">
        <f>"248.750,00"</f>
        <v>248.750,00</v>
      </c>
      <c r="N2234" s="5">
        <v>43658</v>
      </c>
      <c r="O2234" s="7"/>
      <c r="P2234" s="6" t="str">
        <f>"248.600,00"</f>
        <v>248.600,00</v>
      </c>
      <c r="Q2234" s="7"/>
      <c r="R2234" s="1"/>
      <c r="S2234" s="1" t="str">
        <f>"1-19/NOS-59-S/18"</f>
        <v>1-19/NOS-59-S/18</v>
      </c>
      <c r="T2234" s="2" t="s">
        <v>33</v>
      </c>
    </row>
    <row r="2235" spans="1:20" ht="51" x14ac:dyDescent="0.25">
      <c r="A2235" s="1">
        <v>2231</v>
      </c>
      <c r="B2235" s="1" t="str">
        <f t="shared" si="218"/>
        <v>2018-2788</v>
      </c>
      <c r="C2235" s="2" t="s">
        <v>629</v>
      </c>
      <c r="D2235" s="4"/>
      <c r="E2235" s="3" t="str">
        <f>""</f>
        <v/>
      </c>
      <c r="F2235" s="2" t="s">
        <v>27</v>
      </c>
      <c r="G2235" s="2" t="str">
        <f>CONCATENATE("AUTOPRIJEVOZNIK I USLUGE GRAĐEVINSKOM MEHANIZACIJOM,"," VL. ŽELJKO SMOLKOVIĆ,"," MIŠKININA 34A,"," 10020 ZAGREB-NOVI ZAGREB,"," OIB: 67729002916")</f>
        <v>AUTOPRIJEVOZNIK I USLUGE GRAĐEVINSKOM MEHANIZACIJOM, VL. ŽELJKO SMOLKOVIĆ, MIŠKININA 34A, 10020 ZAGREB-NOVI ZAGREB, OIB: 67729002916</v>
      </c>
      <c r="H2235" s="4"/>
      <c r="I2235" s="1" t="s">
        <v>440</v>
      </c>
      <c r="J2235" s="1" t="s">
        <v>45</v>
      </c>
      <c r="K2235" s="6" t="str">
        <f>"580.000,00"</f>
        <v>580.000,00</v>
      </c>
      <c r="L2235" s="6" t="str">
        <f>"145.000,00"</f>
        <v>145.000,00</v>
      </c>
      <c r="M2235" s="6" t="str">
        <f>"725.000,00"</f>
        <v>725.000,00</v>
      </c>
      <c r="N2235" s="5">
        <v>43658</v>
      </c>
      <c r="O2235" s="7"/>
      <c r="P2235" s="6" t="str">
        <f>"122.612,50"</f>
        <v>122.612,50</v>
      </c>
      <c r="Q2235" s="7"/>
      <c r="R2235" s="1"/>
      <c r="S2235" s="1" t="str">
        <f>"2-19/NOS-59-S/18"</f>
        <v>2-19/NOS-59-S/18</v>
      </c>
      <c r="T2235" s="2" t="s">
        <v>33</v>
      </c>
    </row>
    <row r="2236" spans="1:20" ht="38.25" x14ac:dyDescent="0.25">
      <c r="A2236" s="1">
        <v>2232</v>
      </c>
      <c r="B2236" s="1" t="str">
        <f t="shared" si="218"/>
        <v>2018-2788</v>
      </c>
      <c r="C2236" s="2" t="s">
        <v>629</v>
      </c>
      <c r="D2236" s="1" t="s">
        <v>131</v>
      </c>
      <c r="E2236" s="3" t="str">
        <f>"2018/S 0F2-0020076"</f>
        <v>2018/S 0F2-0020076</v>
      </c>
      <c r="F2236" s="2" t="s">
        <v>23</v>
      </c>
      <c r="G2236" s="2" t="str">
        <f t="shared" ref="G2236:G2241" si="219">CONCATENATE("I.B. JAZBINA D.O.O.,"," JAZBINA 151,"," 10000 ZAGREB,"," OIB: 77265033209")</f>
        <v>I.B. JAZBINA D.O.O., JAZBINA 151, 10000 ZAGREB, OIB: 77265033209</v>
      </c>
      <c r="H2236" s="4"/>
      <c r="I2236" s="1" t="s">
        <v>596</v>
      </c>
      <c r="J2236" s="1" t="s">
        <v>1167</v>
      </c>
      <c r="K2236" s="6" t="str">
        <f>"2.850.000,00"</f>
        <v>2.850.000,00</v>
      </c>
      <c r="L2236" s="6" t="str">
        <f>"712.500,00"</f>
        <v>712.500,00</v>
      </c>
      <c r="M2236" s="6" t="str">
        <f>"3.562.500,00"</f>
        <v>3.562.500,00</v>
      </c>
      <c r="N2236" s="7"/>
      <c r="O2236" s="7"/>
      <c r="P2236" s="6" t="str">
        <f>""</f>
        <v/>
      </c>
      <c r="Q2236" s="7"/>
      <c r="R2236" s="1"/>
      <c r="S2236" s="1" t="str">
        <f>"NOS-59-T/18"</f>
        <v>NOS-59-T/18</v>
      </c>
      <c r="T2236" s="2" t="s">
        <v>33</v>
      </c>
    </row>
    <row r="2237" spans="1:20" ht="25.5" x14ac:dyDescent="0.25">
      <c r="A2237" s="1">
        <v>2233</v>
      </c>
      <c r="B2237" s="1" t="str">
        <f t="shared" si="218"/>
        <v>2018-2788</v>
      </c>
      <c r="C2237" s="2" t="s">
        <v>629</v>
      </c>
      <c r="D2237" s="4"/>
      <c r="E2237" s="3" t="str">
        <f>""</f>
        <v/>
      </c>
      <c r="F2237" s="2" t="s">
        <v>27</v>
      </c>
      <c r="G2237" s="2" t="str">
        <f t="shared" si="219"/>
        <v>I.B. JAZBINA D.O.O., JAZBINA 151, 10000 ZAGREB, OIB: 77265033209</v>
      </c>
      <c r="H2237" s="4"/>
      <c r="I2237" s="1" t="s">
        <v>46</v>
      </c>
      <c r="J2237" s="1" t="s">
        <v>45</v>
      </c>
      <c r="K2237" s="6" t="str">
        <f>"301.500,00"</f>
        <v>301.500,00</v>
      </c>
      <c r="L2237" s="6" t="str">
        <f>"75.375,00"</f>
        <v>75.375,00</v>
      </c>
      <c r="M2237" s="6" t="str">
        <f>"376.875,00"</f>
        <v>376.875,00</v>
      </c>
      <c r="N2237" s="5">
        <v>43677</v>
      </c>
      <c r="O2237" s="7"/>
      <c r="P2237" s="6" t="str">
        <f>"74.112,50"</f>
        <v>74.112,50</v>
      </c>
      <c r="Q2237" s="7"/>
      <c r="R2237" s="1"/>
      <c r="S2237" s="1" t="str">
        <f>"2-19/NOS-59-T/18"</f>
        <v>2-19/NOS-59-T/18</v>
      </c>
      <c r="T2237" s="2" t="s">
        <v>33</v>
      </c>
    </row>
    <row r="2238" spans="1:20" ht="25.5" x14ac:dyDescent="0.25">
      <c r="A2238" s="1">
        <v>2234</v>
      </c>
      <c r="B2238" s="1" t="str">
        <f t="shared" si="218"/>
        <v>2018-2788</v>
      </c>
      <c r="C2238" s="2" t="s">
        <v>629</v>
      </c>
      <c r="D2238" s="1" t="s">
        <v>131</v>
      </c>
      <c r="E2238" s="3" t="str">
        <f>""</f>
        <v/>
      </c>
      <c r="F2238" s="2" t="s">
        <v>27</v>
      </c>
      <c r="G2238" s="2" t="str">
        <f t="shared" si="219"/>
        <v>I.B. JAZBINA D.O.O., JAZBINA 151, 10000 ZAGREB, OIB: 77265033209</v>
      </c>
      <c r="H2238" s="4"/>
      <c r="I2238" s="1" t="s">
        <v>30</v>
      </c>
      <c r="J2238" s="1" t="s">
        <v>492</v>
      </c>
      <c r="K2238" s="6" t="str">
        <f>"100.500,00"</f>
        <v>100.500,00</v>
      </c>
      <c r="L2238" s="6" t="str">
        <f>"24.115,00"</f>
        <v>24.115,00</v>
      </c>
      <c r="M2238" s="6" t="str">
        <f>"120.575,00"</f>
        <v>120.575,00</v>
      </c>
      <c r="N2238" s="5">
        <v>43651</v>
      </c>
      <c r="O2238" s="7"/>
      <c r="P2238" s="6" t="str">
        <f>"120.575,00"</f>
        <v>120.575,00</v>
      </c>
      <c r="Q2238" s="7"/>
      <c r="R2238" s="1"/>
      <c r="S2238" s="1" t="str">
        <f>"1-19/NOS-59-T/18"</f>
        <v>1-19/NOS-59-T/18</v>
      </c>
      <c r="T2238" s="2" t="s">
        <v>33</v>
      </c>
    </row>
    <row r="2239" spans="1:20" ht="38.25" x14ac:dyDescent="0.25">
      <c r="A2239" s="1">
        <v>2235</v>
      </c>
      <c r="B2239" s="1" t="str">
        <f t="shared" si="218"/>
        <v>2018-2788</v>
      </c>
      <c r="C2239" s="2" t="s">
        <v>629</v>
      </c>
      <c r="D2239" s="1" t="s">
        <v>131</v>
      </c>
      <c r="E2239" s="3" t="str">
        <f>"2018/S 0F2-0020076"</f>
        <v>2018/S 0F2-0020076</v>
      </c>
      <c r="F2239" s="2" t="s">
        <v>23</v>
      </c>
      <c r="G2239" s="2" t="str">
        <f t="shared" si="219"/>
        <v>I.B. JAZBINA D.O.O., JAZBINA 151, 10000 ZAGREB, OIB: 77265033209</v>
      </c>
      <c r="H2239" s="4"/>
      <c r="I2239" s="1" t="s">
        <v>596</v>
      </c>
      <c r="J2239" s="1" t="s">
        <v>1167</v>
      </c>
      <c r="K2239" s="6" t="str">
        <f>"95.000,00"</f>
        <v>95.000,00</v>
      </c>
      <c r="L2239" s="6" t="str">
        <f>"23.750,00"</f>
        <v>23.750,00</v>
      </c>
      <c r="M2239" s="6" t="str">
        <f>"118.750,00"</f>
        <v>118.750,00</v>
      </c>
      <c r="N2239" s="7"/>
      <c r="O2239" s="7"/>
      <c r="P2239" s="6" t="str">
        <f>""</f>
        <v/>
      </c>
      <c r="Q2239" s="7"/>
      <c r="R2239" s="1"/>
      <c r="S2239" s="1" t="str">
        <f>"NOS-59-U/18"</f>
        <v>NOS-59-U/18</v>
      </c>
      <c r="T2239" s="2" t="s">
        <v>33</v>
      </c>
    </row>
    <row r="2240" spans="1:20" ht="38.25" x14ac:dyDescent="0.25">
      <c r="A2240" s="1">
        <v>2236</v>
      </c>
      <c r="B2240" s="1" t="str">
        <f t="shared" si="218"/>
        <v>2018-2788</v>
      </c>
      <c r="C2240" s="2" t="s">
        <v>629</v>
      </c>
      <c r="D2240" s="1" t="s">
        <v>131</v>
      </c>
      <c r="E2240" s="3" t="str">
        <f>"2018/S 0F2-0020076"</f>
        <v>2018/S 0F2-0020076</v>
      </c>
      <c r="F2240" s="2" t="s">
        <v>23</v>
      </c>
      <c r="G2240" s="2" t="str">
        <f t="shared" si="219"/>
        <v>I.B. JAZBINA D.O.O., JAZBINA 151, 10000 ZAGREB, OIB: 77265033209</v>
      </c>
      <c r="H2240" s="4"/>
      <c r="I2240" s="1" t="s">
        <v>1169</v>
      </c>
      <c r="J2240" s="1" t="s">
        <v>1170</v>
      </c>
      <c r="K2240" s="6" t="str">
        <f>"200.000,00"</f>
        <v>200.000,00</v>
      </c>
      <c r="L2240" s="6" t="str">
        <f>"50.000,00"</f>
        <v>50.000,00</v>
      </c>
      <c r="M2240" s="6" t="str">
        <f>"250.000,00"</f>
        <v>250.000,00</v>
      </c>
      <c r="N2240" s="7"/>
      <c r="O2240" s="7"/>
      <c r="P2240" s="6" t="str">
        <f>""</f>
        <v/>
      </c>
      <c r="Q2240" s="7"/>
      <c r="R2240" s="1"/>
      <c r="S2240" s="1" t="str">
        <f>"NOS-59-V/18"</f>
        <v>NOS-59-V/18</v>
      </c>
      <c r="T2240" s="2" t="s">
        <v>33</v>
      </c>
    </row>
    <row r="2241" spans="1:20" ht="25.5" x14ac:dyDescent="0.25">
      <c r="A2241" s="1">
        <v>2237</v>
      </c>
      <c r="B2241" s="1" t="str">
        <f t="shared" si="218"/>
        <v>2018-2788</v>
      </c>
      <c r="C2241" s="2" t="s">
        <v>629</v>
      </c>
      <c r="D2241" s="4"/>
      <c r="E2241" s="3" t="str">
        <f>""</f>
        <v/>
      </c>
      <c r="F2241" s="2" t="s">
        <v>27</v>
      </c>
      <c r="G2241" s="2" t="str">
        <f t="shared" si="219"/>
        <v>I.B. JAZBINA D.O.O., JAZBINA 151, 10000 ZAGREB, OIB: 77265033209</v>
      </c>
      <c r="H2241" s="4"/>
      <c r="I2241" s="1" t="s">
        <v>351</v>
      </c>
      <c r="J2241" s="1" t="s">
        <v>45</v>
      </c>
      <c r="K2241" s="6" t="str">
        <f>"99.900,00"</f>
        <v>99.900,00</v>
      </c>
      <c r="L2241" s="6" t="str">
        <f>"24.975,00"</f>
        <v>24.975,00</v>
      </c>
      <c r="M2241" s="6" t="str">
        <f>"124.875,00"</f>
        <v>124.875,00</v>
      </c>
      <c r="N2241" s="5">
        <v>43679</v>
      </c>
      <c r="O2241" s="7"/>
      <c r="P2241" s="6" t="str">
        <f>"69.837,50"</f>
        <v>69.837,50</v>
      </c>
      <c r="Q2241" s="7"/>
      <c r="R2241" s="1"/>
      <c r="S2241" s="1" t="str">
        <f>"1-19/NOS-59-V/18"</f>
        <v>1-19/NOS-59-V/18</v>
      </c>
      <c r="T2241" s="2" t="s">
        <v>33</v>
      </c>
    </row>
    <row r="2242" spans="1:20" ht="38.25" x14ac:dyDescent="0.25">
      <c r="A2242" s="1">
        <v>2238</v>
      </c>
      <c r="B2242" s="1" t="str">
        <f t="shared" si="218"/>
        <v>2018-2788</v>
      </c>
      <c r="C2242" s="2" t="s">
        <v>629</v>
      </c>
      <c r="D2242" s="1" t="s">
        <v>131</v>
      </c>
      <c r="E2242" s="3" t="str">
        <f>"2018/S 0F2-0020076"</f>
        <v>2018/S 0F2-0020076</v>
      </c>
      <c r="F2242" s="2" t="s">
        <v>23</v>
      </c>
      <c r="G2242" s="2" t="str">
        <f>CONCATENATE("POLJO-PROM,"," VL. ZLATKO KRIŽANIĆ,"," HRAŠĆE TUROPOLJSKO,"," KRIŽANIĆI 27,"," 10020 ZAGREB-NOVI ZAGREB,"," OIB: 22277452223")</f>
        <v>POLJO-PROM, VL. ZLATKO KRIŽANIĆ, HRAŠĆE TUROPOLJSKO, KRIŽANIĆI 27, 10020 ZAGREB-NOVI ZAGREB, OIB: 22277452223</v>
      </c>
      <c r="H2242" s="4"/>
      <c r="I2242" s="1" t="s">
        <v>720</v>
      </c>
      <c r="J2242" s="1" t="s">
        <v>739</v>
      </c>
      <c r="K2242" s="6" t="str">
        <f>"700.000,00"</f>
        <v>700.000,00</v>
      </c>
      <c r="L2242" s="6" t="str">
        <f>"175.000,00"</f>
        <v>175.000,00</v>
      </c>
      <c r="M2242" s="6" t="str">
        <f>"875.000,00"</f>
        <v>875.000,00</v>
      </c>
      <c r="N2242" s="7"/>
      <c r="O2242" s="7"/>
      <c r="P2242" s="6" t="str">
        <f>""</f>
        <v/>
      </c>
      <c r="Q2242" s="7"/>
      <c r="R2242" s="1"/>
      <c r="S2242" s="1" t="str">
        <f>"NOS-59-Z/18"</f>
        <v>NOS-59-Z/18</v>
      </c>
      <c r="T2242" s="2" t="s">
        <v>33</v>
      </c>
    </row>
    <row r="2243" spans="1:20" ht="38.25" x14ac:dyDescent="0.25">
      <c r="A2243" s="1">
        <v>2239</v>
      </c>
      <c r="B2243" s="1" t="str">
        <f t="shared" si="218"/>
        <v>2018-2788</v>
      </c>
      <c r="C2243" s="2" t="s">
        <v>629</v>
      </c>
      <c r="D2243" s="4"/>
      <c r="E2243" s="3" t="str">
        <f>""</f>
        <v/>
      </c>
      <c r="F2243" s="2" t="s">
        <v>27</v>
      </c>
      <c r="G2243" s="2" t="str">
        <f>CONCATENATE("POLJO-PROM,"," VL. ZLATKO KRIŽANIĆ,"," HRAŠĆE TUROPOLJSKO,"," KRIŽANIĆI 27,"," 10020 ZAGREB-NOVI ZAGREB,"," OIB: 22277452223")</f>
        <v>POLJO-PROM, VL. ZLATKO KRIŽANIĆ, HRAŠĆE TUROPOLJSKO, KRIŽANIĆI 27, 10020 ZAGREB-NOVI ZAGREB, OIB: 22277452223</v>
      </c>
      <c r="H2243" s="4"/>
      <c r="I2243" s="1" t="s">
        <v>293</v>
      </c>
      <c r="J2243" s="1" t="s">
        <v>45</v>
      </c>
      <c r="K2243" s="6" t="str">
        <f>"300.000,00"</f>
        <v>300.000,00</v>
      </c>
      <c r="L2243" s="6" t="str">
        <f>"75.000,00"</f>
        <v>75.000,00</v>
      </c>
      <c r="M2243" s="6" t="str">
        <f>"375.000,00"</f>
        <v>375.000,00</v>
      </c>
      <c r="N2243" s="5">
        <v>43711</v>
      </c>
      <c r="O2243" s="7"/>
      <c r="P2243" s="6" t="str">
        <f>"407.400,00"</f>
        <v>407.400,00</v>
      </c>
      <c r="Q2243" s="7"/>
      <c r="R2243" s="1"/>
      <c r="S2243" s="1" t="str">
        <f>"1-19/NOS-59-Z/18"</f>
        <v>1-19/NOS-59-Z/18</v>
      </c>
      <c r="T2243" s="2" t="s">
        <v>33</v>
      </c>
    </row>
    <row r="2244" spans="1:20" ht="51" x14ac:dyDescent="0.25">
      <c r="A2244" s="1">
        <v>2240</v>
      </c>
      <c r="B2244" s="1" t="str">
        <f>"2018-2822"</f>
        <v>2018-2822</v>
      </c>
      <c r="C2244" s="2" t="s">
        <v>1171</v>
      </c>
      <c r="D2244" s="1" t="s">
        <v>369</v>
      </c>
      <c r="E2244" s="3" t="str">
        <f>"2018/S 0F2-0021143"</f>
        <v>2018/S 0F2-0021143</v>
      </c>
      <c r="F2244" s="2" t="s">
        <v>23</v>
      </c>
      <c r="G2244" s="2" t="str">
        <f>CONCATENATE("SIGNALGRAD D.O.O.,"," RAKITJE,"," VELEBITSKA 1,"," 10437 BESTOVJE,"," OIB: 00513519279",CHAR(10),"HELIOS HRVATSKA D.O.O.,"," RADNIČKA CESTA 173D,"," 10000 ZAGREB,"," OIB: 5192543657")</f>
        <v>SIGNALGRAD D.O.O., RAKITJE, VELEBITSKA 1, 10437 BESTOVJE, OIB: 00513519279
HELIOS HRVATSKA D.O.O., RADNIČKA CESTA 173D, 10000 ZAGREB, OIB: 5192543657</v>
      </c>
      <c r="H2244" s="4"/>
      <c r="I2244" s="1" t="s">
        <v>144</v>
      </c>
      <c r="J2244" s="1" t="s">
        <v>1172</v>
      </c>
      <c r="K2244" s="6" t="str">
        <f>"3.300.000,00"</f>
        <v>3.300.000,00</v>
      </c>
      <c r="L2244" s="6" t="str">
        <f>"825.000,00"</f>
        <v>825.000,00</v>
      </c>
      <c r="M2244" s="6" t="str">
        <f>"4.125.000,00"</f>
        <v>4.125.000,00</v>
      </c>
      <c r="N2244" s="7"/>
      <c r="O2244" s="7"/>
      <c r="P2244" s="6" t="str">
        <f>""</f>
        <v/>
      </c>
      <c r="Q2244" s="7"/>
      <c r="R2244" s="1"/>
      <c r="S2244" s="1" t="str">
        <f>"NOS-60/18"</f>
        <v>NOS-60/18</v>
      </c>
      <c r="T2244" s="2" t="s">
        <v>33</v>
      </c>
    </row>
    <row r="2245" spans="1:20" ht="25.5" x14ac:dyDescent="0.25">
      <c r="A2245" s="1">
        <v>2241</v>
      </c>
      <c r="B2245" s="1" t="str">
        <f>"2018-2822"</f>
        <v>2018-2822</v>
      </c>
      <c r="C2245" s="2" t="s">
        <v>1171</v>
      </c>
      <c r="D2245" s="1" t="s">
        <v>369</v>
      </c>
      <c r="E2245" s="3" t="str">
        <f>""</f>
        <v/>
      </c>
      <c r="F2245" s="2" t="s">
        <v>27</v>
      </c>
      <c r="G2245" s="2" t="str">
        <f>CONCATENATE("SIGNALGRAD D.O.O.,"," RAKITJE,"," VELEBITSKA 1,"," 10437 BESTOVJE,"," OIB: 00513519279")</f>
        <v>SIGNALGRAD D.O.O., RAKITJE, VELEBITSKA 1, 10437 BESTOVJE, OIB: 00513519279</v>
      </c>
      <c r="H2245" s="4"/>
      <c r="I2245" s="1" t="s">
        <v>1129</v>
      </c>
      <c r="J2245" s="1" t="s">
        <v>64</v>
      </c>
      <c r="K2245" s="6" t="str">
        <f>"355.563,60"</f>
        <v>355.563,60</v>
      </c>
      <c r="L2245" s="6" t="str">
        <f>"88.890,90"</f>
        <v>88.890,90</v>
      </c>
      <c r="M2245" s="6" t="str">
        <f>"444.454,50"</f>
        <v>444.454,50</v>
      </c>
      <c r="N2245" s="5">
        <v>43647</v>
      </c>
      <c r="O2245" s="7"/>
      <c r="P2245" s="6" t="str">
        <f>"439.125,25"</f>
        <v>439.125,25</v>
      </c>
      <c r="Q2245" s="7"/>
      <c r="R2245" s="1"/>
      <c r="S2245" s="1" t="str">
        <f>"1-18/NOS-60/18"</f>
        <v>1-18/NOS-60/18</v>
      </c>
      <c r="T2245" s="2" t="s">
        <v>33</v>
      </c>
    </row>
    <row r="2246" spans="1:20" ht="25.5" x14ac:dyDescent="0.25">
      <c r="A2246" s="1">
        <v>2242</v>
      </c>
      <c r="B2246" s="1" t="str">
        <f>"2018-2822"</f>
        <v>2018-2822</v>
      </c>
      <c r="C2246" s="2" t="s">
        <v>1171</v>
      </c>
      <c r="D2246" s="4"/>
      <c r="E2246" s="3" t="str">
        <f>""</f>
        <v/>
      </c>
      <c r="F2246" s="2" t="s">
        <v>27</v>
      </c>
      <c r="G2246" s="2" t="str">
        <f>CONCATENATE("HELIOS HRVATSKA D.O.O.,"," RADNIČKA CESTA 173D,"," 10000 ZAGREB,"," OIB: 5192543657")</f>
        <v>HELIOS HRVATSKA D.O.O., RADNIČKA CESTA 173D, 10000 ZAGREB, OIB: 5192543657</v>
      </c>
      <c r="H2246" s="4"/>
      <c r="I2246" s="1" t="s">
        <v>351</v>
      </c>
      <c r="J2246" s="1" t="s">
        <v>114</v>
      </c>
      <c r="K2246" s="6" t="str">
        <f>"327.940,00"</f>
        <v>327.940,00</v>
      </c>
      <c r="L2246" s="6" t="str">
        <f>"81.985,00"</f>
        <v>81.985,00</v>
      </c>
      <c r="M2246" s="6" t="str">
        <f>"409.925,00"</f>
        <v>409.925,00</v>
      </c>
      <c r="N2246" s="5">
        <v>43699</v>
      </c>
      <c r="O2246" s="7"/>
      <c r="P2246" s="6" t="str">
        <f>"409.675,32"</f>
        <v>409.675,32</v>
      </c>
      <c r="Q2246" s="7"/>
      <c r="R2246" s="1"/>
      <c r="S2246" s="1" t="str">
        <f>"1-19/NOS-60/18"</f>
        <v>1-19/NOS-60/18</v>
      </c>
      <c r="T2246" s="2" t="s">
        <v>33</v>
      </c>
    </row>
    <row r="2247" spans="1:20" ht="25.5" x14ac:dyDescent="0.25">
      <c r="A2247" s="1">
        <v>2243</v>
      </c>
      <c r="B2247" s="1" t="str">
        <f>"2018-2822"</f>
        <v>2018-2822</v>
      </c>
      <c r="C2247" s="2" t="s">
        <v>1171</v>
      </c>
      <c r="D2247" s="1" t="s">
        <v>369</v>
      </c>
      <c r="E2247" s="3" t="str">
        <f>""</f>
        <v/>
      </c>
      <c r="F2247" s="2" t="s">
        <v>27</v>
      </c>
      <c r="G2247" s="2" t="str">
        <f>CONCATENATE("HELIOS HRVATSKA D.O.O.,"," RADNIČKA CESTA 173D,"," 10000 ZAGREB,"," OIB: 5192543657")</f>
        <v>HELIOS HRVATSKA D.O.O., RADNIČKA CESTA 173D, 10000 ZAGREB, OIB: 5192543657</v>
      </c>
      <c r="H2247" s="4"/>
      <c r="I2247" s="1" t="s">
        <v>351</v>
      </c>
      <c r="J2247" s="1" t="s">
        <v>436</v>
      </c>
      <c r="K2247" s="6" t="str">
        <f>"16.992,44"</f>
        <v>16.992,44</v>
      </c>
      <c r="L2247" s="6" t="str">
        <f>"4.258,95"</f>
        <v>4.258,95</v>
      </c>
      <c r="M2247" s="6" t="str">
        <f>"21.294,74"</f>
        <v>21.294,74</v>
      </c>
      <c r="N2247" s="5">
        <v>43539</v>
      </c>
      <c r="O2247" s="7"/>
      <c r="P2247" s="6" t="str">
        <f>"21.294,74"</f>
        <v>21.294,74</v>
      </c>
      <c r="Q2247" s="7"/>
      <c r="R2247" s="1"/>
      <c r="S2247" s="1" t="str">
        <f>"2-19/NOS-60/18"</f>
        <v>2-19/NOS-60/18</v>
      </c>
      <c r="T2247" s="2" t="s">
        <v>33</v>
      </c>
    </row>
    <row r="2248" spans="1:20" ht="25.5" x14ac:dyDescent="0.25">
      <c r="A2248" s="1">
        <v>2244</v>
      </c>
      <c r="B2248" s="1" t="str">
        <f>"2018-2822"</f>
        <v>2018-2822</v>
      </c>
      <c r="C2248" s="2" t="s">
        <v>1171</v>
      </c>
      <c r="D2248" s="1" t="s">
        <v>369</v>
      </c>
      <c r="E2248" s="3" t="str">
        <f>""</f>
        <v/>
      </c>
      <c r="F2248" s="2" t="s">
        <v>27</v>
      </c>
      <c r="G2248" s="2" t="str">
        <f>CONCATENATE("SIGNALGRAD D.O.O.,"," RAKITJE,"," VELEBITSKA 1,"," 10437 BESTOVJE,"," OIB: 00513519279")</f>
        <v>SIGNALGRAD D.O.O., RAKITJE, VELEBITSKA 1, 10437 BESTOVJE, OIB: 00513519279</v>
      </c>
      <c r="H2248" s="4"/>
      <c r="I2248" s="1" t="s">
        <v>435</v>
      </c>
      <c r="J2248" s="1" t="s">
        <v>31</v>
      </c>
      <c r="K2248" s="6" t="str">
        <f>"27.472,50"</f>
        <v>27.472,50</v>
      </c>
      <c r="L2248" s="6" t="str">
        <f>"6.868,13"</f>
        <v>6.868,13</v>
      </c>
      <c r="M2248" s="6" t="str">
        <f>"34.340,63"</f>
        <v>34.340,63</v>
      </c>
      <c r="N2248" s="5">
        <v>43619</v>
      </c>
      <c r="O2248" s="7"/>
      <c r="P2248" s="6" t="str">
        <f>"34.340,62"</f>
        <v>34.340,62</v>
      </c>
      <c r="Q2248" s="7"/>
      <c r="R2248" s="1"/>
      <c r="S2248" s="1" t="str">
        <f>"3-19/NOS-60/18"</f>
        <v>3-19/NOS-60/18</v>
      </c>
      <c r="T2248" s="2" t="s">
        <v>33</v>
      </c>
    </row>
    <row r="2249" spans="1:20" ht="38.25" x14ac:dyDescent="0.25">
      <c r="A2249" s="1">
        <v>2245</v>
      </c>
      <c r="B2249" s="1" t="str">
        <f t="shared" ref="B2249:B2259" si="220">"2018-2825"</f>
        <v>2018-2825</v>
      </c>
      <c r="C2249" s="2" t="s">
        <v>1173</v>
      </c>
      <c r="D2249" s="1" t="s">
        <v>609</v>
      </c>
      <c r="E2249" s="3" t="str">
        <f>"2018/S 0F2-0014715"</f>
        <v>2018/S 0F2-0014715</v>
      </c>
      <c r="F2249" s="2" t="s">
        <v>23</v>
      </c>
      <c r="G2249" s="2" t="str">
        <f t="shared" ref="G2249:G2259" si="221">CONCATENATE("DOBRO RJEŠENJE D.O.O.,"," ZAVRTNICA 3,"," 10000 ZAGREB,"," OIB: 33104804103")</f>
        <v>DOBRO RJEŠENJE D.O.O., ZAVRTNICA 3, 10000 ZAGREB, OIB: 33104804103</v>
      </c>
      <c r="H2249" s="4"/>
      <c r="I2249" s="1" t="s">
        <v>144</v>
      </c>
      <c r="J2249" s="1" t="s">
        <v>1172</v>
      </c>
      <c r="K2249" s="6" t="str">
        <f>"2.500.000,00"</f>
        <v>2.500.000,00</v>
      </c>
      <c r="L2249" s="6" t="str">
        <f>"625.000,00"</f>
        <v>625.000,00</v>
      </c>
      <c r="M2249" s="6" t="str">
        <f>"3.125.000,00"</f>
        <v>3.125.000,00</v>
      </c>
      <c r="N2249" s="7"/>
      <c r="O2249" s="7"/>
      <c r="P2249" s="6" t="str">
        <f>""</f>
        <v/>
      </c>
      <c r="Q2249" s="7"/>
      <c r="R2249" s="1"/>
      <c r="S2249" s="1" t="str">
        <f>"NOS-61/18"</f>
        <v>NOS-61/18</v>
      </c>
      <c r="T2249" s="2" t="s">
        <v>33</v>
      </c>
    </row>
    <row r="2250" spans="1:20" ht="25.5" x14ac:dyDescent="0.25">
      <c r="A2250" s="1">
        <v>2246</v>
      </c>
      <c r="B2250" s="1" t="str">
        <f t="shared" si="220"/>
        <v>2018-2825</v>
      </c>
      <c r="C2250" s="2" t="s">
        <v>1173</v>
      </c>
      <c r="D2250" s="1" t="s">
        <v>609</v>
      </c>
      <c r="E2250" s="3" t="str">
        <f>""</f>
        <v/>
      </c>
      <c r="F2250" s="2" t="s">
        <v>27</v>
      </c>
      <c r="G2250" s="2" t="str">
        <f t="shared" si="221"/>
        <v>DOBRO RJEŠENJE D.O.O., ZAVRTNICA 3, 10000 ZAGREB, OIB: 33104804103</v>
      </c>
      <c r="H2250" s="4"/>
      <c r="I2250" s="1" t="s">
        <v>308</v>
      </c>
      <c r="J2250" s="1" t="s">
        <v>251</v>
      </c>
      <c r="K2250" s="6" t="str">
        <f>"97.260,33"</f>
        <v>97.260,33</v>
      </c>
      <c r="L2250" s="6" t="str">
        <f>"25.008,17"</f>
        <v>25.008,17</v>
      </c>
      <c r="M2250" s="6" t="str">
        <f>"125.040,83"</f>
        <v>125.040,83</v>
      </c>
      <c r="N2250" s="5">
        <v>43608</v>
      </c>
      <c r="O2250" s="7"/>
      <c r="P2250" s="6" t="str">
        <f>"125.040,82"</f>
        <v>125.040,82</v>
      </c>
      <c r="Q2250" s="7"/>
      <c r="R2250" s="1"/>
      <c r="S2250" s="1" t="str">
        <f>"1-19/NOS-61/18"</f>
        <v>1-19/NOS-61/18</v>
      </c>
      <c r="T2250" s="2" t="s">
        <v>33</v>
      </c>
    </row>
    <row r="2251" spans="1:20" ht="25.5" x14ac:dyDescent="0.25">
      <c r="A2251" s="1">
        <v>2247</v>
      </c>
      <c r="B2251" s="1" t="str">
        <f t="shared" si="220"/>
        <v>2018-2825</v>
      </c>
      <c r="C2251" s="2" t="s">
        <v>1173</v>
      </c>
      <c r="D2251" s="1" t="s">
        <v>609</v>
      </c>
      <c r="E2251" s="3" t="str">
        <f>""</f>
        <v/>
      </c>
      <c r="F2251" s="2" t="s">
        <v>27</v>
      </c>
      <c r="G2251" s="2" t="str">
        <f t="shared" si="221"/>
        <v>DOBRO RJEŠENJE D.O.O., ZAVRTNICA 3, 10000 ZAGREB, OIB: 33104804103</v>
      </c>
      <c r="H2251" s="4"/>
      <c r="I2251" s="1" t="s">
        <v>308</v>
      </c>
      <c r="J2251" s="1" t="s">
        <v>251</v>
      </c>
      <c r="K2251" s="6" t="str">
        <f>"2.652,00"</f>
        <v>2.652,00</v>
      </c>
      <c r="L2251" s="6" t="str">
        <f>"0,00"</f>
        <v>0,00</v>
      </c>
      <c r="M2251" s="6" t="str">
        <f>"0,00"</f>
        <v>0,00</v>
      </c>
      <c r="N2251" s="1" t="s">
        <v>117</v>
      </c>
      <c r="O2251" s="7"/>
      <c r="P2251" s="6" t="str">
        <f>"0,00"</f>
        <v>0,00</v>
      </c>
      <c r="Q2251" s="7"/>
      <c r="R2251" s="1"/>
      <c r="S2251" s="1" t="str">
        <f>"2-19/NOS-61/18"</f>
        <v>2-19/NOS-61/18</v>
      </c>
      <c r="T2251" s="2" t="s">
        <v>33</v>
      </c>
    </row>
    <row r="2252" spans="1:20" ht="25.5" x14ac:dyDescent="0.25">
      <c r="A2252" s="1">
        <v>2248</v>
      </c>
      <c r="B2252" s="1" t="str">
        <f t="shared" si="220"/>
        <v>2018-2825</v>
      </c>
      <c r="C2252" s="2" t="s">
        <v>1173</v>
      </c>
      <c r="D2252" s="1" t="s">
        <v>609</v>
      </c>
      <c r="E2252" s="3" t="str">
        <f>""</f>
        <v/>
      </c>
      <c r="F2252" s="2" t="s">
        <v>27</v>
      </c>
      <c r="G2252" s="2" t="str">
        <f t="shared" si="221"/>
        <v>DOBRO RJEŠENJE D.O.O., ZAVRTNICA 3, 10000 ZAGREB, OIB: 33104804103</v>
      </c>
      <c r="H2252" s="4"/>
      <c r="I2252" s="1" t="s">
        <v>498</v>
      </c>
      <c r="J2252" s="1" t="s">
        <v>251</v>
      </c>
      <c r="K2252" s="6" t="str">
        <f>"98.685,09"</f>
        <v>98.685,09</v>
      </c>
      <c r="L2252" s="6" t="str">
        <f>"24.705,45"</f>
        <v>24.705,45</v>
      </c>
      <c r="M2252" s="6" t="str">
        <f>"123.527,25"</f>
        <v>123.527,25</v>
      </c>
      <c r="N2252" s="5">
        <v>43552</v>
      </c>
      <c r="O2252" s="7"/>
      <c r="P2252" s="6" t="str">
        <f>"123.527,25"</f>
        <v>123.527,25</v>
      </c>
      <c r="Q2252" s="7"/>
      <c r="R2252" s="1"/>
      <c r="S2252" s="1" t="str">
        <f>"3-19/NOS-61/18"</f>
        <v>3-19/NOS-61/18</v>
      </c>
      <c r="T2252" s="2" t="s">
        <v>33</v>
      </c>
    </row>
    <row r="2253" spans="1:20" ht="25.5" x14ac:dyDescent="0.25">
      <c r="A2253" s="1">
        <v>2249</v>
      </c>
      <c r="B2253" s="1" t="str">
        <f t="shared" si="220"/>
        <v>2018-2825</v>
      </c>
      <c r="C2253" s="2" t="s">
        <v>1173</v>
      </c>
      <c r="D2253" s="1" t="s">
        <v>609</v>
      </c>
      <c r="E2253" s="3" t="str">
        <f>""</f>
        <v/>
      </c>
      <c r="F2253" s="2" t="s">
        <v>27</v>
      </c>
      <c r="G2253" s="2" t="str">
        <f t="shared" si="221"/>
        <v>DOBRO RJEŠENJE D.O.O., ZAVRTNICA 3, 10000 ZAGREB, OIB: 33104804103</v>
      </c>
      <c r="H2253" s="4"/>
      <c r="I2253" s="1" t="s">
        <v>355</v>
      </c>
      <c r="J2253" s="1" t="s">
        <v>251</v>
      </c>
      <c r="K2253" s="6" t="str">
        <f>"303.832,86"</f>
        <v>303.832,86</v>
      </c>
      <c r="L2253" s="6" t="str">
        <f>"80.599,73"</f>
        <v>80.599,73</v>
      </c>
      <c r="M2253" s="6" t="str">
        <f>"402.998,65"</f>
        <v>402.998,65</v>
      </c>
      <c r="N2253" s="5">
        <v>43594</v>
      </c>
      <c r="O2253" s="7"/>
      <c r="P2253" s="6" t="str">
        <f>"402.998,65"</f>
        <v>402.998,65</v>
      </c>
      <c r="Q2253" s="7"/>
      <c r="R2253" s="1"/>
      <c r="S2253" s="1" t="str">
        <f>"4-19/NOS-61/18"</f>
        <v>4-19/NOS-61/18</v>
      </c>
      <c r="T2253" s="2" t="s">
        <v>33</v>
      </c>
    </row>
    <row r="2254" spans="1:20" ht="25.5" x14ac:dyDescent="0.25">
      <c r="A2254" s="1">
        <v>2250</v>
      </c>
      <c r="B2254" s="1" t="str">
        <f t="shared" si="220"/>
        <v>2018-2825</v>
      </c>
      <c r="C2254" s="2" t="s">
        <v>1173</v>
      </c>
      <c r="D2254" s="1" t="s">
        <v>609</v>
      </c>
      <c r="E2254" s="3" t="str">
        <f>""</f>
        <v/>
      </c>
      <c r="F2254" s="2" t="s">
        <v>27</v>
      </c>
      <c r="G2254" s="2" t="str">
        <f t="shared" si="221"/>
        <v>DOBRO RJEŠENJE D.O.O., ZAVRTNICA 3, 10000 ZAGREB, OIB: 33104804103</v>
      </c>
      <c r="H2254" s="4"/>
      <c r="I2254" s="1" t="s">
        <v>401</v>
      </c>
      <c r="J2254" s="1" t="s">
        <v>251</v>
      </c>
      <c r="K2254" s="6" t="str">
        <f>"16.074,12"</f>
        <v>16.074,12</v>
      </c>
      <c r="L2254" s="6" t="str">
        <f>"1.842,54"</f>
        <v>1.842,54</v>
      </c>
      <c r="M2254" s="6" t="str">
        <f>"9.212,70"</f>
        <v>9.212,70</v>
      </c>
      <c r="N2254" s="5">
        <v>43605</v>
      </c>
      <c r="O2254" s="7"/>
      <c r="P2254" s="6" t="str">
        <f>"9.212,70"</f>
        <v>9.212,70</v>
      </c>
      <c r="Q2254" s="7"/>
      <c r="R2254" s="1"/>
      <c r="S2254" s="1" t="str">
        <f>"5-19/NOS-61/18"</f>
        <v>5-19/NOS-61/18</v>
      </c>
      <c r="T2254" s="2" t="s">
        <v>33</v>
      </c>
    </row>
    <row r="2255" spans="1:20" ht="25.5" x14ac:dyDescent="0.25">
      <c r="A2255" s="1">
        <v>2251</v>
      </c>
      <c r="B2255" s="1" t="str">
        <f t="shared" si="220"/>
        <v>2018-2825</v>
      </c>
      <c r="C2255" s="2" t="s">
        <v>1173</v>
      </c>
      <c r="D2255" s="1" t="s">
        <v>609</v>
      </c>
      <c r="E2255" s="3" t="str">
        <f>""</f>
        <v/>
      </c>
      <c r="F2255" s="2" t="s">
        <v>27</v>
      </c>
      <c r="G2255" s="2" t="str">
        <f t="shared" si="221"/>
        <v>DOBRO RJEŠENJE D.O.O., ZAVRTNICA 3, 10000 ZAGREB, OIB: 33104804103</v>
      </c>
      <c r="H2255" s="4"/>
      <c r="I2255" s="1" t="s">
        <v>25</v>
      </c>
      <c r="J2255" s="1" t="s">
        <v>251</v>
      </c>
      <c r="K2255" s="6" t="str">
        <f>"4.631,40"</f>
        <v>4.631,40</v>
      </c>
      <c r="L2255" s="6" t="str">
        <f>"1.157,85"</f>
        <v>1.157,85</v>
      </c>
      <c r="M2255" s="6" t="str">
        <f>"5.789,25"</f>
        <v>5.789,25</v>
      </c>
      <c r="N2255" s="5">
        <v>43608</v>
      </c>
      <c r="O2255" s="7"/>
      <c r="P2255" s="6" t="str">
        <f>"5.789,25"</f>
        <v>5.789,25</v>
      </c>
      <c r="Q2255" s="7"/>
      <c r="R2255" s="1"/>
      <c r="S2255" s="1" t="str">
        <f>"6-19/NOS-61/18"</f>
        <v>6-19/NOS-61/18</v>
      </c>
      <c r="T2255" s="2" t="s">
        <v>33</v>
      </c>
    </row>
    <row r="2256" spans="1:20" ht="25.5" x14ac:dyDescent="0.25">
      <c r="A2256" s="1">
        <v>2252</v>
      </c>
      <c r="B2256" s="1" t="str">
        <f t="shared" si="220"/>
        <v>2018-2825</v>
      </c>
      <c r="C2256" s="2" t="s">
        <v>1173</v>
      </c>
      <c r="D2256" s="1" t="s">
        <v>609</v>
      </c>
      <c r="E2256" s="3" t="str">
        <f>""</f>
        <v/>
      </c>
      <c r="F2256" s="2" t="s">
        <v>27</v>
      </c>
      <c r="G2256" s="2" t="str">
        <f t="shared" si="221"/>
        <v>DOBRO RJEŠENJE D.O.O., ZAVRTNICA 3, 10000 ZAGREB, OIB: 33104804103</v>
      </c>
      <c r="H2256" s="4"/>
      <c r="I2256" s="1" t="s">
        <v>361</v>
      </c>
      <c r="J2256" s="1" t="s">
        <v>251</v>
      </c>
      <c r="K2256" s="6" t="str">
        <f>"9.811,51"</f>
        <v>9.811,51</v>
      </c>
      <c r="L2256" s="6" t="str">
        <f>"1.493,20"</f>
        <v>1.493,20</v>
      </c>
      <c r="M2256" s="6" t="str">
        <f>"7.465,98"</f>
        <v>7.465,98</v>
      </c>
      <c r="N2256" s="5">
        <v>43623</v>
      </c>
      <c r="O2256" s="7"/>
      <c r="P2256" s="6" t="str">
        <f>"7.465,98"</f>
        <v>7.465,98</v>
      </c>
      <c r="Q2256" s="7"/>
      <c r="R2256" s="1"/>
      <c r="S2256" s="1" t="str">
        <f>"7-19/NOS-61/18"</f>
        <v>7-19/NOS-61/18</v>
      </c>
      <c r="T2256" s="2" t="s">
        <v>33</v>
      </c>
    </row>
    <row r="2257" spans="1:20" ht="25.5" x14ac:dyDescent="0.25">
      <c r="A2257" s="1">
        <v>2253</v>
      </c>
      <c r="B2257" s="1" t="str">
        <f t="shared" si="220"/>
        <v>2018-2825</v>
      </c>
      <c r="C2257" s="2" t="s">
        <v>1173</v>
      </c>
      <c r="D2257" s="1" t="s">
        <v>609</v>
      </c>
      <c r="E2257" s="3" t="str">
        <f>""</f>
        <v/>
      </c>
      <c r="F2257" s="2" t="s">
        <v>27</v>
      </c>
      <c r="G2257" s="2" t="str">
        <f t="shared" si="221"/>
        <v>DOBRO RJEŠENJE D.O.O., ZAVRTNICA 3, 10000 ZAGREB, OIB: 33104804103</v>
      </c>
      <c r="H2257" s="4"/>
      <c r="I2257" s="1" t="s">
        <v>73</v>
      </c>
      <c r="J2257" s="1" t="s">
        <v>251</v>
      </c>
      <c r="K2257" s="6" t="str">
        <f>"120.176,46"</f>
        <v>120.176,46</v>
      </c>
      <c r="L2257" s="6" t="str">
        <f>"31.879,52"</f>
        <v>31.879,52</v>
      </c>
      <c r="M2257" s="6" t="str">
        <f>"159.397,59"</f>
        <v>159.397,59</v>
      </c>
      <c r="N2257" s="5">
        <v>43629</v>
      </c>
      <c r="O2257" s="7"/>
      <c r="P2257" s="6" t="str">
        <f>"159.397,59"</f>
        <v>159.397,59</v>
      </c>
      <c r="Q2257" s="7"/>
      <c r="R2257" s="1"/>
      <c r="S2257" s="1" t="str">
        <f>"8-19/NOS-61/18"</f>
        <v>8-19/NOS-61/18</v>
      </c>
      <c r="T2257" s="2" t="s">
        <v>33</v>
      </c>
    </row>
    <row r="2258" spans="1:20" ht="25.5" x14ac:dyDescent="0.25">
      <c r="A2258" s="1">
        <v>2254</v>
      </c>
      <c r="B2258" s="1" t="str">
        <f t="shared" si="220"/>
        <v>2018-2825</v>
      </c>
      <c r="C2258" s="2" t="s">
        <v>1173</v>
      </c>
      <c r="D2258" s="1" t="s">
        <v>609</v>
      </c>
      <c r="E2258" s="3" t="str">
        <f>""</f>
        <v/>
      </c>
      <c r="F2258" s="2" t="s">
        <v>27</v>
      </c>
      <c r="G2258" s="2" t="str">
        <f t="shared" si="221"/>
        <v>DOBRO RJEŠENJE D.O.O., ZAVRTNICA 3, 10000 ZAGREB, OIB: 33104804103</v>
      </c>
      <c r="H2258" s="4"/>
      <c r="I2258" s="1" t="s">
        <v>320</v>
      </c>
      <c r="J2258" s="1" t="s">
        <v>251</v>
      </c>
      <c r="K2258" s="6" t="str">
        <f>"24.431,10"</f>
        <v>24.431,10</v>
      </c>
      <c r="L2258" s="6" t="str">
        <f>"6.107,78"</f>
        <v>6.107,78</v>
      </c>
      <c r="M2258" s="6" t="str">
        <f>"30.538,88"</f>
        <v>30.538,88</v>
      </c>
      <c r="N2258" s="5">
        <v>43622</v>
      </c>
      <c r="O2258" s="7"/>
      <c r="P2258" s="6" t="str">
        <f>"30.538,88"</f>
        <v>30.538,88</v>
      </c>
      <c r="Q2258" s="7"/>
      <c r="R2258" s="1"/>
      <c r="S2258" s="1" t="str">
        <f>"9-19/NOS-61/18"</f>
        <v>9-19/NOS-61/18</v>
      </c>
      <c r="T2258" s="2" t="s">
        <v>33</v>
      </c>
    </row>
    <row r="2259" spans="1:20" ht="25.5" x14ac:dyDescent="0.25">
      <c r="A2259" s="1">
        <v>2255</v>
      </c>
      <c r="B2259" s="1" t="str">
        <f t="shared" si="220"/>
        <v>2018-2825</v>
      </c>
      <c r="C2259" s="2" t="s">
        <v>1173</v>
      </c>
      <c r="D2259" s="1" t="s">
        <v>609</v>
      </c>
      <c r="E2259" s="3" t="str">
        <f>""</f>
        <v/>
      </c>
      <c r="F2259" s="2" t="s">
        <v>27</v>
      </c>
      <c r="G2259" s="2" t="str">
        <f t="shared" si="221"/>
        <v>DOBRO RJEŠENJE D.O.O., ZAVRTNICA 3, 10000 ZAGREB, OIB: 33104804103</v>
      </c>
      <c r="H2259" s="4"/>
      <c r="I2259" s="1" t="s">
        <v>597</v>
      </c>
      <c r="J2259" s="1" t="s">
        <v>251</v>
      </c>
      <c r="K2259" s="6" t="str">
        <f>"12.972,38"</f>
        <v>12.972,38</v>
      </c>
      <c r="L2259" s="6" t="str">
        <f>"3.243,10"</f>
        <v>3.243,10</v>
      </c>
      <c r="M2259" s="6" t="str">
        <f>"16.215,48"</f>
        <v>16.215,48</v>
      </c>
      <c r="N2259" s="5">
        <v>43629</v>
      </c>
      <c r="O2259" s="7"/>
      <c r="P2259" s="6" t="str">
        <f>"16.215,48"</f>
        <v>16.215,48</v>
      </c>
      <c r="Q2259" s="7"/>
      <c r="R2259" s="1"/>
      <c r="S2259" s="1" t="str">
        <f>"10-19/NOS-61/18"</f>
        <v>10-19/NOS-61/18</v>
      </c>
      <c r="T2259" s="2" t="s">
        <v>33</v>
      </c>
    </row>
    <row r="2260" spans="1:20" ht="38.25" x14ac:dyDescent="0.25">
      <c r="A2260" s="1">
        <v>2256</v>
      </c>
      <c r="B2260" s="1" t="str">
        <f t="shared" ref="B2260:B2270" si="222">"2018-1978"</f>
        <v>2018-1978</v>
      </c>
      <c r="C2260" s="2" t="s">
        <v>1174</v>
      </c>
      <c r="D2260" s="1" t="s">
        <v>1175</v>
      </c>
      <c r="E2260" s="3" t="str">
        <f>"2018/S 0F2-0023372"</f>
        <v>2018/S 0F2-0023372</v>
      </c>
      <c r="F2260" s="2" t="s">
        <v>23</v>
      </c>
      <c r="G2260" s="2" t="str">
        <f>CONCATENATE("SELMET D.O.O.,"," OIB: 25531283613")</f>
        <v>SELMET D.O.O., OIB: 25531283613</v>
      </c>
      <c r="H2260" s="4"/>
      <c r="I2260" s="1" t="s">
        <v>344</v>
      </c>
      <c r="J2260" s="1" t="s">
        <v>1176</v>
      </c>
      <c r="K2260" s="6" t="str">
        <f>"4.800.000,00"</f>
        <v>4.800.000,00</v>
      </c>
      <c r="L2260" s="6" t="str">
        <f>"1.200.000,00"</f>
        <v>1.200.000,00</v>
      </c>
      <c r="M2260" s="6" t="str">
        <f>"6.000.000,00"</f>
        <v>6.000.000,00</v>
      </c>
      <c r="N2260" s="7"/>
      <c r="O2260" s="7"/>
      <c r="P2260" s="6" t="str">
        <f>""</f>
        <v/>
      </c>
      <c r="Q2260" s="7"/>
      <c r="R2260" s="1"/>
      <c r="S2260" s="1" t="str">
        <f>"NOS-62-A/18"</f>
        <v>NOS-62-A/18</v>
      </c>
      <c r="T2260" s="2" t="s">
        <v>33</v>
      </c>
    </row>
    <row r="2261" spans="1:20" ht="38.25" x14ac:dyDescent="0.25">
      <c r="A2261" s="1">
        <v>2257</v>
      </c>
      <c r="B2261" s="1" t="str">
        <f t="shared" si="222"/>
        <v>2018-1978</v>
      </c>
      <c r="C2261" s="2" t="s">
        <v>1174</v>
      </c>
      <c r="D2261" s="1" t="s">
        <v>1175</v>
      </c>
      <c r="E2261" s="3" t="str">
        <f>"2018/S 0F2-0023372"</f>
        <v>2018/S 0F2-0023372</v>
      </c>
      <c r="F2261" s="2" t="s">
        <v>23</v>
      </c>
      <c r="G2261" s="2" t="str">
        <f>CONCATENATE("ECO MOBILE D.O.O.,"," OIB: 4515751372")</f>
        <v>ECO MOBILE D.O.O., OIB: 4515751372</v>
      </c>
      <c r="H2261" s="4"/>
      <c r="I2261" s="1" t="s">
        <v>344</v>
      </c>
      <c r="J2261" s="1" t="s">
        <v>1176</v>
      </c>
      <c r="K2261" s="6" t="str">
        <f>"3.200.000,00"</f>
        <v>3.200.000,00</v>
      </c>
      <c r="L2261" s="6" t="str">
        <f>"800.000,00"</f>
        <v>800.000,00</v>
      </c>
      <c r="M2261" s="6" t="str">
        <f>"4.000.000,00"</f>
        <v>4.000.000,00</v>
      </c>
      <c r="N2261" s="7"/>
      <c r="O2261" s="7"/>
      <c r="P2261" s="6" t="str">
        <f>""</f>
        <v/>
      </c>
      <c r="Q2261" s="7"/>
      <c r="R2261" s="1"/>
      <c r="S2261" s="1" t="str">
        <f>"NOS-62-B/18"</f>
        <v>NOS-62-B/18</v>
      </c>
      <c r="T2261" s="2" t="s">
        <v>33</v>
      </c>
    </row>
    <row r="2262" spans="1:20" ht="38.25" x14ac:dyDescent="0.25">
      <c r="A2262" s="1">
        <v>2258</v>
      </c>
      <c r="B2262" s="1" t="str">
        <f t="shared" si="222"/>
        <v>2018-1978</v>
      </c>
      <c r="C2262" s="2" t="s">
        <v>1174</v>
      </c>
      <c r="D2262" s="1" t="s">
        <v>1175</v>
      </c>
      <c r="E2262" s="3" t="str">
        <f>"2018/S 0F2-0023372"</f>
        <v>2018/S 0F2-0023372</v>
      </c>
      <c r="F2262" s="2" t="s">
        <v>23</v>
      </c>
      <c r="G2262" s="2" t="str">
        <f>CONCATENATE("COMPING D.O.O.,"," HEINZELOVA 70,"," 10000 ZAGREB,"," OIB: 09201087238",CHAR(10),"ECO MOBILE D.O.O.,"," OIB: 4515751372")</f>
        <v>COMPING D.O.O., HEINZELOVA 70, 10000 ZAGREB, OIB: 09201087238
ECO MOBILE D.O.O., OIB: 4515751372</v>
      </c>
      <c r="H2262" s="4"/>
      <c r="I2262" s="1" t="s">
        <v>204</v>
      </c>
      <c r="J2262" s="1" t="s">
        <v>1177</v>
      </c>
      <c r="K2262" s="6" t="str">
        <f>"28.000.000,00"</f>
        <v>28.000.000,00</v>
      </c>
      <c r="L2262" s="6" t="str">
        <f>"7.000.000,00"</f>
        <v>7.000.000,00</v>
      </c>
      <c r="M2262" s="6" t="str">
        <f>"35.000.000,00"</f>
        <v>35.000.000,00</v>
      </c>
      <c r="N2262" s="7"/>
      <c r="O2262" s="7"/>
      <c r="P2262" s="6" t="str">
        <f>""</f>
        <v/>
      </c>
      <c r="Q2262" s="7"/>
      <c r="R2262" s="1"/>
      <c r="S2262" s="1" t="str">
        <f>"NOS-62-C/18"</f>
        <v>NOS-62-C/18</v>
      </c>
      <c r="T2262" s="2" t="s">
        <v>33</v>
      </c>
    </row>
    <row r="2263" spans="1:20" ht="25.5" x14ac:dyDescent="0.25">
      <c r="A2263" s="1">
        <v>2259</v>
      </c>
      <c r="B2263" s="1" t="str">
        <f t="shared" si="222"/>
        <v>2018-1978</v>
      </c>
      <c r="C2263" s="2" t="s">
        <v>1174</v>
      </c>
      <c r="D2263" s="4"/>
      <c r="E2263" s="3" t="str">
        <f>""</f>
        <v/>
      </c>
      <c r="F2263" s="2" t="s">
        <v>27</v>
      </c>
      <c r="G2263" s="2" t="str">
        <f>CONCATENATE("ECO MOBILE D.O.O.,"," OIB: 4515751372")</f>
        <v>ECO MOBILE D.O.O., OIB: 4515751372</v>
      </c>
      <c r="H2263" s="4"/>
      <c r="I2263" s="1" t="s">
        <v>25</v>
      </c>
      <c r="J2263" s="1" t="s">
        <v>1178</v>
      </c>
      <c r="K2263" s="6" t="str">
        <f>"9.905.600,00"</f>
        <v>9.905.600,00</v>
      </c>
      <c r="L2263" s="6" t="str">
        <f>"2.476.400,00"</f>
        <v>2.476.400,00</v>
      </c>
      <c r="M2263" s="6" t="str">
        <f>"12.382.000,00"</f>
        <v>12.382.000,00</v>
      </c>
      <c r="N2263" s="5">
        <v>43678</v>
      </c>
      <c r="O2263" s="7"/>
      <c r="P2263" s="6" t="str">
        <f>"8.903.125,00"</f>
        <v>8.903.125,00</v>
      </c>
      <c r="Q2263" s="7"/>
      <c r="R2263" s="1"/>
      <c r="S2263" s="1" t="str">
        <f>"1-19/NOS-62-C/18"</f>
        <v>1-19/NOS-62-C/18</v>
      </c>
      <c r="T2263" s="2" t="s">
        <v>33</v>
      </c>
    </row>
    <row r="2264" spans="1:20" ht="38.25" x14ac:dyDescent="0.25">
      <c r="A2264" s="1">
        <v>2260</v>
      </c>
      <c r="B2264" s="1" t="str">
        <f t="shared" si="222"/>
        <v>2018-1978</v>
      </c>
      <c r="C2264" s="2" t="s">
        <v>1174</v>
      </c>
      <c r="D2264" s="1" t="s">
        <v>1175</v>
      </c>
      <c r="E2264" s="3" t="str">
        <f>"2018/S 0F2-0023372"</f>
        <v>2018/S 0F2-0023372</v>
      </c>
      <c r="F2264" s="2" t="s">
        <v>23</v>
      </c>
      <c r="G2264" s="2" t="str">
        <f>CONCATENATE("ECO MOBILE D.O.O.,"," OIB: 4515751372")</f>
        <v>ECO MOBILE D.O.O., OIB: 4515751372</v>
      </c>
      <c r="H2264" s="4"/>
      <c r="I2264" s="1" t="s">
        <v>257</v>
      </c>
      <c r="J2264" s="1" t="s">
        <v>1179</v>
      </c>
      <c r="K2264" s="6" t="str">
        <f>"500.000,00"</f>
        <v>500.000,00</v>
      </c>
      <c r="L2264" s="6" t="str">
        <f>"125.000,00"</f>
        <v>125.000,00</v>
      </c>
      <c r="M2264" s="6" t="str">
        <f>"625.000,00"</f>
        <v>625.000,00</v>
      </c>
      <c r="N2264" s="7"/>
      <c r="O2264" s="7"/>
      <c r="P2264" s="6" t="str">
        <f>""</f>
        <v/>
      </c>
      <c r="Q2264" s="7"/>
      <c r="R2264" s="1"/>
      <c r="S2264" s="1" t="str">
        <f>"NOS-62-D/18"</f>
        <v>NOS-62-D/18</v>
      </c>
      <c r="T2264" s="2" t="s">
        <v>33</v>
      </c>
    </row>
    <row r="2265" spans="1:20" ht="25.5" x14ac:dyDescent="0.25">
      <c r="A2265" s="1">
        <v>2261</v>
      </c>
      <c r="B2265" s="1" t="str">
        <f t="shared" si="222"/>
        <v>2018-1978</v>
      </c>
      <c r="C2265" s="2" t="s">
        <v>1174</v>
      </c>
      <c r="D2265" s="1" t="s">
        <v>1175</v>
      </c>
      <c r="E2265" s="3" t="str">
        <f>""</f>
        <v/>
      </c>
      <c r="F2265" s="2" t="s">
        <v>27</v>
      </c>
      <c r="G2265" s="2" t="str">
        <f>CONCATENATE("ECO MOBILE D.O.O.,"," OIB: 4515751372")</f>
        <v>ECO MOBILE D.O.O., OIB: 4515751372</v>
      </c>
      <c r="H2265" s="4"/>
      <c r="I2265" s="1" t="s">
        <v>322</v>
      </c>
      <c r="J2265" s="1" t="s">
        <v>827</v>
      </c>
      <c r="K2265" s="6" t="str">
        <f>"498.500,00"</f>
        <v>498.500,00</v>
      </c>
      <c r="L2265" s="6" t="str">
        <f>"124.625,00"</f>
        <v>124.625,00</v>
      </c>
      <c r="M2265" s="6" t="str">
        <f>"623.125,00"</f>
        <v>623.125,00</v>
      </c>
      <c r="N2265" s="5">
        <v>43612</v>
      </c>
      <c r="O2265" s="7"/>
      <c r="P2265" s="6" t="str">
        <f>"623.125,00"</f>
        <v>623.125,00</v>
      </c>
      <c r="Q2265" s="7"/>
      <c r="R2265" s="1"/>
      <c r="S2265" s="1" t="str">
        <f>"1-19/NOS-62-D/18"</f>
        <v>1-19/NOS-62-D/18</v>
      </c>
      <c r="T2265" s="2" t="s">
        <v>33</v>
      </c>
    </row>
    <row r="2266" spans="1:20" ht="38.25" x14ac:dyDescent="0.25">
      <c r="A2266" s="1">
        <v>2262</v>
      </c>
      <c r="B2266" s="1" t="str">
        <f t="shared" si="222"/>
        <v>2018-1978</v>
      </c>
      <c r="C2266" s="2" t="s">
        <v>1174</v>
      </c>
      <c r="D2266" s="1" t="s">
        <v>1175</v>
      </c>
      <c r="E2266" s="3" t="str">
        <f>"2018/S 0F2-0023372"</f>
        <v>2018/S 0F2-0023372</v>
      </c>
      <c r="F2266" s="2" t="s">
        <v>23</v>
      </c>
      <c r="G2266" s="2" t="str">
        <f>CONCATENATE("VAGE D.O.O.,"," KOLEDOVČINA 2A,"," 10000 ZAGREB,"," OIB: 30335873024")</f>
        <v>VAGE D.O.O., KOLEDOVČINA 2A, 10000 ZAGREB, OIB: 30335873024</v>
      </c>
      <c r="H2266" s="4"/>
      <c r="I2266" s="1" t="s">
        <v>322</v>
      </c>
      <c r="J2266" s="1" t="s">
        <v>1180</v>
      </c>
      <c r="K2266" s="6" t="str">
        <f>"500.000,00"</f>
        <v>500.000,00</v>
      </c>
      <c r="L2266" s="6" t="str">
        <f>"125.000,00"</f>
        <v>125.000,00</v>
      </c>
      <c r="M2266" s="6" t="str">
        <f>"625.000,00"</f>
        <v>625.000,00</v>
      </c>
      <c r="N2266" s="7"/>
      <c r="O2266" s="7"/>
      <c r="P2266" s="6" t="str">
        <f>""</f>
        <v/>
      </c>
      <c r="Q2266" s="7"/>
      <c r="R2266" s="1"/>
      <c r="S2266" s="1" t="str">
        <f>"NOS-62-E/18"</f>
        <v>NOS-62-E/18</v>
      </c>
      <c r="T2266" s="2" t="s">
        <v>33</v>
      </c>
    </row>
    <row r="2267" spans="1:20" ht="25.5" x14ac:dyDescent="0.25">
      <c r="A2267" s="1">
        <v>2263</v>
      </c>
      <c r="B2267" s="1" t="str">
        <f t="shared" si="222"/>
        <v>2018-1978</v>
      </c>
      <c r="C2267" s="2" t="s">
        <v>1174</v>
      </c>
      <c r="D2267" s="4"/>
      <c r="E2267" s="3" t="str">
        <f>""</f>
        <v/>
      </c>
      <c r="F2267" s="2" t="s">
        <v>27</v>
      </c>
      <c r="G2267" s="2" t="str">
        <f>CONCATENATE("VAGE D.O.O.,"," KOLEDOVČINA 2A,"," 10000 ZAGREB,"," OIB: 30335873024")</f>
        <v>VAGE D.O.O., KOLEDOVČINA 2A, 10000 ZAGREB, OIB: 30335873024</v>
      </c>
      <c r="H2267" s="4"/>
      <c r="I2267" s="1" t="s">
        <v>374</v>
      </c>
      <c r="J2267" s="1" t="s">
        <v>619</v>
      </c>
      <c r="K2267" s="6" t="str">
        <f>"214.500,00"</f>
        <v>214.500,00</v>
      </c>
      <c r="L2267" s="6" t="str">
        <f>"53.625,00"</f>
        <v>53.625,00</v>
      </c>
      <c r="M2267" s="6" t="str">
        <f>"268.125,00"</f>
        <v>268.125,00</v>
      </c>
      <c r="N2267" s="1" t="s">
        <v>117</v>
      </c>
      <c r="O2267" s="7"/>
      <c r="P2267" s="6" t="str">
        <f>""</f>
        <v/>
      </c>
      <c r="Q2267" s="7"/>
      <c r="R2267" s="1"/>
      <c r="S2267" s="1" t="str">
        <f>"1-19/NOS-62-E/18"</f>
        <v>1-19/NOS-62-E/18</v>
      </c>
      <c r="T2267" s="2" t="s">
        <v>33</v>
      </c>
    </row>
    <row r="2268" spans="1:20" ht="38.25" x14ac:dyDescent="0.25">
      <c r="A2268" s="1">
        <v>2264</v>
      </c>
      <c r="B2268" s="1" t="str">
        <f t="shared" si="222"/>
        <v>2018-1978</v>
      </c>
      <c r="C2268" s="2" t="s">
        <v>1174</v>
      </c>
      <c r="D2268" s="1" t="s">
        <v>1175</v>
      </c>
      <c r="E2268" s="3" t="str">
        <f>"2018/S 0F2-0023372"</f>
        <v>2018/S 0F2-0023372</v>
      </c>
      <c r="F2268" s="2" t="s">
        <v>23</v>
      </c>
      <c r="G2268" s="2" t="str">
        <f>CONCATENATE("HT D.D.,"," OIB: 8179314656")</f>
        <v>HT D.D., OIB: 8179314656</v>
      </c>
      <c r="H2268" s="4"/>
      <c r="I2268" s="1" t="s">
        <v>344</v>
      </c>
      <c r="J2268" s="1" t="s">
        <v>1176</v>
      </c>
      <c r="K2268" s="6" t="str">
        <f>"4.200.000,00"</f>
        <v>4.200.000,00</v>
      </c>
      <c r="L2268" s="6" t="str">
        <f>"1.050.000,00"</f>
        <v>1.050.000,00</v>
      </c>
      <c r="M2268" s="6" t="str">
        <f>"5.250.000,00"</f>
        <v>5.250.000,00</v>
      </c>
      <c r="N2268" s="7"/>
      <c r="O2268" s="7"/>
      <c r="P2268" s="6" t="str">
        <f>""</f>
        <v/>
      </c>
      <c r="Q2268" s="7"/>
      <c r="R2268" s="1"/>
      <c r="S2268" s="1" t="str">
        <f>"NOS-62-F/18"</f>
        <v>NOS-62-F/18</v>
      </c>
      <c r="T2268" s="2" t="s">
        <v>33</v>
      </c>
    </row>
    <row r="2269" spans="1:20" ht="38.25" x14ac:dyDescent="0.25">
      <c r="A2269" s="1">
        <v>2265</v>
      </c>
      <c r="B2269" s="1" t="str">
        <f t="shared" si="222"/>
        <v>2018-1978</v>
      </c>
      <c r="C2269" s="2" t="s">
        <v>1174</v>
      </c>
      <c r="D2269" s="1" t="s">
        <v>1175</v>
      </c>
      <c r="E2269" s="3" t="str">
        <f>"2018/S 0F2-0023372"</f>
        <v>2018/S 0F2-0023372</v>
      </c>
      <c r="F2269" s="2" t="s">
        <v>23</v>
      </c>
      <c r="G2269" s="2" t="str">
        <f>CONCATENATE("OMEGA SOFTWARE D.O.O.,"," KAMENARKA 37,"," 10010 ZAGREB-SLOBOŠTINA,"," OIB: 40102169932")</f>
        <v>OMEGA SOFTWARE D.O.O., KAMENARKA 37, 10010 ZAGREB-SLOBOŠTINA, OIB: 40102169932</v>
      </c>
      <c r="H2269" s="4"/>
      <c r="I2269" s="1" t="s">
        <v>241</v>
      </c>
      <c r="J2269" s="1" t="s">
        <v>1181</v>
      </c>
      <c r="K2269" s="6" t="str">
        <f>"5.800.000,00"</f>
        <v>5.800.000,00</v>
      </c>
      <c r="L2269" s="6" t="str">
        <f>"1.450.000,00"</f>
        <v>1.450.000,00</v>
      </c>
      <c r="M2269" s="6" t="str">
        <f>"7.250.000,00"</f>
        <v>7.250.000,00</v>
      </c>
      <c r="N2269" s="7"/>
      <c r="O2269" s="7"/>
      <c r="P2269" s="6" t="str">
        <f>""</f>
        <v/>
      </c>
      <c r="Q2269" s="7"/>
      <c r="R2269" s="1"/>
      <c r="S2269" s="1" t="str">
        <f>"NOS-62-G/18"</f>
        <v>NOS-62-G/18</v>
      </c>
      <c r="T2269" s="2" t="s">
        <v>33</v>
      </c>
    </row>
    <row r="2270" spans="1:20" ht="38.25" x14ac:dyDescent="0.25">
      <c r="A2270" s="1">
        <v>2266</v>
      </c>
      <c r="B2270" s="1" t="str">
        <f t="shared" si="222"/>
        <v>2018-1978</v>
      </c>
      <c r="C2270" s="2" t="s">
        <v>1174</v>
      </c>
      <c r="D2270" s="4"/>
      <c r="E2270" s="3" t="str">
        <f>""</f>
        <v/>
      </c>
      <c r="F2270" s="2" t="s">
        <v>27</v>
      </c>
      <c r="G2270" s="2" t="str">
        <f>CONCATENATE("OMEGA SOFTWARE D.O.O.,"," KAMENARKA 37,"," 10010 ZAGREB-SLOBOŠTINA,"," OIB: 40102169932")</f>
        <v>OMEGA SOFTWARE D.O.O., KAMENARKA 37, 10010 ZAGREB-SLOBOŠTINA, OIB: 40102169932</v>
      </c>
      <c r="H2270" s="4"/>
      <c r="I2270" s="1" t="s">
        <v>329</v>
      </c>
      <c r="J2270" s="1" t="s">
        <v>28</v>
      </c>
      <c r="K2270" s="6" t="str">
        <f>"4.378.000,00"</f>
        <v>4.378.000,00</v>
      </c>
      <c r="L2270" s="6" t="str">
        <f>"1.094.500,00"</f>
        <v>1.094.500,00</v>
      </c>
      <c r="M2270" s="6" t="str">
        <f>"5.472.500,00"</f>
        <v>5.472.500,00</v>
      </c>
      <c r="N2270" s="5">
        <v>43672</v>
      </c>
      <c r="O2270" s="7"/>
      <c r="P2270" s="6" t="str">
        <f>"1.203.950,00"</f>
        <v>1.203.950,00</v>
      </c>
      <c r="Q2270" s="7"/>
      <c r="R2270" s="1"/>
      <c r="S2270" s="1" t="str">
        <f>"1-19/NOS-62-G/18"</f>
        <v>1-19/NOS-62-G/18</v>
      </c>
      <c r="T2270" s="2" t="s">
        <v>33</v>
      </c>
    </row>
    <row r="2271" spans="1:20" ht="38.25" x14ac:dyDescent="0.25">
      <c r="A2271" s="1">
        <v>2267</v>
      </c>
      <c r="B2271" s="1" t="str">
        <f t="shared" ref="B2271:B2286" si="223">"2018-3049"</f>
        <v>2018-3049</v>
      </c>
      <c r="C2271" s="2" t="s">
        <v>1182</v>
      </c>
      <c r="D2271" s="1" t="s">
        <v>1097</v>
      </c>
      <c r="E2271" s="3" t="str">
        <f>"2018/S 0F2-0024455"</f>
        <v>2018/S 0F2-0024455</v>
      </c>
      <c r="F2271" s="2" t="s">
        <v>23</v>
      </c>
      <c r="G2271" s="2" t="str">
        <f t="shared" ref="G2271:G2286" si="224">CONCATENATE("PREHRAMBENA INDUSTRIJA VINDIJA D.D.,"," MEĐIMURSKA 6,"," 42000 VARAŽDIN,"," OIB: 44138062462")</f>
        <v>PREHRAMBENA INDUSTRIJA VINDIJA D.D., MEĐIMURSKA 6, 42000 VARAŽDIN, OIB: 44138062462</v>
      </c>
      <c r="H2271" s="4"/>
      <c r="I2271" s="1" t="s">
        <v>929</v>
      </c>
      <c r="J2271" s="1" t="s">
        <v>1183</v>
      </c>
      <c r="K2271" s="6" t="str">
        <f>"300.000,00"</f>
        <v>300.000,00</v>
      </c>
      <c r="L2271" s="6" t="str">
        <f>"75.000,00"</f>
        <v>75.000,00</v>
      </c>
      <c r="M2271" s="6" t="str">
        <f>"375.000,00"</f>
        <v>375.000,00</v>
      </c>
      <c r="N2271" s="7"/>
      <c r="O2271" s="7"/>
      <c r="P2271" s="6" t="str">
        <f>""</f>
        <v/>
      </c>
      <c r="Q2271" s="7"/>
      <c r="R2271" s="1"/>
      <c r="S2271" s="1" t="str">
        <f>"NOS-63-A/18"</f>
        <v>NOS-63-A/18</v>
      </c>
      <c r="T2271" s="2" t="s">
        <v>26</v>
      </c>
    </row>
    <row r="2272" spans="1:20" ht="38.25" x14ac:dyDescent="0.25">
      <c r="A2272" s="1">
        <v>2268</v>
      </c>
      <c r="B2272" s="1" t="str">
        <f t="shared" si="223"/>
        <v>2018-3049</v>
      </c>
      <c r="C2272" s="2" t="s">
        <v>1182</v>
      </c>
      <c r="D2272" s="4"/>
      <c r="E2272" s="3" t="str">
        <f>""</f>
        <v/>
      </c>
      <c r="F2272" s="2" t="s">
        <v>27</v>
      </c>
      <c r="G2272" s="2" t="str">
        <f t="shared" si="224"/>
        <v>PREHRAMBENA INDUSTRIJA VINDIJA D.D., MEĐIMURSKA 6, 42000 VARAŽDIN, OIB: 44138062462</v>
      </c>
      <c r="H2272" s="4"/>
      <c r="I2272" s="1" t="s">
        <v>204</v>
      </c>
      <c r="J2272" s="1" t="s">
        <v>64</v>
      </c>
      <c r="K2272" s="6" t="str">
        <f>"29.897,50"</f>
        <v>29.897,50</v>
      </c>
      <c r="L2272" s="6" t="str">
        <f>"7.474,38"</f>
        <v>7.474,38</v>
      </c>
      <c r="M2272" s="6" t="str">
        <f>"37.371,88"</f>
        <v>37.371,88</v>
      </c>
      <c r="N2272" s="5">
        <v>43595</v>
      </c>
      <c r="O2272" s="7"/>
      <c r="P2272" s="6" t="str">
        <f>"35.662,35"</f>
        <v>35.662,35</v>
      </c>
      <c r="Q2272" s="7"/>
      <c r="R2272" s="1"/>
      <c r="S2272" s="1" t="str">
        <f>"1-19/NOS-63-A/18"</f>
        <v>1-19/NOS-63-A/18</v>
      </c>
      <c r="T2272" s="2" t="s">
        <v>33</v>
      </c>
    </row>
    <row r="2273" spans="1:20" ht="38.25" x14ac:dyDescent="0.25">
      <c r="A2273" s="1">
        <v>2269</v>
      </c>
      <c r="B2273" s="1" t="str">
        <f t="shared" si="223"/>
        <v>2018-3049</v>
      </c>
      <c r="C2273" s="2" t="s">
        <v>1182</v>
      </c>
      <c r="D2273" s="4"/>
      <c r="E2273" s="3" t="str">
        <f>""</f>
        <v/>
      </c>
      <c r="F2273" s="2" t="s">
        <v>27</v>
      </c>
      <c r="G2273" s="2" t="str">
        <f t="shared" si="224"/>
        <v>PREHRAMBENA INDUSTRIJA VINDIJA D.D., MEĐIMURSKA 6, 42000 VARAŽDIN, OIB: 44138062462</v>
      </c>
      <c r="H2273" s="4"/>
      <c r="I2273" s="1" t="s">
        <v>402</v>
      </c>
      <c r="J2273" s="1" t="s">
        <v>619</v>
      </c>
      <c r="K2273" s="6" t="str">
        <f>"169.750,00"</f>
        <v>169.750,00</v>
      </c>
      <c r="L2273" s="6" t="str">
        <f>"42.437,50"</f>
        <v>42.437,50</v>
      </c>
      <c r="M2273" s="6" t="str">
        <f>"212.187,50"</f>
        <v>212.187,50</v>
      </c>
      <c r="N2273" s="5">
        <v>43651</v>
      </c>
      <c r="O2273" s="7"/>
      <c r="P2273" s="6" t="str">
        <f>"34.465,89"</f>
        <v>34.465,89</v>
      </c>
      <c r="Q2273" s="7"/>
      <c r="R2273" s="1"/>
      <c r="S2273" s="1" t="str">
        <f>"2-19/NOS-63-A/18"</f>
        <v>2-19/NOS-63-A/18</v>
      </c>
      <c r="T2273" s="2" t="s">
        <v>33</v>
      </c>
    </row>
    <row r="2274" spans="1:20" ht="38.25" x14ac:dyDescent="0.25">
      <c r="A2274" s="1">
        <v>2270</v>
      </c>
      <c r="B2274" s="1" t="str">
        <f t="shared" si="223"/>
        <v>2018-3049</v>
      </c>
      <c r="C2274" s="2" t="s">
        <v>1182</v>
      </c>
      <c r="D2274" s="1" t="s">
        <v>1097</v>
      </c>
      <c r="E2274" s="3" t="str">
        <f>"2018/S 0F2-0024455"</f>
        <v>2018/S 0F2-0024455</v>
      </c>
      <c r="F2274" s="2" t="s">
        <v>23</v>
      </c>
      <c r="G2274" s="2" t="str">
        <f t="shared" si="224"/>
        <v>PREHRAMBENA INDUSTRIJA VINDIJA D.D., MEĐIMURSKA 6, 42000 VARAŽDIN, OIB: 44138062462</v>
      </c>
      <c r="H2274" s="4"/>
      <c r="I2274" s="1" t="s">
        <v>929</v>
      </c>
      <c r="J2274" s="1" t="s">
        <v>1183</v>
      </c>
      <c r="K2274" s="6" t="str">
        <f>"660.000,00"</f>
        <v>660.000,00</v>
      </c>
      <c r="L2274" s="6" t="str">
        <f>"165.000,00"</f>
        <v>165.000,00</v>
      </c>
      <c r="M2274" s="6" t="str">
        <f>"825.000,00"</f>
        <v>825.000,00</v>
      </c>
      <c r="N2274" s="7"/>
      <c r="O2274" s="7"/>
      <c r="P2274" s="6" t="str">
        <f>""</f>
        <v/>
      </c>
      <c r="Q2274" s="7"/>
      <c r="R2274" s="1"/>
      <c r="S2274" s="1" t="str">
        <f>"NOS-63-B/18"</f>
        <v>NOS-63-B/18</v>
      </c>
      <c r="T2274" s="2" t="s">
        <v>26</v>
      </c>
    </row>
    <row r="2275" spans="1:20" ht="38.25" x14ac:dyDescent="0.25">
      <c r="A2275" s="1">
        <v>2271</v>
      </c>
      <c r="B2275" s="1" t="str">
        <f t="shared" si="223"/>
        <v>2018-3049</v>
      </c>
      <c r="C2275" s="2" t="s">
        <v>1182</v>
      </c>
      <c r="D2275" s="4"/>
      <c r="E2275" s="3" t="str">
        <f>""</f>
        <v/>
      </c>
      <c r="F2275" s="2" t="s">
        <v>27</v>
      </c>
      <c r="G2275" s="2" t="str">
        <f t="shared" si="224"/>
        <v>PREHRAMBENA INDUSTRIJA VINDIJA D.D., MEĐIMURSKA 6, 42000 VARAŽDIN, OIB: 44138062462</v>
      </c>
      <c r="H2275" s="4"/>
      <c r="I2275" s="1" t="s">
        <v>204</v>
      </c>
      <c r="J2275" s="1" t="s">
        <v>114</v>
      </c>
      <c r="K2275" s="6" t="str">
        <f>"99.310,00"</f>
        <v>99.310,00</v>
      </c>
      <c r="L2275" s="6" t="str">
        <f>"24.827,50"</f>
        <v>24.827,50</v>
      </c>
      <c r="M2275" s="6" t="str">
        <f>"124.137,50"</f>
        <v>124.137,50</v>
      </c>
      <c r="N2275" s="5">
        <v>43626</v>
      </c>
      <c r="O2275" s="7"/>
      <c r="P2275" s="6" t="str">
        <f>"121.833,20"</f>
        <v>121.833,20</v>
      </c>
      <c r="Q2275" s="7"/>
      <c r="R2275" s="1"/>
      <c r="S2275" s="1" t="str">
        <f>"1-19/NOS-63-B/18"</f>
        <v>1-19/NOS-63-B/18</v>
      </c>
      <c r="T2275" s="2" t="s">
        <v>33</v>
      </c>
    </row>
    <row r="2276" spans="1:20" ht="38.25" x14ac:dyDescent="0.25">
      <c r="A2276" s="1">
        <v>2272</v>
      </c>
      <c r="B2276" s="1" t="str">
        <f t="shared" si="223"/>
        <v>2018-3049</v>
      </c>
      <c r="C2276" s="2" t="s">
        <v>1182</v>
      </c>
      <c r="D2276" s="4"/>
      <c r="E2276" s="3" t="str">
        <f>""</f>
        <v/>
      </c>
      <c r="F2276" s="2" t="s">
        <v>27</v>
      </c>
      <c r="G2276" s="2" t="str">
        <f t="shared" si="224"/>
        <v>PREHRAMBENA INDUSTRIJA VINDIJA D.D., MEĐIMURSKA 6, 42000 VARAŽDIN, OIB: 44138062462</v>
      </c>
      <c r="H2276" s="4"/>
      <c r="I2276" s="1" t="s">
        <v>499</v>
      </c>
      <c r="J2276" s="1" t="s">
        <v>285</v>
      </c>
      <c r="K2276" s="6" t="str">
        <f>"39.950,00"</f>
        <v>39.950,00</v>
      </c>
      <c r="L2276" s="6" t="str">
        <f>"9.987,50"</f>
        <v>9.987,50</v>
      </c>
      <c r="M2276" s="6" t="str">
        <f>"49.937,50"</f>
        <v>49.937,50</v>
      </c>
      <c r="N2276" s="1" t="s">
        <v>117</v>
      </c>
      <c r="O2276" s="7"/>
      <c r="P2276" s="6" t="str">
        <f>""</f>
        <v/>
      </c>
      <c r="Q2276" s="7"/>
      <c r="R2276" s="1"/>
      <c r="S2276" s="1" t="str">
        <f>"2-19/NOS-63-B/18"</f>
        <v>2-19/NOS-63-B/18</v>
      </c>
      <c r="T2276" s="2" t="s">
        <v>29</v>
      </c>
    </row>
    <row r="2277" spans="1:20" ht="38.25" x14ac:dyDescent="0.25">
      <c r="A2277" s="1">
        <v>2273</v>
      </c>
      <c r="B2277" s="1" t="str">
        <f t="shared" si="223"/>
        <v>2018-3049</v>
      </c>
      <c r="C2277" s="2" t="s">
        <v>1182</v>
      </c>
      <c r="D2277" s="4"/>
      <c r="E2277" s="3" t="str">
        <f>""</f>
        <v/>
      </c>
      <c r="F2277" s="2" t="s">
        <v>27</v>
      </c>
      <c r="G2277" s="2" t="str">
        <f t="shared" si="224"/>
        <v>PREHRAMBENA INDUSTRIJA VINDIJA D.D., MEĐIMURSKA 6, 42000 VARAŽDIN, OIB: 44138062462</v>
      </c>
      <c r="H2277" s="4"/>
      <c r="I2277" s="1" t="s">
        <v>402</v>
      </c>
      <c r="J2277" s="1" t="s">
        <v>619</v>
      </c>
      <c r="K2277" s="6" t="str">
        <f>"40.940,00"</f>
        <v>40.940,00</v>
      </c>
      <c r="L2277" s="6" t="str">
        <f>"10.235,00"</f>
        <v>10.235,00</v>
      </c>
      <c r="M2277" s="6" t="str">
        <f>"51.175,00"</f>
        <v>51.175,00</v>
      </c>
      <c r="N2277" s="5">
        <v>43651</v>
      </c>
      <c r="O2277" s="7"/>
      <c r="P2277" s="6" t="str">
        <f>"9.669,06"</f>
        <v>9.669,06</v>
      </c>
      <c r="Q2277" s="7"/>
      <c r="R2277" s="1"/>
      <c r="S2277" s="1" t="str">
        <f>"3-19/NOS-63-B/18"</f>
        <v>3-19/NOS-63-B/18</v>
      </c>
      <c r="T2277" s="2" t="s">
        <v>33</v>
      </c>
    </row>
    <row r="2278" spans="1:20" ht="38.25" x14ac:dyDescent="0.25">
      <c r="A2278" s="1">
        <v>2274</v>
      </c>
      <c r="B2278" s="1" t="str">
        <f t="shared" si="223"/>
        <v>2018-3049</v>
      </c>
      <c r="C2278" s="2" t="s">
        <v>1182</v>
      </c>
      <c r="D2278" s="1" t="s">
        <v>1097</v>
      </c>
      <c r="E2278" s="3" t="str">
        <f>""</f>
        <v/>
      </c>
      <c r="F2278" s="2" t="s">
        <v>27</v>
      </c>
      <c r="G2278" s="2" t="str">
        <f t="shared" si="224"/>
        <v>PREHRAMBENA INDUSTRIJA VINDIJA D.D., MEĐIMURSKA 6, 42000 VARAŽDIN, OIB: 44138062462</v>
      </c>
      <c r="H2278" s="4"/>
      <c r="I2278" s="1" t="s">
        <v>320</v>
      </c>
      <c r="J2278" s="1" t="s">
        <v>492</v>
      </c>
      <c r="K2278" s="6" t="str">
        <f>"1.300,00"</f>
        <v>1.300,00</v>
      </c>
      <c r="L2278" s="6" t="str">
        <f>"350,27"</f>
        <v>350,27</v>
      </c>
      <c r="M2278" s="6" t="str">
        <f>"1.751,35"</f>
        <v>1.751,35</v>
      </c>
      <c r="N2278" s="5">
        <v>43626</v>
      </c>
      <c r="O2278" s="7"/>
      <c r="P2278" s="6" t="str">
        <f>"1.751,35"</f>
        <v>1.751,35</v>
      </c>
      <c r="Q2278" s="7"/>
      <c r="R2278" s="1"/>
      <c r="S2278" s="1" t="str">
        <f>"4-19/NOS-63-B/18"</f>
        <v>4-19/NOS-63-B/18</v>
      </c>
      <c r="T2278" s="2" t="s">
        <v>33</v>
      </c>
    </row>
    <row r="2279" spans="1:20" ht="38.25" x14ac:dyDescent="0.25">
      <c r="A2279" s="1">
        <v>2275</v>
      </c>
      <c r="B2279" s="1" t="str">
        <f t="shared" si="223"/>
        <v>2018-3049</v>
      </c>
      <c r="C2279" s="2" t="s">
        <v>1182</v>
      </c>
      <c r="D2279" s="1" t="s">
        <v>1097</v>
      </c>
      <c r="E2279" s="3" t="str">
        <f>""</f>
        <v/>
      </c>
      <c r="F2279" s="2" t="s">
        <v>27</v>
      </c>
      <c r="G2279" s="2" t="str">
        <f t="shared" si="224"/>
        <v>PREHRAMBENA INDUSTRIJA VINDIJA D.D., MEĐIMURSKA 6, 42000 VARAŽDIN, OIB: 44138062462</v>
      </c>
      <c r="H2279" s="4"/>
      <c r="I2279" s="1" t="s">
        <v>402</v>
      </c>
      <c r="J2279" s="1" t="s">
        <v>492</v>
      </c>
      <c r="K2279" s="6" t="str">
        <f>"1.950,00"</f>
        <v>1.950,00</v>
      </c>
      <c r="L2279" s="6" t="str">
        <f>"560,30"</f>
        <v>560,30</v>
      </c>
      <c r="M2279" s="6" t="str">
        <f>"2.801,50"</f>
        <v>2.801,50</v>
      </c>
      <c r="N2279" s="5">
        <v>43626</v>
      </c>
      <c r="O2279" s="7"/>
      <c r="P2279" s="6" t="str">
        <f>"2.801,50"</f>
        <v>2.801,50</v>
      </c>
      <c r="Q2279" s="7"/>
      <c r="R2279" s="1"/>
      <c r="S2279" s="1" t="str">
        <f>"5-19/NOS-63-B/18"</f>
        <v>5-19/NOS-63-B/18</v>
      </c>
      <c r="T2279" s="2" t="s">
        <v>33</v>
      </c>
    </row>
    <row r="2280" spans="1:20" ht="38.25" x14ac:dyDescent="0.25">
      <c r="A2280" s="1">
        <v>2276</v>
      </c>
      <c r="B2280" s="1" t="str">
        <f t="shared" si="223"/>
        <v>2018-3049</v>
      </c>
      <c r="C2280" s="2" t="s">
        <v>1182</v>
      </c>
      <c r="D2280" s="1" t="s">
        <v>1097</v>
      </c>
      <c r="E2280" s="3" t="str">
        <f>""</f>
        <v/>
      </c>
      <c r="F2280" s="2" t="s">
        <v>27</v>
      </c>
      <c r="G2280" s="2" t="str">
        <f t="shared" si="224"/>
        <v>PREHRAMBENA INDUSTRIJA VINDIJA D.D., MEĐIMURSKA 6, 42000 VARAŽDIN, OIB: 44138062462</v>
      </c>
      <c r="H2280" s="4"/>
      <c r="I2280" s="1" t="s">
        <v>597</v>
      </c>
      <c r="J2280" s="1" t="s">
        <v>242</v>
      </c>
      <c r="K2280" s="6" t="str">
        <f>"3.655,00"</f>
        <v>3.655,00</v>
      </c>
      <c r="L2280" s="6" t="str">
        <f>"919,64"</f>
        <v>919,64</v>
      </c>
      <c r="M2280" s="6" t="str">
        <f>"4.598,19"</f>
        <v>4.598,19</v>
      </c>
      <c r="N2280" s="5">
        <v>43634</v>
      </c>
      <c r="O2280" s="7"/>
      <c r="P2280" s="6" t="str">
        <f>"4.598,19"</f>
        <v>4.598,19</v>
      </c>
      <c r="Q2280" s="7"/>
      <c r="R2280" s="1"/>
      <c r="S2280" s="1" t="str">
        <f>"6-19/NOS-63-B/18"</f>
        <v>6-19/NOS-63-B/18</v>
      </c>
      <c r="T2280" s="2" t="s">
        <v>33</v>
      </c>
    </row>
    <row r="2281" spans="1:20" ht="38.25" x14ac:dyDescent="0.25">
      <c r="A2281" s="1">
        <v>2277</v>
      </c>
      <c r="B2281" s="1" t="str">
        <f t="shared" si="223"/>
        <v>2018-3049</v>
      </c>
      <c r="C2281" s="2" t="s">
        <v>1182</v>
      </c>
      <c r="D2281" s="1" t="s">
        <v>1097</v>
      </c>
      <c r="E2281" s="3" t="str">
        <f>""</f>
        <v/>
      </c>
      <c r="F2281" s="2" t="s">
        <v>27</v>
      </c>
      <c r="G2281" s="2" t="str">
        <f t="shared" si="224"/>
        <v>PREHRAMBENA INDUSTRIJA VINDIJA D.D., MEĐIMURSKA 6, 42000 VARAŽDIN, OIB: 44138062462</v>
      </c>
      <c r="H2281" s="4"/>
      <c r="I2281" s="1" t="s">
        <v>597</v>
      </c>
      <c r="J2281" s="1" t="s">
        <v>242</v>
      </c>
      <c r="K2281" s="6" t="str">
        <f>"822,50"</f>
        <v>822,50</v>
      </c>
      <c r="L2281" s="6" t="str">
        <f>"176,04"</f>
        <v>176,04</v>
      </c>
      <c r="M2281" s="6" t="str">
        <f>"880,19"</f>
        <v>880,19</v>
      </c>
      <c r="N2281" s="5">
        <v>43634</v>
      </c>
      <c r="O2281" s="7"/>
      <c r="P2281" s="6" t="str">
        <f>"880,19"</f>
        <v>880,19</v>
      </c>
      <c r="Q2281" s="7"/>
      <c r="R2281" s="1"/>
      <c r="S2281" s="1" t="str">
        <f>"7-19/NOS-63-B/18"</f>
        <v>7-19/NOS-63-B/18</v>
      </c>
      <c r="T2281" s="2" t="s">
        <v>33</v>
      </c>
    </row>
    <row r="2282" spans="1:20" ht="38.25" x14ac:dyDescent="0.25">
      <c r="A2282" s="1">
        <v>2278</v>
      </c>
      <c r="B2282" s="1" t="str">
        <f t="shared" si="223"/>
        <v>2018-3049</v>
      </c>
      <c r="C2282" s="2" t="s">
        <v>1182</v>
      </c>
      <c r="D2282" s="1" t="s">
        <v>1097</v>
      </c>
      <c r="E2282" s="3" t="str">
        <f>""</f>
        <v/>
      </c>
      <c r="F2282" s="2" t="s">
        <v>27</v>
      </c>
      <c r="G2282" s="2" t="str">
        <f t="shared" si="224"/>
        <v>PREHRAMBENA INDUSTRIJA VINDIJA D.D., MEĐIMURSKA 6, 42000 VARAŽDIN, OIB: 44138062462</v>
      </c>
      <c r="H2282" s="4"/>
      <c r="I2282" s="1" t="s">
        <v>628</v>
      </c>
      <c r="J2282" s="1" t="s">
        <v>492</v>
      </c>
      <c r="K2282" s="6" t="str">
        <f>"2.600,00"</f>
        <v>2.600,00</v>
      </c>
      <c r="L2282" s="6" t="str">
        <f>"702,57"</f>
        <v>702,57</v>
      </c>
      <c r="M2282" s="6" t="str">
        <f>"3.512,85"</f>
        <v>3.512,85</v>
      </c>
      <c r="N2282" s="5">
        <v>43631</v>
      </c>
      <c r="O2282" s="7"/>
      <c r="P2282" s="6" t="str">
        <f>"3.512,85"</f>
        <v>3.512,85</v>
      </c>
      <c r="Q2282" s="7"/>
      <c r="R2282" s="1"/>
      <c r="S2282" s="1" t="str">
        <f>"8-19/NOS-63-B/18"</f>
        <v>8-19/NOS-63-B/18</v>
      </c>
      <c r="T2282" s="2" t="s">
        <v>33</v>
      </c>
    </row>
    <row r="2283" spans="1:20" ht="38.25" x14ac:dyDescent="0.25">
      <c r="A2283" s="1">
        <v>2279</v>
      </c>
      <c r="B2283" s="1" t="str">
        <f t="shared" si="223"/>
        <v>2018-3049</v>
      </c>
      <c r="C2283" s="2" t="s">
        <v>1182</v>
      </c>
      <c r="D2283" s="1" t="s">
        <v>1097</v>
      </c>
      <c r="E2283" s="3" t="str">
        <f>""</f>
        <v/>
      </c>
      <c r="F2283" s="2" t="s">
        <v>27</v>
      </c>
      <c r="G2283" s="2" t="str">
        <f t="shared" si="224"/>
        <v>PREHRAMBENA INDUSTRIJA VINDIJA D.D., MEĐIMURSKA 6, 42000 VARAŽDIN, OIB: 44138062462</v>
      </c>
      <c r="H2283" s="4"/>
      <c r="I2283" s="1" t="s">
        <v>628</v>
      </c>
      <c r="J2283" s="1" t="s">
        <v>492</v>
      </c>
      <c r="K2283" s="6" t="str">
        <f>"1.950,00"</f>
        <v>1.950,00</v>
      </c>
      <c r="L2283" s="6" t="str">
        <f>"465,48"</f>
        <v>465,48</v>
      </c>
      <c r="M2283" s="6" t="str">
        <f>"2.327,41"</f>
        <v>2.327,41</v>
      </c>
      <c r="N2283" s="5">
        <v>43631</v>
      </c>
      <c r="O2283" s="7"/>
      <c r="P2283" s="6" t="str">
        <f>"2.327,41"</f>
        <v>2.327,41</v>
      </c>
      <c r="Q2283" s="7"/>
      <c r="R2283" s="1"/>
      <c r="S2283" s="1" t="str">
        <f>"9-19/NOS-63-B/18"</f>
        <v>9-19/NOS-63-B/18</v>
      </c>
      <c r="T2283" s="2" t="s">
        <v>33</v>
      </c>
    </row>
    <row r="2284" spans="1:20" ht="38.25" x14ac:dyDescent="0.25">
      <c r="A2284" s="1">
        <v>2280</v>
      </c>
      <c r="B2284" s="1" t="str">
        <f t="shared" si="223"/>
        <v>2018-3049</v>
      </c>
      <c r="C2284" s="2" t="s">
        <v>1182</v>
      </c>
      <c r="D2284" s="1" t="s">
        <v>1097</v>
      </c>
      <c r="E2284" s="3" t="str">
        <f>""</f>
        <v/>
      </c>
      <c r="F2284" s="2" t="s">
        <v>27</v>
      </c>
      <c r="G2284" s="2" t="str">
        <f t="shared" si="224"/>
        <v>PREHRAMBENA INDUSTRIJA VINDIJA D.D., MEĐIMURSKA 6, 42000 VARAŽDIN, OIB: 44138062462</v>
      </c>
      <c r="H2284" s="4"/>
      <c r="I2284" s="1" t="s">
        <v>424</v>
      </c>
      <c r="J2284" s="1" t="s">
        <v>47</v>
      </c>
      <c r="K2284" s="6" t="str">
        <f>"210,00"</f>
        <v>210,00</v>
      </c>
      <c r="L2284" s="6" t="str">
        <f>"53,10"</f>
        <v>53,10</v>
      </c>
      <c r="M2284" s="6" t="str">
        <f>"265,48"</f>
        <v>265,48</v>
      </c>
      <c r="N2284" s="5">
        <v>43649</v>
      </c>
      <c r="O2284" s="7"/>
      <c r="P2284" s="6" t="str">
        <f>"265,48"</f>
        <v>265,48</v>
      </c>
      <c r="Q2284" s="7"/>
      <c r="R2284" s="1"/>
      <c r="S2284" s="1" t="str">
        <f>"10-19/NOS-63-B/18"</f>
        <v>10-19/NOS-63-B/18</v>
      </c>
      <c r="T2284" s="2" t="s">
        <v>33</v>
      </c>
    </row>
    <row r="2285" spans="1:20" ht="38.25" x14ac:dyDescent="0.25">
      <c r="A2285" s="1">
        <v>2281</v>
      </c>
      <c r="B2285" s="1" t="str">
        <f t="shared" si="223"/>
        <v>2018-3049</v>
      </c>
      <c r="C2285" s="2" t="s">
        <v>1182</v>
      </c>
      <c r="D2285" s="1" t="s">
        <v>1097</v>
      </c>
      <c r="E2285" s="3" t="str">
        <f>""</f>
        <v/>
      </c>
      <c r="F2285" s="2" t="s">
        <v>27</v>
      </c>
      <c r="G2285" s="2" t="str">
        <f t="shared" si="224"/>
        <v>PREHRAMBENA INDUSTRIJA VINDIJA D.D., MEĐIMURSKA 6, 42000 VARAŽDIN, OIB: 44138062462</v>
      </c>
      <c r="H2285" s="4"/>
      <c r="I2285" s="1" t="s">
        <v>396</v>
      </c>
      <c r="J2285" s="1" t="s">
        <v>242</v>
      </c>
      <c r="K2285" s="6" t="str">
        <f>"280,00"</f>
        <v>280,00</v>
      </c>
      <c r="L2285" s="6" t="str">
        <f>"63,70"</f>
        <v>63,70</v>
      </c>
      <c r="M2285" s="6" t="str">
        <f>"318,50"</f>
        <v>318,50</v>
      </c>
      <c r="N2285" s="5">
        <v>43648</v>
      </c>
      <c r="O2285" s="7"/>
      <c r="P2285" s="6" t="str">
        <f>"318,50"</f>
        <v>318,50</v>
      </c>
      <c r="Q2285" s="7"/>
      <c r="R2285" s="1"/>
      <c r="S2285" s="1" t="str">
        <f>"12-19/NOS-63-B/18"</f>
        <v>12-19/NOS-63-B/18</v>
      </c>
      <c r="T2285" s="2" t="s">
        <v>33</v>
      </c>
    </row>
    <row r="2286" spans="1:20" ht="38.25" x14ac:dyDescent="0.25">
      <c r="A2286" s="1">
        <v>2282</v>
      </c>
      <c r="B2286" s="1" t="str">
        <f t="shared" si="223"/>
        <v>2018-3049</v>
      </c>
      <c r="C2286" s="2" t="s">
        <v>1182</v>
      </c>
      <c r="D2286" s="1" t="s">
        <v>1097</v>
      </c>
      <c r="E2286" s="3" t="str">
        <f>""</f>
        <v/>
      </c>
      <c r="F2286" s="2" t="s">
        <v>27</v>
      </c>
      <c r="G2286" s="2" t="str">
        <f t="shared" si="224"/>
        <v>PREHRAMBENA INDUSTRIJA VINDIJA D.D., MEĐIMURSKA 6, 42000 VARAŽDIN, OIB: 44138062462</v>
      </c>
      <c r="H2286" s="4"/>
      <c r="I2286" s="1" t="s">
        <v>396</v>
      </c>
      <c r="J2286" s="1" t="s">
        <v>242</v>
      </c>
      <c r="K2286" s="6" t="str">
        <f>"140,00"</f>
        <v>140,00</v>
      </c>
      <c r="L2286" s="6" t="str">
        <f>"63,63"</f>
        <v>63,63</v>
      </c>
      <c r="M2286" s="6" t="str">
        <f>"318,15"</f>
        <v>318,15</v>
      </c>
      <c r="N2286" s="5">
        <v>43648</v>
      </c>
      <c r="O2286" s="7"/>
      <c r="P2286" s="6" t="str">
        <f>"318,15"</f>
        <v>318,15</v>
      </c>
      <c r="Q2286" s="7"/>
      <c r="R2286" s="1"/>
      <c r="S2286" s="1" t="str">
        <f>"13-19/NOS-63-B/18"</f>
        <v>13-19/NOS-63-B/18</v>
      </c>
      <c r="T2286" s="2" t="s">
        <v>33</v>
      </c>
    </row>
    <row r="2287" spans="1:20" ht="38.25" x14ac:dyDescent="0.25">
      <c r="A2287" s="1">
        <v>2283</v>
      </c>
      <c r="B2287" s="1" t="str">
        <f>"2018-2813"</f>
        <v>2018-2813</v>
      </c>
      <c r="C2287" s="2" t="s">
        <v>1184</v>
      </c>
      <c r="D2287" s="1" t="s">
        <v>1185</v>
      </c>
      <c r="E2287" s="3" t="str">
        <f>"2018/S 0F2-0026996"</f>
        <v>2018/S 0F2-0026996</v>
      </c>
      <c r="F2287" s="2" t="s">
        <v>23</v>
      </c>
      <c r="G2287" s="2" t="str">
        <f>CONCATENATE("VIS PROMOTEX D.O.O.,"," ADOLFA WISSERTA 3/A,"," 42000 VARAŽDIN,"," OIB: 9721332065")</f>
        <v>VIS PROMOTEX D.O.O., ADOLFA WISSERTA 3/A, 42000 VARAŽDIN, OIB: 9721332065</v>
      </c>
      <c r="H2287" s="4"/>
      <c r="I2287" s="1" t="s">
        <v>182</v>
      </c>
      <c r="J2287" s="1" t="s">
        <v>1186</v>
      </c>
      <c r="K2287" s="6" t="str">
        <f>"1.000.000,00"</f>
        <v>1.000.000,00</v>
      </c>
      <c r="L2287" s="6" t="str">
        <f>"250.000,00"</f>
        <v>250.000,00</v>
      </c>
      <c r="M2287" s="6" t="str">
        <f>"1.250.000,00"</f>
        <v>1.250.000,00</v>
      </c>
      <c r="N2287" s="7"/>
      <c r="O2287" s="7"/>
      <c r="P2287" s="6" t="str">
        <f>""</f>
        <v/>
      </c>
      <c r="Q2287" s="7"/>
      <c r="R2287" s="1"/>
      <c r="S2287" s="1" t="str">
        <f>"NOS-64/18"</f>
        <v>NOS-64/18</v>
      </c>
      <c r="T2287" s="2" t="s">
        <v>33</v>
      </c>
    </row>
    <row r="2288" spans="1:20" ht="25.5" x14ac:dyDescent="0.25">
      <c r="A2288" s="1">
        <v>2284</v>
      </c>
      <c r="B2288" s="1" t="str">
        <f>"2018-2813"</f>
        <v>2018-2813</v>
      </c>
      <c r="C2288" s="2" t="s">
        <v>1184</v>
      </c>
      <c r="D2288" s="1" t="s">
        <v>1185</v>
      </c>
      <c r="E2288" s="3" t="str">
        <f>""</f>
        <v/>
      </c>
      <c r="F2288" s="2" t="s">
        <v>27</v>
      </c>
      <c r="G2288" s="2" t="str">
        <f>CONCATENATE("VIS PROMOTEX D.O.O.,"," ADOLFA WISSERTA 3/A,"," 42000 VARAŽDIN,"," OIB: 9721332065")</f>
        <v>VIS PROMOTEX D.O.O., ADOLFA WISSERTA 3/A, 42000 VARAŽDIN, OIB: 9721332065</v>
      </c>
      <c r="H2288" s="4"/>
      <c r="I2288" s="1" t="s">
        <v>597</v>
      </c>
      <c r="J2288" s="1" t="s">
        <v>436</v>
      </c>
      <c r="K2288" s="6" t="str">
        <f>"449.950,00"</f>
        <v>449.950,00</v>
      </c>
      <c r="L2288" s="6" t="str">
        <f>"112.487,50"</f>
        <v>112.487,50</v>
      </c>
      <c r="M2288" s="6" t="str">
        <f>"562.437,50"</f>
        <v>562.437,50</v>
      </c>
      <c r="N2288" s="5">
        <v>43658</v>
      </c>
      <c r="O2288" s="7"/>
      <c r="P2288" s="6" t="str">
        <f>"562.437,50"</f>
        <v>562.437,50</v>
      </c>
      <c r="Q2288" s="7"/>
      <c r="R2288" s="1"/>
      <c r="S2288" s="1" t="str">
        <f>"1-19/NOS-64/18"</f>
        <v>1-19/NOS-64/18</v>
      </c>
      <c r="T2288" s="2" t="s">
        <v>33</v>
      </c>
    </row>
    <row r="2289" spans="1:20" ht="38.25" x14ac:dyDescent="0.25">
      <c r="A2289" s="1">
        <v>2285</v>
      </c>
      <c r="B2289" s="1" t="str">
        <f t="shared" ref="B2289:B2299" si="225">"2018-2827"</f>
        <v>2018-2827</v>
      </c>
      <c r="C2289" s="2" t="s">
        <v>1187</v>
      </c>
      <c r="D2289" s="1" t="s">
        <v>223</v>
      </c>
      <c r="E2289" s="3" t="str">
        <f>"2018/S 0F2-0026706"</f>
        <v>2018/S 0F2-0026706</v>
      </c>
      <c r="F2289" s="2" t="s">
        <v>23</v>
      </c>
      <c r="G2289" s="2" t="str">
        <f t="shared" ref="G2289:G2299" si="226">CONCATENATE("SEKOM D.O.O.,"," PALINOVEČKA 27,"," 10000 ZAGREB,"," OIB: 28813486193")</f>
        <v>SEKOM D.O.O., PALINOVEČKA 27, 10000 ZAGREB, OIB: 28813486193</v>
      </c>
      <c r="H2289" s="4"/>
      <c r="I2289" s="1" t="s">
        <v>261</v>
      </c>
      <c r="J2289" s="1" t="s">
        <v>1188</v>
      </c>
      <c r="K2289" s="6" t="str">
        <f>"1.400.000,00"</f>
        <v>1.400.000,00</v>
      </c>
      <c r="L2289" s="6" t="str">
        <f>"350.000,00"</f>
        <v>350.000,00</v>
      </c>
      <c r="M2289" s="6" t="str">
        <f>"1.750.000,00"</f>
        <v>1.750.000,00</v>
      </c>
      <c r="N2289" s="7"/>
      <c r="O2289" s="7"/>
      <c r="P2289" s="6" t="str">
        <f>""</f>
        <v/>
      </c>
      <c r="Q2289" s="7"/>
      <c r="R2289" s="1"/>
      <c r="S2289" s="1" t="str">
        <f>"NOS-65/18"</f>
        <v>NOS-65/18</v>
      </c>
      <c r="T2289" s="2" t="s">
        <v>33</v>
      </c>
    </row>
    <row r="2290" spans="1:20" ht="25.5" x14ac:dyDescent="0.25">
      <c r="A2290" s="1">
        <v>2286</v>
      </c>
      <c r="B2290" s="1" t="str">
        <f t="shared" si="225"/>
        <v>2018-2827</v>
      </c>
      <c r="C2290" s="2" t="s">
        <v>1187</v>
      </c>
      <c r="D2290" s="1" t="s">
        <v>223</v>
      </c>
      <c r="E2290" s="3" t="str">
        <f>""</f>
        <v/>
      </c>
      <c r="F2290" s="2" t="s">
        <v>27</v>
      </c>
      <c r="G2290" s="2" t="str">
        <f t="shared" si="226"/>
        <v>SEKOM D.O.O., PALINOVEČKA 27, 10000 ZAGREB, OIB: 28813486193</v>
      </c>
      <c r="H2290" s="4"/>
      <c r="I2290" s="1" t="s">
        <v>479</v>
      </c>
      <c r="J2290" s="1" t="s">
        <v>251</v>
      </c>
      <c r="K2290" s="6" t="str">
        <f>"49.200,00"</f>
        <v>49.200,00</v>
      </c>
      <c r="L2290" s="6" t="str">
        <f>"12.300,00"</f>
        <v>12.300,00</v>
      </c>
      <c r="M2290" s="6" t="str">
        <f>"61.500,00"</f>
        <v>61.500,00</v>
      </c>
      <c r="N2290" s="5">
        <v>43523</v>
      </c>
      <c r="O2290" s="7"/>
      <c r="P2290" s="6" t="str">
        <f>"61.500,00"</f>
        <v>61.500,00</v>
      </c>
      <c r="Q2290" s="7"/>
      <c r="R2290" s="1"/>
      <c r="S2290" s="1" t="str">
        <f>"1-19/NOS-65/18"</f>
        <v>1-19/NOS-65/18</v>
      </c>
      <c r="T2290" s="2" t="s">
        <v>33</v>
      </c>
    </row>
    <row r="2291" spans="1:20" ht="25.5" x14ac:dyDescent="0.25">
      <c r="A2291" s="1">
        <v>2287</v>
      </c>
      <c r="B2291" s="1" t="str">
        <f t="shared" si="225"/>
        <v>2018-2827</v>
      </c>
      <c r="C2291" s="2" t="s">
        <v>1187</v>
      </c>
      <c r="D2291" s="1" t="s">
        <v>223</v>
      </c>
      <c r="E2291" s="3" t="str">
        <f>""</f>
        <v/>
      </c>
      <c r="F2291" s="2" t="s">
        <v>27</v>
      </c>
      <c r="G2291" s="2" t="str">
        <f t="shared" si="226"/>
        <v>SEKOM D.O.O., PALINOVEČKA 27, 10000 ZAGREB, OIB: 28813486193</v>
      </c>
      <c r="H2291" s="4"/>
      <c r="I2291" s="1" t="s">
        <v>479</v>
      </c>
      <c r="J2291" s="1" t="s">
        <v>31</v>
      </c>
      <c r="K2291" s="6" t="str">
        <f>"39.000,00"</f>
        <v>39.000,00</v>
      </c>
      <c r="L2291" s="6" t="str">
        <f>"9.750,00"</f>
        <v>9.750,00</v>
      </c>
      <c r="M2291" s="6" t="str">
        <f>"48.750,00"</f>
        <v>48.750,00</v>
      </c>
      <c r="N2291" s="5">
        <v>43523</v>
      </c>
      <c r="O2291" s="7"/>
      <c r="P2291" s="6" t="str">
        <f>"48.750,00"</f>
        <v>48.750,00</v>
      </c>
      <c r="Q2291" s="7"/>
      <c r="R2291" s="1"/>
      <c r="S2291" s="1" t="str">
        <f>"2-19/NOS-65/18"</f>
        <v>2-19/NOS-65/18</v>
      </c>
      <c r="T2291" s="2" t="s">
        <v>33</v>
      </c>
    </row>
    <row r="2292" spans="1:20" ht="25.5" x14ac:dyDescent="0.25">
      <c r="A2292" s="1">
        <v>2288</v>
      </c>
      <c r="B2292" s="1" t="str">
        <f t="shared" si="225"/>
        <v>2018-2827</v>
      </c>
      <c r="C2292" s="2" t="s">
        <v>1187</v>
      </c>
      <c r="D2292" s="1" t="s">
        <v>223</v>
      </c>
      <c r="E2292" s="3" t="str">
        <f>""</f>
        <v/>
      </c>
      <c r="F2292" s="2" t="s">
        <v>27</v>
      </c>
      <c r="G2292" s="2" t="str">
        <f t="shared" si="226"/>
        <v>SEKOM D.O.O., PALINOVEČKA 27, 10000 ZAGREB, OIB: 28813486193</v>
      </c>
      <c r="H2292" s="4"/>
      <c r="I2292" s="1" t="s">
        <v>670</v>
      </c>
      <c r="J2292" s="1" t="s">
        <v>251</v>
      </c>
      <c r="K2292" s="6" t="str">
        <f>"24.600,00"</f>
        <v>24.600,00</v>
      </c>
      <c r="L2292" s="6" t="str">
        <f>"6.150,00"</f>
        <v>6.150,00</v>
      </c>
      <c r="M2292" s="6" t="str">
        <f>"30.750,00"</f>
        <v>30.750,00</v>
      </c>
      <c r="N2292" s="5">
        <v>43536</v>
      </c>
      <c r="O2292" s="7"/>
      <c r="P2292" s="6" t="str">
        <f>"30.750,00"</f>
        <v>30.750,00</v>
      </c>
      <c r="Q2292" s="7"/>
      <c r="R2292" s="1"/>
      <c r="S2292" s="1" t="str">
        <f>"3-19/NOS-65/18"</f>
        <v>3-19/NOS-65/18</v>
      </c>
      <c r="T2292" s="2" t="s">
        <v>33</v>
      </c>
    </row>
    <row r="2293" spans="1:20" ht="25.5" x14ac:dyDescent="0.25">
      <c r="A2293" s="1">
        <v>2289</v>
      </c>
      <c r="B2293" s="1" t="str">
        <f t="shared" si="225"/>
        <v>2018-2827</v>
      </c>
      <c r="C2293" s="2" t="s">
        <v>1187</v>
      </c>
      <c r="D2293" s="1" t="s">
        <v>223</v>
      </c>
      <c r="E2293" s="3" t="str">
        <f>""</f>
        <v/>
      </c>
      <c r="F2293" s="2" t="s">
        <v>27</v>
      </c>
      <c r="G2293" s="2" t="str">
        <f t="shared" si="226"/>
        <v>SEKOM D.O.O., PALINOVEČKA 27, 10000 ZAGREB, OIB: 28813486193</v>
      </c>
      <c r="H2293" s="4"/>
      <c r="I2293" s="1" t="s">
        <v>423</v>
      </c>
      <c r="J2293" s="1" t="s">
        <v>31</v>
      </c>
      <c r="K2293" s="6" t="str">
        <f>"18.950,00"</f>
        <v>18.950,00</v>
      </c>
      <c r="L2293" s="6" t="str">
        <f>"4.737,50"</f>
        <v>4.737,50</v>
      </c>
      <c r="M2293" s="6" t="str">
        <f>"23.687,50"</f>
        <v>23.687,50</v>
      </c>
      <c r="N2293" s="5">
        <v>43539</v>
      </c>
      <c r="O2293" s="7"/>
      <c r="P2293" s="6" t="str">
        <f>"23.687,50"</f>
        <v>23.687,50</v>
      </c>
      <c r="Q2293" s="7"/>
      <c r="R2293" s="1"/>
      <c r="S2293" s="1" t="str">
        <f>"4-19/NOS-65/18"</f>
        <v>4-19/NOS-65/18</v>
      </c>
      <c r="T2293" s="2" t="s">
        <v>33</v>
      </c>
    </row>
    <row r="2294" spans="1:20" ht="25.5" x14ac:dyDescent="0.25">
      <c r="A2294" s="1">
        <v>2290</v>
      </c>
      <c r="B2294" s="1" t="str">
        <f t="shared" si="225"/>
        <v>2018-2827</v>
      </c>
      <c r="C2294" s="2" t="s">
        <v>1187</v>
      </c>
      <c r="D2294" s="1" t="s">
        <v>223</v>
      </c>
      <c r="E2294" s="3" t="str">
        <f>""</f>
        <v/>
      </c>
      <c r="F2294" s="2" t="s">
        <v>27</v>
      </c>
      <c r="G2294" s="2" t="str">
        <f t="shared" si="226"/>
        <v>SEKOM D.O.O., PALINOVEČKA 27, 10000 ZAGREB, OIB: 28813486193</v>
      </c>
      <c r="H2294" s="4"/>
      <c r="I2294" s="1" t="s">
        <v>343</v>
      </c>
      <c r="J2294" s="1" t="s">
        <v>251</v>
      </c>
      <c r="K2294" s="6" t="str">
        <f>"24.600,00"</f>
        <v>24.600,00</v>
      </c>
      <c r="L2294" s="6" t="str">
        <f>"6.150,00"</f>
        <v>6.150,00</v>
      </c>
      <c r="M2294" s="6" t="str">
        <f>"30.750,00"</f>
        <v>30.750,00</v>
      </c>
      <c r="N2294" s="5">
        <v>43566</v>
      </c>
      <c r="O2294" s="7"/>
      <c r="P2294" s="6" t="str">
        <f>"30.750,00"</f>
        <v>30.750,00</v>
      </c>
      <c r="Q2294" s="7"/>
      <c r="R2294" s="1"/>
      <c r="S2294" s="1" t="str">
        <f>"5-19/NOS-65/18"</f>
        <v>5-19/NOS-65/18</v>
      </c>
      <c r="T2294" s="2" t="s">
        <v>33</v>
      </c>
    </row>
    <row r="2295" spans="1:20" ht="25.5" x14ac:dyDescent="0.25">
      <c r="A2295" s="1">
        <v>2291</v>
      </c>
      <c r="B2295" s="1" t="str">
        <f t="shared" si="225"/>
        <v>2018-2827</v>
      </c>
      <c r="C2295" s="2" t="s">
        <v>1187</v>
      </c>
      <c r="D2295" s="1" t="s">
        <v>223</v>
      </c>
      <c r="E2295" s="3" t="str">
        <f>""</f>
        <v/>
      </c>
      <c r="F2295" s="2" t="s">
        <v>27</v>
      </c>
      <c r="G2295" s="2" t="str">
        <f t="shared" si="226"/>
        <v>SEKOM D.O.O., PALINOVEČKA 27, 10000 ZAGREB, OIB: 28813486193</v>
      </c>
      <c r="H2295" s="4"/>
      <c r="I2295" s="1" t="s">
        <v>498</v>
      </c>
      <c r="J2295" s="1" t="s">
        <v>31</v>
      </c>
      <c r="K2295" s="6" t="str">
        <f>"9.750,00"</f>
        <v>9.750,00</v>
      </c>
      <c r="L2295" s="6" t="str">
        <f>"2.437,50"</f>
        <v>2.437,50</v>
      </c>
      <c r="M2295" s="6" t="str">
        <f>"12.187,50"</f>
        <v>12.187,50</v>
      </c>
      <c r="N2295" s="5">
        <v>43570</v>
      </c>
      <c r="O2295" s="7"/>
      <c r="P2295" s="6" t="str">
        <f>"12.187,50"</f>
        <v>12.187,50</v>
      </c>
      <c r="Q2295" s="7"/>
      <c r="R2295" s="1"/>
      <c r="S2295" s="1" t="str">
        <f>"6-19/NOS-65/18"</f>
        <v>6-19/NOS-65/18</v>
      </c>
      <c r="T2295" s="2" t="s">
        <v>33</v>
      </c>
    </row>
    <row r="2296" spans="1:20" ht="25.5" x14ac:dyDescent="0.25">
      <c r="A2296" s="1">
        <v>2292</v>
      </c>
      <c r="B2296" s="1" t="str">
        <f t="shared" si="225"/>
        <v>2018-2827</v>
      </c>
      <c r="C2296" s="2" t="s">
        <v>1187</v>
      </c>
      <c r="D2296" s="1" t="s">
        <v>223</v>
      </c>
      <c r="E2296" s="3" t="str">
        <f>""</f>
        <v/>
      </c>
      <c r="F2296" s="2" t="s">
        <v>27</v>
      </c>
      <c r="G2296" s="2" t="str">
        <f t="shared" si="226"/>
        <v>SEKOM D.O.O., PALINOVEČKA 27, 10000 ZAGREB, OIB: 28813486193</v>
      </c>
      <c r="H2296" s="4"/>
      <c r="I2296" s="1" t="s">
        <v>464</v>
      </c>
      <c r="J2296" s="1" t="s">
        <v>251</v>
      </c>
      <c r="K2296" s="6" t="str">
        <f>"24.600,00"</f>
        <v>24.600,00</v>
      </c>
      <c r="L2296" s="6" t="str">
        <f>"6.150,00"</f>
        <v>6.150,00</v>
      </c>
      <c r="M2296" s="6" t="str">
        <f>"30.750,00"</f>
        <v>30.750,00</v>
      </c>
      <c r="N2296" s="5">
        <v>43599</v>
      </c>
      <c r="O2296" s="7"/>
      <c r="P2296" s="6" t="str">
        <f>"30.750,00"</f>
        <v>30.750,00</v>
      </c>
      <c r="Q2296" s="7"/>
      <c r="R2296" s="1"/>
      <c r="S2296" s="1" t="str">
        <f>"7-19/NOS-65/18"</f>
        <v>7-19/NOS-65/18</v>
      </c>
      <c r="T2296" s="2" t="s">
        <v>33</v>
      </c>
    </row>
    <row r="2297" spans="1:20" ht="25.5" x14ac:dyDescent="0.25">
      <c r="A2297" s="1">
        <v>2293</v>
      </c>
      <c r="B2297" s="1" t="str">
        <f t="shared" si="225"/>
        <v>2018-2827</v>
      </c>
      <c r="C2297" s="2" t="s">
        <v>1187</v>
      </c>
      <c r="D2297" s="1" t="s">
        <v>223</v>
      </c>
      <c r="E2297" s="3" t="str">
        <f>""</f>
        <v/>
      </c>
      <c r="F2297" s="2" t="s">
        <v>27</v>
      </c>
      <c r="G2297" s="2" t="str">
        <f t="shared" si="226"/>
        <v>SEKOM D.O.O., PALINOVEČKA 27, 10000 ZAGREB, OIB: 28813486193</v>
      </c>
      <c r="H2297" s="4"/>
      <c r="I2297" s="1" t="s">
        <v>641</v>
      </c>
      <c r="J2297" s="1" t="s">
        <v>242</v>
      </c>
      <c r="K2297" s="6" t="str">
        <f>"3.150,00"</f>
        <v>3.150,00</v>
      </c>
      <c r="L2297" s="6" t="str">
        <f>"787,50"</f>
        <v>787,50</v>
      </c>
      <c r="M2297" s="6" t="str">
        <f>"3.937,50"</f>
        <v>3.937,50</v>
      </c>
      <c r="N2297" s="5">
        <v>43599</v>
      </c>
      <c r="O2297" s="7"/>
      <c r="P2297" s="6" t="str">
        <f>"3.937,50"</f>
        <v>3.937,50</v>
      </c>
      <c r="Q2297" s="7"/>
      <c r="R2297" s="1"/>
      <c r="S2297" s="1" t="str">
        <f>"8-19/NOS-65/18"</f>
        <v>8-19/NOS-65/18</v>
      </c>
      <c r="T2297" s="2" t="s">
        <v>33</v>
      </c>
    </row>
    <row r="2298" spans="1:20" ht="25.5" x14ac:dyDescent="0.25">
      <c r="A2298" s="1">
        <v>2294</v>
      </c>
      <c r="B2298" s="1" t="str">
        <f t="shared" si="225"/>
        <v>2018-2827</v>
      </c>
      <c r="C2298" s="2" t="s">
        <v>1187</v>
      </c>
      <c r="D2298" s="1" t="s">
        <v>223</v>
      </c>
      <c r="E2298" s="3" t="str">
        <f>""</f>
        <v/>
      </c>
      <c r="F2298" s="2" t="s">
        <v>27</v>
      </c>
      <c r="G2298" s="2" t="str">
        <f t="shared" si="226"/>
        <v>SEKOM D.O.O., PALINOVEČKA 27, 10000 ZAGREB, OIB: 28813486193</v>
      </c>
      <c r="H2298" s="4"/>
      <c r="I2298" s="1" t="s">
        <v>641</v>
      </c>
      <c r="J2298" s="1" t="s">
        <v>31</v>
      </c>
      <c r="K2298" s="6" t="str">
        <f>"6.400,00"</f>
        <v>6.400,00</v>
      </c>
      <c r="L2298" s="6" t="str">
        <f>"1.600,00"</f>
        <v>1.600,00</v>
      </c>
      <c r="M2298" s="6" t="str">
        <f>"8.000,00"</f>
        <v>8.000,00</v>
      </c>
      <c r="N2298" s="5">
        <v>43599</v>
      </c>
      <c r="O2298" s="7"/>
      <c r="P2298" s="6" t="str">
        <f>"8.000,00"</f>
        <v>8.000,00</v>
      </c>
      <c r="Q2298" s="7"/>
      <c r="R2298" s="1"/>
      <c r="S2298" s="1" t="str">
        <f>"9-19/NOS-65/18"</f>
        <v>9-19/NOS-65/18</v>
      </c>
      <c r="T2298" s="2" t="s">
        <v>33</v>
      </c>
    </row>
    <row r="2299" spans="1:20" ht="25.5" x14ac:dyDescent="0.25">
      <c r="A2299" s="1">
        <v>2295</v>
      </c>
      <c r="B2299" s="1" t="str">
        <f t="shared" si="225"/>
        <v>2018-2827</v>
      </c>
      <c r="C2299" s="2" t="s">
        <v>1187</v>
      </c>
      <c r="D2299" s="1" t="s">
        <v>223</v>
      </c>
      <c r="E2299" s="3" t="str">
        <f>""</f>
        <v/>
      </c>
      <c r="F2299" s="2" t="s">
        <v>27</v>
      </c>
      <c r="G2299" s="2" t="str">
        <f t="shared" si="226"/>
        <v>SEKOM D.O.O., PALINOVEČKA 27, 10000 ZAGREB, OIB: 28813486193</v>
      </c>
      <c r="H2299" s="4"/>
      <c r="I2299" s="1" t="s">
        <v>414</v>
      </c>
      <c r="J2299" s="1" t="s">
        <v>121</v>
      </c>
      <c r="K2299" s="6" t="str">
        <f>"486.200,00"</f>
        <v>486.200,00</v>
      </c>
      <c r="L2299" s="6" t="str">
        <f>"47.437,50"</f>
        <v>47.437,50</v>
      </c>
      <c r="M2299" s="6" t="str">
        <f>"237.187,50"</f>
        <v>237.187,50</v>
      </c>
      <c r="N2299" s="5">
        <v>43697</v>
      </c>
      <c r="O2299" s="7"/>
      <c r="P2299" s="6" t="str">
        <f>"237.187,50"</f>
        <v>237.187,50</v>
      </c>
      <c r="Q2299" s="7"/>
      <c r="R2299" s="1"/>
      <c r="S2299" s="1" t="str">
        <f>"10-19/NOS-65/18"</f>
        <v>10-19/NOS-65/18</v>
      </c>
      <c r="T2299" s="2" t="s">
        <v>33</v>
      </c>
    </row>
    <row r="2300" spans="1:20" ht="38.25" x14ac:dyDescent="0.25">
      <c r="A2300" s="1">
        <v>2296</v>
      </c>
      <c r="B2300" s="1" t="str">
        <f>"2018-2778"</f>
        <v>2018-2778</v>
      </c>
      <c r="C2300" s="2" t="s">
        <v>1189</v>
      </c>
      <c r="D2300" s="1" t="s">
        <v>170</v>
      </c>
      <c r="E2300" s="3" t="str">
        <f>"2018/S 0F2-0021009"</f>
        <v>2018/S 0F2-0021009</v>
      </c>
      <c r="F2300" s="2" t="s">
        <v>23</v>
      </c>
      <c r="G2300" s="2" t="str">
        <f>CONCATENATE("KOMOP D.O.O.,"," KOVINSKA 21,"," 10090 ZAGREB-SUSEDGRAD,"," OIB: 34604587904")</f>
        <v>KOMOP D.O.O., KOVINSKA 21, 10090 ZAGREB-SUSEDGRAD, OIB: 34604587904</v>
      </c>
      <c r="H2300" s="4"/>
      <c r="I2300" s="1" t="s">
        <v>1063</v>
      </c>
      <c r="J2300" s="1" t="s">
        <v>1190</v>
      </c>
      <c r="K2300" s="6" t="str">
        <f>"6.000.000,00"</f>
        <v>6.000.000,00</v>
      </c>
      <c r="L2300" s="6" t="str">
        <f>"1.500.000,00"</f>
        <v>1.500.000,00</v>
      </c>
      <c r="M2300" s="6" t="str">
        <f>"7.500.000,00"</f>
        <v>7.500.000,00</v>
      </c>
      <c r="N2300" s="7"/>
      <c r="O2300" s="7"/>
      <c r="P2300" s="6" t="str">
        <f>""</f>
        <v/>
      </c>
      <c r="Q2300" s="7"/>
      <c r="R2300" s="1"/>
      <c r="S2300" s="1" t="str">
        <f>"NOS-66-A/18"</f>
        <v>NOS-66-A/18</v>
      </c>
      <c r="T2300" s="2" t="s">
        <v>33</v>
      </c>
    </row>
    <row r="2301" spans="1:20" ht="38.25" x14ac:dyDescent="0.25">
      <c r="A2301" s="1">
        <v>2297</v>
      </c>
      <c r="B2301" s="1" t="str">
        <f>"2018-2778"</f>
        <v>2018-2778</v>
      </c>
      <c r="C2301" s="2" t="s">
        <v>1189</v>
      </c>
      <c r="D2301" s="4"/>
      <c r="E2301" s="3" t="str">
        <f>""</f>
        <v/>
      </c>
      <c r="F2301" s="2" t="s">
        <v>27</v>
      </c>
      <c r="G2301" s="2" t="str">
        <f>CONCATENATE("KOMOP D.O.O.,"," KOVINSKA 21,"," 10090 ZAGREB-SUSEDGRAD,"," OIB: 34604587904")</f>
        <v>KOMOP D.O.O., KOVINSKA 21, 10090 ZAGREB-SUSEDGRAD, OIB: 34604587904</v>
      </c>
      <c r="H2301" s="4"/>
      <c r="I2301" s="1" t="s">
        <v>379</v>
      </c>
      <c r="J2301" s="1" t="s">
        <v>74</v>
      </c>
      <c r="K2301" s="6" t="str">
        <f>"425.396,16"</f>
        <v>425.396,16</v>
      </c>
      <c r="L2301" s="6" t="str">
        <f>"106.349,04"</f>
        <v>106.349,04</v>
      </c>
      <c r="M2301" s="6" t="str">
        <f>"531.745,20"</f>
        <v>531.745,20</v>
      </c>
      <c r="N2301" s="5">
        <v>43642</v>
      </c>
      <c r="O2301" s="7"/>
      <c r="P2301" s="6" t="str">
        <f>"307.327,11"</f>
        <v>307.327,11</v>
      </c>
      <c r="Q2301" s="7"/>
      <c r="R2301" s="1"/>
      <c r="S2301" s="1" t="str">
        <f>"1-18/NOS-66-A/18"</f>
        <v>1-18/NOS-66-A/18</v>
      </c>
      <c r="T2301" s="2" t="s">
        <v>33</v>
      </c>
    </row>
    <row r="2302" spans="1:20" ht="38.25" x14ac:dyDescent="0.25">
      <c r="A2302" s="1">
        <v>2298</v>
      </c>
      <c r="B2302" s="1" t="str">
        <f>"2018-2778"</f>
        <v>2018-2778</v>
      </c>
      <c r="C2302" s="2" t="s">
        <v>1189</v>
      </c>
      <c r="D2302" s="1" t="s">
        <v>170</v>
      </c>
      <c r="E2302" s="3" t="str">
        <f>"2018/S 0F2-0021009"</f>
        <v>2018/S 0F2-0021009</v>
      </c>
      <c r="F2302" s="2" t="s">
        <v>23</v>
      </c>
      <c r="G2302" s="2" t="str">
        <f>CONCATENATE("GRADATIN D.O.O.,"," LIVADARSKI PUT 19,"," 10360 SESVETE,"," OIB: 79147056526")</f>
        <v>GRADATIN D.O.O., LIVADARSKI PUT 19, 10360 SESVETE, OIB: 79147056526</v>
      </c>
      <c r="H2302" s="4"/>
      <c r="I2302" s="1" t="s">
        <v>1063</v>
      </c>
      <c r="J2302" s="1" t="s">
        <v>1190</v>
      </c>
      <c r="K2302" s="6" t="str">
        <f>"3.000.000,00"</f>
        <v>3.000.000,00</v>
      </c>
      <c r="L2302" s="6" t="str">
        <f>"750.000,00"</f>
        <v>750.000,00</v>
      </c>
      <c r="M2302" s="6" t="str">
        <f>"3.750.000,00"</f>
        <v>3.750.000,00</v>
      </c>
      <c r="N2302" s="7"/>
      <c r="O2302" s="7"/>
      <c r="P2302" s="6" t="str">
        <f>""</f>
        <v/>
      </c>
      <c r="Q2302" s="7"/>
      <c r="R2302" s="1"/>
      <c r="S2302" s="1" t="str">
        <f>"NOS-66-B/18"</f>
        <v>NOS-66-B/18</v>
      </c>
      <c r="T2302" s="2" t="s">
        <v>33</v>
      </c>
    </row>
    <row r="2303" spans="1:20" ht="38.25" x14ac:dyDescent="0.25">
      <c r="A2303" s="1">
        <v>2299</v>
      </c>
      <c r="B2303" s="1" t="str">
        <f>"2018-2778"</f>
        <v>2018-2778</v>
      </c>
      <c r="C2303" s="2" t="s">
        <v>1189</v>
      </c>
      <c r="D2303" s="4"/>
      <c r="E2303" s="3" t="str">
        <f>""</f>
        <v/>
      </c>
      <c r="F2303" s="2" t="s">
        <v>27</v>
      </c>
      <c r="G2303" s="2" t="str">
        <f>CONCATENATE("GRADATIN D.O.O.,"," LIVADARSKI PUT 19,"," 10360 SESVETE,"," OIB: 79147056526")</f>
        <v>GRADATIN D.O.O., LIVADARSKI PUT 19, 10360 SESVETE, OIB: 79147056526</v>
      </c>
      <c r="H2303" s="4"/>
      <c r="I2303" s="1" t="s">
        <v>1129</v>
      </c>
      <c r="J2303" s="1" t="s">
        <v>74</v>
      </c>
      <c r="K2303" s="6" t="str">
        <f>"224.804,40"</f>
        <v>224.804,40</v>
      </c>
      <c r="L2303" s="6" t="str">
        <f>"56.201,10"</f>
        <v>56.201,10</v>
      </c>
      <c r="M2303" s="6" t="str">
        <f>"281.005,50"</f>
        <v>281.005,50</v>
      </c>
      <c r="N2303" s="5">
        <v>43615</v>
      </c>
      <c r="O2303" s="7"/>
      <c r="P2303" s="6" t="str">
        <f>"281.004,56"</f>
        <v>281.004,56</v>
      </c>
      <c r="Q2303" s="7"/>
      <c r="R2303" s="1"/>
      <c r="S2303" s="1" t="str">
        <f>"2-18/NOS-66-B/18"</f>
        <v>2-18/NOS-66-B/18</v>
      </c>
      <c r="T2303" s="2" t="s">
        <v>33</v>
      </c>
    </row>
    <row r="2304" spans="1:20" ht="38.25" x14ac:dyDescent="0.25">
      <c r="A2304" s="1">
        <v>2300</v>
      </c>
      <c r="B2304" s="1" t="str">
        <f>"2018-2778"</f>
        <v>2018-2778</v>
      </c>
      <c r="C2304" s="2" t="s">
        <v>1189</v>
      </c>
      <c r="D2304" s="1" t="s">
        <v>170</v>
      </c>
      <c r="E2304" s="3" t="str">
        <f>""</f>
        <v/>
      </c>
      <c r="F2304" s="2" t="s">
        <v>27</v>
      </c>
      <c r="G2304" s="2" t="str">
        <f>CONCATENATE("GRADATIN D.O.O.,"," LIVADARSKI PUT 19,"," 10360 SESVETE,"," OIB: 79147056526")</f>
        <v>GRADATIN D.O.O., LIVADARSKI PUT 19, 10360 SESVETE, OIB: 79147056526</v>
      </c>
      <c r="H2304" s="4"/>
      <c r="I2304" s="1" t="s">
        <v>597</v>
      </c>
      <c r="J2304" s="1" t="s">
        <v>469</v>
      </c>
      <c r="K2304" s="6" t="str">
        <f>"58.562,90"</f>
        <v>58.562,90</v>
      </c>
      <c r="L2304" s="6" t="str">
        <f>"14.640,73"</f>
        <v>14.640,73</v>
      </c>
      <c r="M2304" s="6" t="str">
        <f>"73.203,63"</f>
        <v>73.203,63</v>
      </c>
      <c r="N2304" s="5">
        <v>43675</v>
      </c>
      <c r="O2304" s="7"/>
      <c r="P2304" s="6" t="str">
        <f>"73.203,62"</f>
        <v>73.203,62</v>
      </c>
      <c r="Q2304" s="7"/>
      <c r="R2304" s="1"/>
      <c r="S2304" s="1" t="str">
        <f>"2-19/NOS-66-B/18"</f>
        <v>2-19/NOS-66-B/18</v>
      </c>
      <c r="T2304" s="2" t="s">
        <v>33</v>
      </c>
    </row>
    <row r="2305" spans="1:20" ht="38.25" x14ac:dyDescent="0.25">
      <c r="A2305" s="1">
        <v>2301</v>
      </c>
      <c r="B2305" s="1" t="str">
        <f>"2018-2798"</f>
        <v>2018-2798</v>
      </c>
      <c r="C2305" s="2" t="s">
        <v>1191</v>
      </c>
      <c r="D2305" s="1" t="s">
        <v>239</v>
      </c>
      <c r="E2305" s="3" t="str">
        <f>"2018/S 0F2-0015847"</f>
        <v>2018/S 0F2-0015847</v>
      </c>
      <c r="F2305" s="2" t="s">
        <v>23</v>
      </c>
      <c r="G2305" s="2" t="str">
        <f>CONCATENATE("EOL GRUPA D.O.O.,"," SMIČIKLASOVA 5/C,"," 47000 KARLOVAC,"," OIB: 7109729867")</f>
        <v>EOL GRUPA D.O.O., SMIČIKLASOVA 5/C, 47000 KARLOVAC, OIB: 7109729867</v>
      </c>
      <c r="H2305" s="4"/>
      <c r="I2305" s="1" t="s">
        <v>1192</v>
      </c>
      <c r="J2305" s="1" t="s">
        <v>1193</v>
      </c>
      <c r="K2305" s="6" t="str">
        <f>"2.000.000,00"</f>
        <v>2.000.000,00</v>
      </c>
      <c r="L2305" s="6" t="str">
        <f>"500.000,00"</f>
        <v>500.000,00</v>
      </c>
      <c r="M2305" s="6" t="str">
        <f>"2.500.000,00"</f>
        <v>2.500.000,00</v>
      </c>
      <c r="N2305" s="7"/>
      <c r="O2305" s="7"/>
      <c r="P2305" s="6" t="str">
        <f>""</f>
        <v/>
      </c>
      <c r="Q2305" s="7"/>
      <c r="R2305" s="1"/>
      <c r="S2305" s="1" t="str">
        <f>"NOS-68/18"</f>
        <v>NOS-68/18</v>
      </c>
      <c r="T2305" s="2" t="s">
        <v>33</v>
      </c>
    </row>
    <row r="2306" spans="1:20" ht="38.25" x14ac:dyDescent="0.25">
      <c r="A2306" s="1">
        <v>2302</v>
      </c>
      <c r="B2306" s="1" t="str">
        <f>"2018-2798"</f>
        <v>2018-2798</v>
      </c>
      <c r="C2306" s="2" t="s">
        <v>1191</v>
      </c>
      <c r="D2306" s="1" t="s">
        <v>239</v>
      </c>
      <c r="E2306" s="3" t="str">
        <f>""</f>
        <v/>
      </c>
      <c r="F2306" s="2" t="s">
        <v>27</v>
      </c>
      <c r="G2306" s="2" t="str">
        <f>CONCATENATE("EOL GRUPA D.O.O.,"," SMIČIKLASOVA 5/C,"," 47000 KARLOVAC,"," OIB: 7109729867")</f>
        <v>EOL GRUPA D.O.O., SMIČIKLASOVA 5/C, 47000 KARLOVAC, OIB: 7109729867</v>
      </c>
      <c r="H2306" s="4"/>
      <c r="I2306" s="1" t="s">
        <v>172</v>
      </c>
      <c r="J2306" s="1" t="s">
        <v>344</v>
      </c>
      <c r="K2306" s="6" t="str">
        <f>"512.700,00"</f>
        <v>512.700,00</v>
      </c>
      <c r="L2306" s="6" t="str">
        <f>"128.175,00"</f>
        <v>128.175,00</v>
      </c>
      <c r="M2306" s="6" t="str">
        <f>"640.875,00"</f>
        <v>640.875,00</v>
      </c>
      <c r="N2306" s="5">
        <v>43677</v>
      </c>
      <c r="O2306" s="7"/>
      <c r="P2306" s="6" t="str">
        <f>"626.500,00"</f>
        <v>626.500,00</v>
      </c>
      <c r="Q2306" s="7"/>
      <c r="R2306" s="1"/>
      <c r="S2306" s="1" t="str">
        <f>"1-18/NOS-68/18"</f>
        <v>1-18/NOS-68/18</v>
      </c>
      <c r="T2306" s="2" t="s">
        <v>33</v>
      </c>
    </row>
    <row r="2307" spans="1:20" ht="38.25" x14ac:dyDescent="0.25">
      <c r="A2307" s="1">
        <v>2303</v>
      </c>
      <c r="B2307" s="1" t="str">
        <f>"2018-2798"</f>
        <v>2018-2798</v>
      </c>
      <c r="C2307" s="2" t="s">
        <v>1191</v>
      </c>
      <c r="D2307" s="1" t="s">
        <v>239</v>
      </c>
      <c r="E2307" s="3" t="str">
        <f>""</f>
        <v/>
      </c>
      <c r="F2307" s="2" t="s">
        <v>27</v>
      </c>
      <c r="G2307" s="2" t="str">
        <f>CONCATENATE("EOL GRUPA D.O.O.,"," SMIČIKLASOVA 5/C,"," 47000 KARLOVAC,"," OIB: 7109729867")</f>
        <v>EOL GRUPA D.O.O., SMIČIKLASOVA 5/C, 47000 KARLOVAC, OIB: 7109729867</v>
      </c>
      <c r="H2307" s="4"/>
      <c r="I2307" s="1" t="s">
        <v>642</v>
      </c>
      <c r="J2307" s="1" t="s">
        <v>121</v>
      </c>
      <c r="K2307" s="6" t="str">
        <f>"205.100,00"</f>
        <v>205.100,00</v>
      </c>
      <c r="L2307" s="6" t="str">
        <f>"0,00"</f>
        <v>0,00</v>
      </c>
      <c r="M2307" s="6" t="str">
        <f>"0,00"</f>
        <v>0,00</v>
      </c>
      <c r="N2307" s="1" t="s">
        <v>117</v>
      </c>
      <c r="O2307" s="7"/>
      <c r="P2307" s="6" t="str">
        <f>"0,00"</f>
        <v>0,00</v>
      </c>
      <c r="Q2307" s="7"/>
      <c r="R2307" s="1"/>
      <c r="S2307" s="1" t="str">
        <f>"1-19/NOS-68/18"</f>
        <v>1-19/NOS-68/18</v>
      </c>
      <c r="T2307" s="2" t="s">
        <v>33</v>
      </c>
    </row>
    <row r="2308" spans="1:20" ht="38.25" x14ac:dyDescent="0.25">
      <c r="A2308" s="1">
        <v>2304</v>
      </c>
      <c r="B2308" s="1" t="str">
        <f>"2018-2834"</f>
        <v>2018-2834</v>
      </c>
      <c r="C2308" s="2" t="s">
        <v>163</v>
      </c>
      <c r="D2308" s="1" t="s">
        <v>164</v>
      </c>
      <c r="E2308" s="3" t="str">
        <f>"2018/S 0F2-0016979"</f>
        <v>2018/S 0F2-0016979</v>
      </c>
      <c r="F2308" s="2" t="s">
        <v>23</v>
      </c>
      <c r="G2308" s="2" t="str">
        <f>CONCATENATE("MARGON MEDIA D.O.O.,"," KOLODVORSKA 128,"," 10410 VELIKA GORICA,"," OIB: 5373663184")</f>
        <v>MARGON MEDIA D.O.O., KOLODVORSKA 128, 10410 VELIKA GORICA, OIB: 5373663184</v>
      </c>
      <c r="H2308" s="4"/>
      <c r="I2308" s="1" t="s">
        <v>1192</v>
      </c>
      <c r="J2308" s="1" t="s">
        <v>1193</v>
      </c>
      <c r="K2308" s="6" t="str">
        <f>"845.000,00"</f>
        <v>845.000,00</v>
      </c>
      <c r="L2308" s="6" t="str">
        <f>"211.250,00"</f>
        <v>211.250,00</v>
      </c>
      <c r="M2308" s="6" t="str">
        <f>"1.056.250,00"</f>
        <v>1.056.250,00</v>
      </c>
      <c r="N2308" s="7"/>
      <c r="O2308" s="7"/>
      <c r="P2308" s="6" t="str">
        <f>""</f>
        <v/>
      </c>
      <c r="Q2308" s="7"/>
      <c r="R2308" s="1"/>
      <c r="S2308" s="1" t="str">
        <f>"NOS-69-ZGH/18"</f>
        <v>NOS-69-ZGH/18</v>
      </c>
      <c r="T2308" s="2" t="s">
        <v>167</v>
      </c>
    </row>
    <row r="2309" spans="1:20" ht="25.5" x14ac:dyDescent="0.25">
      <c r="A2309" s="1">
        <v>2305</v>
      </c>
      <c r="B2309" s="1" t="str">
        <f>"2018-2834"</f>
        <v>2018-2834</v>
      </c>
      <c r="C2309" s="2" t="s">
        <v>163</v>
      </c>
      <c r="D2309" s="1" t="s">
        <v>164</v>
      </c>
      <c r="E2309" s="3" t="str">
        <f>""</f>
        <v/>
      </c>
      <c r="F2309" s="2" t="s">
        <v>27</v>
      </c>
      <c r="G2309" s="2" t="str">
        <f>CONCATENATE("MARGON MEDIA D.O.O.,"," KOLODVORSKA 128,"," 10410 VELIKA GORICA,"," OIB: 5373663184")</f>
        <v>MARGON MEDIA D.O.O., KOLODVORSKA 128, 10410 VELIKA GORICA, OIB: 5373663184</v>
      </c>
      <c r="H2309" s="4"/>
      <c r="I2309" s="1" t="s">
        <v>44</v>
      </c>
      <c r="J2309" s="1" t="s">
        <v>285</v>
      </c>
      <c r="K2309" s="6" t="str">
        <f>"216.900,00"</f>
        <v>216.900,00</v>
      </c>
      <c r="L2309" s="6" t="str">
        <f>"54.225,00"</f>
        <v>54.225,00</v>
      </c>
      <c r="M2309" s="6" t="str">
        <f>"271.125,00"</f>
        <v>271.125,00</v>
      </c>
      <c r="N2309" s="5">
        <v>43646</v>
      </c>
      <c r="O2309" s="7"/>
      <c r="P2309" s="6" t="str">
        <f>"88.200,00"</f>
        <v>88.200,00</v>
      </c>
      <c r="Q2309" s="7"/>
      <c r="R2309" s="1"/>
      <c r="S2309" s="1" t="str">
        <f>"1-19/NOS-69-ZGH/18"</f>
        <v>1-19/NOS-69-ZGH/18</v>
      </c>
      <c r="T2309" s="2" t="s">
        <v>33</v>
      </c>
    </row>
    <row r="2310" spans="1:20" ht="76.5" x14ac:dyDescent="0.25">
      <c r="A2310" s="1">
        <v>2306</v>
      </c>
      <c r="B2310" s="1" t="str">
        <f>"2018-2694"</f>
        <v>2018-2694</v>
      </c>
      <c r="C2310" s="2" t="s">
        <v>1194</v>
      </c>
      <c r="D2310" s="1" t="s">
        <v>1195</v>
      </c>
      <c r="E2310" s="3" t="str">
        <f>"2018/S 0F2-0022922"</f>
        <v>2018/S 0F2-0022922</v>
      </c>
      <c r="F2310" s="2" t="s">
        <v>23</v>
      </c>
      <c r="G2310" s="2" t="str">
        <f>CONCATENATE("M.SOLDO D.O.O.,"," DEBANIĆEVA 39,"," 10000 ZAGREB,"," OIB: 58353605637",CHAR(10),"SIGNAL SISTEM D.O.O.,"," GRUBIŠINA 15,"," 52100 PULA,"," OIB: 92389180166",CHAR(10),"GRADNJA ČUKELJ D.O.O.,"," VJEKOSLAVA MAJERA 3,"," 10410 VELIKA GORICA,"," OIB: 51572533237")</f>
        <v>M.SOLDO D.O.O., DEBANIĆEVA 39, 10000 ZAGREB, OIB: 58353605637
SIGNAL SISTEM D.O.O., GRUBIŠINA 15, 52100 PULA, OIB: 92389180166
GRADNJA ČUKELJ D.O.O., VJEKOSLAVA MAJERA 3, 10410 VELIKA GORICA, OIB: 51572533237</v>
      </c>
      <c r="H2310" s="1" t="str">
        <f>CONCATENATE("UNIVERZAL ŽICA D.O.O.,"," OIB: 62988526948")</f>
        <v>UNIVERZAL ŽICA D.O.O., OIB: 62988526948</v>
      </c>
      <c r="I2310" s="1" t="s">
        <v>1156</v>
      </c>
      <c r="J2310" s="1" t="s">
        <v>1166</v>
      </c>
      <c r="K2310" s="6" t="str">
        <f>"13.000.000,00"</f>
        <v>13.000.000,00</v>
      </c>
      <c r="L2310" s="6" t="str">
        <f>"3.250.000,00"</f>
        <v>3.250.000,00</v>
      </c>
      <c r="M2310" s="6" t="str">
        <f>"16.250.000,00"</f>
        <v>16.250.000,00</v>
      </c>
      <c r="N2310" s="7"/>
      <c r="O2310" s="7"/>
      <c r="P2310" s="6" t="str">
        <f>""</f>
        <v/>
      </c>
      <c r="Q2310" s="7"/>
      <c r="R2310" s="1"/>
      <c r="S2310" s="1" t="str">
        <f>"NOS-70/18"</f>
        <v>NOS-70/18</v>
      </c>
      <c r="T2310" s="2" t="s">
        <v>33</v>
      </c>
    </row>
    <row r="2311" spans="1:20" ht="25.5" x14ac:dyDescent="0.25">
      <c r="A2311" s="1">
        <v>2307</v>
      </c>
      <c r="B2311" s="1" t="str">
        <f>"2018-2694"</f>
        <v>2018-2694</v>
      </c>
      <c r="C2311" s="2" t="s">
        <v>1194</v>
      </c>
      <c r="D2311" s="1" t="s">
        <v>1195</v>
      </c>
      <c r="E2311" s="3" t="str">
        <f>""</f>
        <v/>
      </c>
      <c r="F2311" s="2" t="s">
        <v>27</v>
      </c>
      <c r="G2311" s="2" t="str">
        <f>CONCATENATE("GRADNJA ČUKELJ D.O.O.,"," VJEKOSLAVA MAJERA 3,"," 10410 VELIKA GORICA,"," OIB: 51572533237")</f>
        <v>GRADNJA ČUKELJ D.O.O., VJEKOSLAVA MAJERA 3, 10410 VELIKA GORICA, OIB: 51572533237</v>
      </c>
      <c r="H2311" s="4"/>
      <c r="I2311" s="1" t="s">
        <v>263</v>
      </c>
      <c r="J2311" s="1" t="s">
        <v>114</v>
      </c>
      <c r="K2311" s="6" t="str">
        <f>"763.095,00"</f>
        <v>763.095,00</v>
      </c>
      <c r="L2311" s="6" t="str">
        <f>"190.773,75"</f>
        <v>190.773,75</v>
      </c>
      <c r="M2311" s="6" t="str">
        <f>"953.868,75"</f>
        <v>953.868,75</v>
      </c>
      <c r="N2311" s="5">
        <v>43717</v>
      </c>
      <c r="O2311" s="7"/>
      <c r="P2311" s="6" t="str">
        <f>"610.594,78"</f>
        <v>610.594,78</v>
      </c>
      <c r="Q2311" s="7"/>
      <c r="R2311" s="1"/>
      <c r="S2311" s="1" t="str">
        <f>"1-18/NOS-70/18"</f>
        <v>1-18/NOS-70/18</v>
      </c>
      <c r="T2311" s="2" t="s">
        <v>33</v>
      </c>
    </row>
    <row r="2312" spans="1:20" ht="38.25" x14ac:dyDescent="0.25">
      <c r="A2312" s="1">
        <v>2308</v>
      </c>
      <c r="B2312" s="1" t="str">
        <f>"2018-2694"</f>
        <v>2018-2694</v>
      </c>
      <c r="C2312" s="2" t="s">
        <v>1194</v>
      </c>
      <c r="D2312" s="1" t="s">
        <v>1195</v>
      </c>
      <c r="E2312" s="3" t="str">
        <f>""</f>
        <v/>
      </c>
      <c r="F2312" s="2" t="s">
        <v>27</v>
      </c>
      <c r="G2312" s="2" t="str">
        <f>CONCATENATE("GRADNJA ČUKELJ D.O.O.,"," VJEKOSLAVA MAJERA 3,"," 10410 VELIKA GORICA,"," OIB: 51572533237")</f>
        <v>GRADNJA ČUKELJ D.O.O., VJEKOSLAVA MAJERA 3, 10410 VELIKA GORICA, OIB: 51572533237</v>
      </c>
      <c r="H2312" s="1" t="str">
        <f>CONCATENATE("UNIVERZAL ŽICA D.O.O.,"," OIB: 62988526948")</f>
        <v>UNIVERZAL ŽICA D.O.O., OIB: 62988526948</v>
      </c>
      <c r="I2312" s="1" t="s">
        <v>269</v>
      </c>
      <c r="J2312" s="1" t="s">
        <v>121</v>
      </c>
      <c r="K2312" s="6" t="str">
        <f>"459.456,00"</f>
        <v>459.456,00</v>
      </c>
      <c r="L2312" s="6" t="str">
        <f>"109.074,20"</f>
        <v>109.074,20</v>
      </c>
      <c r="M2312" s="6" t="str">
        <f>"545.370,98"</f>
        <v>545.370,98</v>
      </c>
      <c r="N2312" s="5">
        <v>43719</v>
      </c>
      <c r="O2312" s="7"/>
      <c r="P2312" s="6" t="str">
        <f>"545.370,98"</f>
        <v>545.370,98</v>
      </c>
      <c r="Q2312" s="7"/>
      <c r="R2312" s="1"/>
      <c r="S2312" s="1" t="str">
        <f>"1-19/NOS-70/18"</f>
        <v>1-19/NOS-70/18</v>
      </c>
      <c r="T2312" s="2" t="s">
        <v>33</v>
      </c>
    </row>
    <row r="2313" spans="1:20" ht="51" x14ac:dyDescent="0.25">
      <c r="A2313" s="1">
        <v>2309</v>
      </c>
      <c r="B2313" s="1" t="str">
        <f>"2018-2819"</f>
        <v>2018-2819</v>
      </c>
      <c r="C2313" s="2" t="s">
        <v>100</v>
      </c>
      <c r="D2313" s="1" t="s">
        <v>101</v>
      </c>
      <c r="E2313" s="3" t="str">
        <f>"2018/S 0F2-0019323"</f>
        <v>2018/S 0F2-0019323</v>
      </c>
      <c r="F2313" s="2" t="s">
        <v>23</v>
      </c>
      <c r="G2313" s="2" t="str">
        <f>CONCATENATE("SCHEDA D.O.O.,"," LJUDEVITA POSAVSKOG 29,"," 10360 SESVETE,"," OIB: 76219817247",CHAR(10),"PELOT GLOBE D.O.O.,"," KESTERČANEKOVA 2A,"," 10000 ZAGREB,"," OIB: 0317335658")</f>
        <v>SCHEDA D.O.O., LJUDEVITA POSAVSKOG 29, 10360 SESVETE, OIB: 76219817247
PELOT GLOBE D.O.O., KESTERČANEKOVA 2A, 10000 ZAGREB, OIB: 0317335658</v>
      </c>
      <c r="H2313" s="4"/>
      <c r="I2313" s="1" t="s">
        <v>1063</v>
      </c>
      <c r="J2313" s="1" t="s">
        <v>1190</v>
      </c>
      <c r="K2313" s="6" t="str">
        <f>"1.420.000,00"</f>
        <v>1.420.000,00</v>
      </c>
      <c r="L2313" s="6" t="str">
        <f>"355.000,00"</f>
        <v>355.000,00</v>
      </c>
      <c r="M2313" s="6" t="str">
        <f>"1.775.000,00"</f>
        <v>1.775.000,00</v>
      </c>
      <c r="N2313" s="7"/>
      <c r="O2313" s="7"/>
      <c r="P2313" s="6" t="str">
        <f>""</f>
        <v/>
      </c>
      <c r="Q2313" s="7"/>
      <c r="R2313" s="1"/>
      <c r="S2313" s="1" t="str">
        <f>"NOS-71/18"</f>
        <v>NOS-71/18</v>
      </c>
      <c r="T2313" s="2" t="s">
        <v>26</v>
      </c>
    </row>
    <row r="2314" spans="1:20" ht="38.25" x14ac:dyDescent="0.25">
      <c r="A2314" s="1">
        <v>2310</v>
      </c>
      <c r="B2314" s="1" t="str">
        <f t="shared" ref="B2314:B2324" si="227">"2018-2787"</f>
        <v>2018-2787</v>
      </c>
      <c r="C2314" s="2" t="s">
        <v>135</v>
      </c>
      <c r="D2314" s="1" t="s">
        <v>136</v>
      </c>
      <c r="E2314" s="3" t="str">
        <f>"2018/S 0F2-0016278"</f>
        <v>2018/S 0F2-0016278</v>
      </c>
      <c r="F2314" s="2" t="s">
        <v>23</v>
      </c>
      <c r="G2314" s="2" t="str">
        <f>CONCATENATE("SAMOBORKA D.D.,"," ZAGREBAČKA 32/A,"," 10430 SAMOBOR,"," OIB: 53149109818")</f>
        <v>SAMOBORKA D.D., ZAGREBAČKA 32/A, 10430 SAMOBOR, OIB: 53149109818</v>
      </c>
      <c r="H2314" s="4"/>
      <c r="I2314" s="1" t="s">
        <v>929</v>
      </c>
      <c r="J2314" s="1" t="s">
        <v>1183</v>
      </c>
      <c r="K2314" s="6" t="str">
        <f>"3.100.000,00"</f>
        <v>3.100.000,00</v>
      </c>
      <c r="L2314" s="6" t="str">
        <f>"775.000,00"</f>
        <v>775.000,00</v>
      </c>
      <c r="M2314" s="6" t="str">
        <f>"3.875.000,00"</f>
        <v>3.875.000,00</v>
      </c>
      <c r="N2314" s="7"/>
      <c r="O2314" s="7"/>
      <c r="P2314" s="6" t="str">
        <f>""</f>
        <v/>
      </c>
      <c r="Q2314" s="7"/>
      <c r="R2314" s="1"/>
      <c r="S2314" s="1" t="str">
        <f>"NOS-72-A/18"</f>
        <v>NOS-72-A/18</v>
      </c>
      <c r="T2314" s="2" t="s">
        <v>26</v>
      </c>
    </row>
    <row r="2315" spans="1:20" ht="25.5" x14ac:dyDescent="0.25">
      <c r="A2315" s="1">
        <v>2311</v>
      </c>
      <c r="B2315" s="1" t="str">
        <f t="shared" si="227"/>
        <v>2018-2787</v>
      </c>
      <c r="C2315" s="2" t="s">
        <v>135</v>
      </c>
      <c r="D2315" s="1" t="s">
        <v>136</v>
      </c>
      <c r="E2315" s="3" t="str">
        <f>""</f>
        <v/>
      </c>
      <c r="F2315" s="2" t="s">
        <v>27</v>
      </c>
      <c r="G2315" s="2" t="str">
        <f>CONCATENATE("SAMOBORKA D.D.,"," ZAGREBAČKA 32/A,"," 10430 SAMOBOR,"," OIB: 53149109818")</f>
        <v>SAMOBORKA D.D., ZAGREBAČKA 32/A, 10430 SAMOBOR, OIB: 53149109818</v>
      </c>
      <c r="H2315" s="4"/>
      <c r="I2315" s="1" t="s">
        <v>451</v>
      </c>
      <c r="J2315" s="1" t="s">
        <v>114</v>
      </c>
      <c r="K2315" s="6" t="str">
        <f>"262.028,93"</f>
        <v>262.028,93</v>
      </c>
      <c r="L2315" s="6" t="str">
        <f>"65.507,23"</f>
        <v>65.507,23</v>
      </c>
      <c r="M2315" s="6" t="str">
        <f>"327.536,16"</f>
        <v>327.536,16</v>
      </c>
      <c r="N2315" s="5">
        <v>43658</v>
      </c>
      <c r="O2315" s="7"/>
      <c r="P2315" s="6" t="str">
        <f>"356.340,90"</f>
        <v>356.340,90</v>
      </c>
      <c r="Q2315" s="7"/>
      <c r="R2315" s="1"/>
      <c r="S2315" s="1" t="str">
        <f>"2-18/NOS-72-A/18"</f>
        <v>2-18/NOS-72-A/18</v>
      </c>
      <c r="T2315" s="2" t="s">
        <v>33</v>
      </c>
    </row>
    <row r="2316" spans="1:20" ht="25.5" x14ac:dyDescent="0.25">
      <c r="A2316" s="1">
        <v>2312</v>
      </c>
      <c r="B2316" s="1" t="str">
        <f t="shared" si="227"/>
        <v>2018-2787</v>
      </c>
      <c r="C2316" s="2" t="s">
        <v>135</v>
      </c>
      <c r="D2316" s="1" t="s">
        <v>136</v>
      </c>
      <c r="E2316" s="3" t="str">
        <f>""</f>
        <v/>
      </c>
      <c r="F2316" s="2" t="s">
        <v>27</v>
      </c>
      <c r="G2316" s="2" t="str">
        <f>CONCATENATE("SAMOBORKA D.D.,"," ZAGREBAČKA 32/A,"," 10430 SAMOBOR,"," OIB: 53149109818")</f>
        <v>SAMOBORKA D.D., ZAGREBAČKA 32/A, 10430 SAMOBOR, OIB: 53149109818</v>
      </c>
      <c r="H2316" s="4"/>
      <c r="I2316" s="1" t="s">
        <v>195</v>
      </c>
      <c r="J2316" s="1" t="s">
        <v>469</v>
      </c>
      <c r="K2316" s="6" t="str">
        <f>"45.064,20"</f>
        <v>45.064,20</v>
      </c>
      <c r="L2316" s="6" t="str">
        <f>"9.638,24"</f>
        <v>9.638,24</v>
      </c>
      <c r="M2316" s="6" t="str">
        <f>"48.191,19"</f>
        <v>48.191,19</v>
      </c>
      <c r="N2316" s="5">
        <v>43542</v>
      </c>
      <c r="O2316" s="7"/>
      <c r="P2316" s="6" t="str">
        <f>"48.191,19"</f>
        <v>48.191,19</v>
      </c>
      <c r="Q2316" s="7"/>
      <c r="R2316" s="1"/>
      <c r="S2316" s="1" t="str">
        <f>"1-19/NOS-72-A/18"</f>
        <v>1-19/NOS-72-A/18</v>
      </c>
      <c r="T2316" s="2" t="s">
        <v>33</v>
      </c>
    </row>
    <row r="2317" spans="1:20" ht="38.25" x14ac:dyDescent="0.25">
      <c r="A2317" s="1">
        <v>2313</v>
      </c>
      <c r="B2317" s="1" t="str">
        <f t="shared" si="227"/>
        <v>2018-2787</v>
      </c>
      <c r="C2317" s="2" t="s">
        <v>135</v>
      </c>
      <c r="D2317" s="1" t="s">
        <v>136</v>
      </c>
      <c r="E2317" s="3" t="str">
        <f>""</f>
        <v/>
      </c>
      <c r="F2317" s="2" t="s">
        <v>27</v>
      </c>
      <c r="G2317" s="2" t="str">
        <f>CONCATENATE("SAMOBORKA D.D.,"," ZAGREBAČKA 32/A,"," 10430 SAMOBOR,"," OIB: 53149109818")</f>
        <v>SAMOBORKA D.D., ZAGREBAČKA 32/A, 10430 SAMOBOR, OIB: 53149109818</v>
      </c>
      <c r="H2317" s="4"/>
      <c r="I2317" s="1" t="s">
        <v>641</v>
      </c>
      <c r="J2317" s="1" t="s">
        <v>73</v>
      </c>
      <c r="K2317" s="6" t="str">
        <f>"108.060,00"</f>
        <v>108.060,00</v>
      </c>
      <c r="L2317" s="6" t="str">
        <f>"27.015,00"</f>
        <v>27.015,00</v>
      </c>
      <c r="M2317" s="6" t="str">
        <f>"135.075,00"</f>
        <v>135.075,00</v>
      </c>
      <c r="N2317" s="5">
        <v>43662</v>
      </c>
      <c r="O2317" s="7"/>
      <c r="P2317" s="6" t="str">
        <f>"135.075,00"</f>
        <v>135.075,00</v>
      </c>
      <c r="Q2317" s="7"/>
      <c r="R2317" s="1"/>
      <c r="S2317" s="1" t="str">
        <f>"3-19/NOS-72-A/18"</f>
        <v>3-19/NOS-72-A/18</v>
      </c>
      <c r="T2317" s="2" t="s">
        <v>26</v>
      </c>
    </row>
    <row r="2318" spans="1:20" ht="38.25" x14ac:dyDescent="0.25">
      <c r="A2318" s="1">
        <v>2314</v>
      </c>
      <c r="B2318" s="1" t="str">
        <f t="shared" si="227"/>
        <v>2018-2787</v>
      </c>
      <c r="C2318" s="2" t="s">
        <v>135</v>
      </c>
      <c r="D2318" s="1" t="s">
        <v>136</v>
      </c>
      <c r="E2318" s="3" t="str">
        <f>""</f>
        <v/>
      </c>
      <c r="F2318" s="2" t="s">
        <v>27</v>
      </c>
      <c r="G2318" s="2" t="str">
        <f>CONCATENATE("SAMOBORKA D.D.,"," ZAGREBAČKA 32/A,"," 10430 SAMOBOR,"," OIB: 53149109818")</f>
        <v>SAMOBORKA D.D., ZAGREBAČKA 32/A, 10430 SAMOBOR, OIB: 53149109818</v>
      </c>
      <c r="H2318" s="4"/>
      <c r="I2318" s="1" t="s">
        <v>162</v>
      </c>
      <c r="J2318" s="1" t="s">
        <v>114</v>
      </c>
      <c r="K2318" s="6" t="str">
        <f>"38.248,50"</f>
        <v>38.248,50</v>
      </c>
      <c r="L2318" s="6" t="str">
        <f>"9.562,13"</f>
        <v>9.562,13</v>
      </c>
      <c r="M2318" s="6" t="str">
        <f>"47.810,63"</f>
        <v>47.810,63</v>
      </c>
      <c r="N2318" s="5">
        <v>43640</v>
      </c>
      <c r="O2318" s="7"/>
      <c r="P2318" s="6" t="str">
        <f>"9.016,20"</f>
        <v>9.016,20</v>
      </c>
      <c r="Q2318" s="7"/>
      <c r="R2318" s="1"/>
      <c r="S2318" s="1" t="str">
        <f>"4-19/NOS-72-A/18"</f>
        <v>4-19/NOS-72-A/18</v>
      </c>
      <c r="T2318" s="2" t="s">
        <v>26</v>
      </c>
    </row>
    <row r="2319" spans="1:20" ht="38.25" x14ac:dyDescent="0.25">
      <c r="A2319" s="1">
        <v>2315</v>
      </c>
      <c r="B2319" s="1" t="str">
        <f t="shared" si="227"/>
        <v>2018-2787</v>
      </c>
      <c r="C2319" s="2" t="s">
        <v>135</v>
      </c>
      <c r="D2319" s="1" t="s">
        <v>136</v>
      </c>
      <c r="E2319" s="3" t="str">
        <f>"2018/S 0F2-0016278"</f>
        <v>2018/S 0F2-0016278</v>
      </c>
      <c r="F2319" s="2" t="s">
        <v>23</v>
      </c>
      <c r="G2319" s="2" t="str">
        <f>CONCATENATE("SMIT-COMMERCE D.O.O.,"," GORNJOSTUPNIČKA 9B,"," 10255 GORNJI STUPNIK,"," OIB: 9524348214")</f>
        <v>SMIT-COMMERCE D.O.O., GORNJOSTUPNIČKA 9B, 10255 GORNJI STUPNIK, OIB: 9524348214</v>
      </c>
      <c r="H2319" s="4"/>
      <c r="I2319" s="1" t="s">
        <v>929</v>
      </c>
      <c r="J2319" s="1" t="s">
        <v>1183</v>
      </c>
      <c r="K2319" s="6" t="str">
        <f>"3.060.000,00"</f>
        <v>3.060.000,00</v>
      </c>
      <c r="L2319" s="6" t="str">
        <f>"765.000,00"</f>
        <v>765.000,00</v>
      </c>
      <c r="M2319" s="6" t="str">
        <f>"3.825.000,00"</f>
        <v>3.825.000,00</v>
      </c>
      <c r="N2319" s="7"/>
      <c r="O2319" s="7"/>
      <c r="P2319" s="6" t="str">
        <f>""</f>
        <v/>
      </c>
      <c r="Q2319" s="7"/>
      <c r="R2319" s="1"/>
      <c r="S2319" s="1" t="str">
        <f>"NOS-72-B/18"</f>
        <v>NOS-72-B/18</v>
      </c>
      <c r="T2319" s="2" t="s">
        <v>26</v>
      </c>
    </row>
    <row r="2320" spans="1:20" ht="38.25" x14ac:dyDescent="0.25">
      <c r="A2320" s="1">
        <v>2316</v>
      </c>
      <c r="B2320" s="1" t="str">
        <f t="shared" si="227"/>
        <v>2018-2787</v>
      </c>
      <c r="C2320" s="2" t="s">
        <v>135</v>
      </c>
      <c r="D2320" s="1" t="s">
        <v>136</v>
      </c>
      <c r="E2320" s="3" t="str">
        <f>""</f>
        <v/>
      </c>
      <c r="F2320" s="2" t="s">
        <v>27</v>
      </c>
      <c r="G2320" s="2" t="str">
        <f>CONCATENATE("SMIT-COMMERCE D.O.O.,"," GORNJOSTUPNIČKA 9B,"," 10255 GORNJI STUPNIK,"," OIB: 9524348214")</f>
        <v>SMIT-COMMERCE D.O.O., GORNJOSTUPNIČKA 9B, 10255 GORNJI STUPNIK, OIB: 9524348214</v>
      </c>
      <c r="H2320" s="4"/>
      <c r="I2320" s="1" t="s">
        <v>475</v>
      </c>
      <c r="J2320" s="1" t="s">
        <v>37</v>
      </c>
      <c r="K2320" s="6" t="str">
        <f>"497.710,76"</f>
        <v>497.710,76</v>
      </c>
      <c r="L2320" s="6" t="str">
        <f>"124.427,69"</f>
        <v>124.427,69</v>
      </c>
      <c r="M2320" s="6" t="str">
        <f>"622.138,45"</f>
        <v>622.138,45</v>
      </c>
      <c r="N2320" s="5">
        <v>43713</v>
      </c>
      <c r="O2320" s="7"/>
      <c r="P2320" s="6" t="str">
        <f>"189.056,10"</f>
        <v>189.056,10</v>
      </c>
      <c r="Q2320" s="7"/>
      <c r="R2320" s="1"/>
      <c r="S2320" s="1" t="str">
        <f>"1-19/NOS-72-B/18"</f>
        <v>1-19/NOS-72-B/18</v>
      </c>
      <c r="T2320" s="2" t="s">
        <v>33</v>
      </c>
    </row>
    <row r="2321" spans="1:20" ht="38.25" x14ac:dyDescent="0.25">
      <c r="A2321" s="1">
        <v>2317</v>
      </c>
      <c r="B2321" s="1" t="str">
        <f t="shared" si="227"/>
        <v>2018-2787</v>
      </c>
      <c r="C2321" s="2" t="s">
        <v>135</v>
      </c>
      <c r="D2321" s="1" t="s">
        <v>136</v>
      </c>
      <c r="E2321" s="3" t="str">
        <f>""</f>
        <v/>
      </c>
      <c r="F2321" s="2" t="s">
        <v>27</v>
      </c>
      <c r="G2321" s="2" t="str">
        <f>CONCATENATE("SMIT-COMMERCE D.O.O.,"," GORNJOSTUPNIČKA 9B,"," 10255 GORNJI STUPNIK,"," OIB: 9524348214")</f>
        <v>SMIT-COMMERCE D.O.O., GORNJOSTUPNIČKA 9B, 10255 GORNJI STUPNIK, OIB: 9524348214</v>
      </c>
      <c r="H2321" s="4"/>
      <c r="I2321" s="1" t="s">
        <v>269</v>
      </c>
      <c r="J2321" s="1" t="s">
        <v>404</v>
      </c>
      <c r="K2321" s="6" t="str">
        <f>"6.552,00"</f>
        <v>6.552,00</v>
      </c>
      <c r="L2321" s="6" t="str">
        <f>"1.638,00"</f>
        <v>1.638,00</v>
      </c>
      <c r="M2321" s="6" t="str">
        <f>"8.190,00"</f>
        <v>8.190,00</v>
      </c>
      <c r="N2321" s="1" t="s">
        <v>117</v>
      </c>
      <c r="O2321" s="7"/>
      <c r="P2321" s="6" t="str">
        <f>""</f>
        <v/>
      </c>
      <c r="Q2321" s="7"/>
      <c r="R2321" s="1"/>
      <c r="S2321" s="1" t="str">
        <f>"2-19/NOS-72-B/18"</f>
        <v>2-19/NOS-72-B/18</v>
      </c>
      <c r="T2321" s="2" t="s">
        <v>33</v>
      </c>
    </row>
    <row r="2322" spans="1:20" ht="38.25" x14ac:dyDescent="0.25">
      <c r="A2322" s="1">
        <v>2318</v>
      </c>
      <c r="B2322" s="1" t="str">
        <f t="shared" si="227"/>
        <v>2018-2787</v>
      </c>
      <c r="C2322" s="2" t="s">
        <v>135</v>
      </c>
      <c r="D2322" s="1" t="s">
        <v>136</v>
      </c>
      <c r="E2322" s="3" t="str">
        <f>"2018/S 0F2-0016278"</f>
        <v>2018/S 0F2-0016278</v>
      </c>
      <c r="F2322" s="2" t="s">
        <v>23</v>
      </c>
      <c r="G2322" s="2" t="str">
        <f>CONCATENATE("SAMOBORKA D.D.,"," ZAGREBAČKA 32/A,"," 10430 SAMOBOR,"," OIB: 53149109818")</f>
        <v>SAMOBORKA D.D., ZAGREBAČKA 32/A, 10430 SAMOBOR, OIB: 53149109818</v>
      </c>
      <c r="H2322" s="4"/>
      <c r="I2322" s="1" t="s">
        <v>929</v>
      </c>
      <c r="J2322" s="1" t="s">
        <v>1183</v>
      </c>
      <c r="K2322" s="6" t="str">
        <f>"6.000.000,00"</f>
        <v>6.000.000,00</v>
      </c>
      <c r="L2322" s="6" t="str">
        <f>"1.500.000,00"</f>
        <v>1.500.000,00</v>
      </c>
      <c r="M2322" s="6" t="str">
        <f>"7.500.000,00"</f>
        <v>7.500.000,00</v>
      </c>
      <c r="N2322" s="7"/>
      <c r="O2322" s="7"/>
      <c r="P2322" s="6" t="str">
        <f>""</f>
        <v/>
      </c>
      <c r="Q2322" s="7"/>
      <c r="R2322" s="1"/>
      <c r="S2322" s="1" t="str">
        <f>"NOS-72-C/18"</f>
        <v>NOS-72-C/18</v>
      </c>
      <c r="T2322" s="2" t="s">
        <v>26</v>
      </c>
    </row>
    <row r="2323" spans="1:20" ht="25.5" x14ac:dyDescent="0.25">
      <c r="A2323" s="1">
        <v>2319</v>
      </c>
      <c r="B2323" s="1" t="str">
        <f t="shared" si="227"/>
        <v>2018-2787</v>
      </c>
      <c r="C2323" s="2" t="s">
        <v>135</v>
      </c>
      <c r="D2323" s="4"/>
      <c r="E2323" s="3" t="str">
        <f>""</f>
        <v/>
      </c>
      <c r="F2323" s="2" t="s">
        <v>27</v>
      </c>
      <c r="G2323" s="2" t="str">
        <f>CONCATENATE("SAMOBORKA D.D.,"," ZAGREBAČKA 32/A,"," 10430 SAMOBOR,"," OIB: 53149109818")</f>
        <v>SAMOBORKA D.D., ZAGREBAČKA 32/A, 10430 SAMOBOR, OIB: 53149109818</v>
      </c>
      <c r="H2323" s="4"/>
      <c r="I2323" s="1" t="s">
        <v>297</v>
      </c>
      <c r="J2323" s="1" t="s">
        <v>114</v>
      </c>
      <c r="K2323" s="6" t="str">
        <f>"499.988,00"</f>
        <v>499.988,00</v>
      </c>
      <c r="L2323" s="6" t="str">
        <f>"124.997,00"</f>
        <v>124.997,00</v>
      </c>
      <c r="M2323" s="6" t="str">
        <f>"624.985,00"</f>
        <v>624.985,00</v>
      </c>
      <c r="N2323" s="5">
        <v>43713</v>
      </c>
      <c r="O2323" s="7"/>
      <c r="P2323" s="6" t="str">
        <f>"494.070,80"</f>
        <v>494.070,80</v>
      </c>
      <c r="Q2323" s="7"/>
      <c r="R2323" s="1"/>
      <c r="S2323" s="1" t="str">
        <f>"2-19/NOS-72-C/18"</f>
        <v>2-19/NOS-72-C/18</v>
      </c>
      <c r="T2323" s="2" t="s">
        <v>33</v>
      </c>
    </row>
    <row r="2324" spans="1:20" ht="25.5" x14ac:dyDescent="0.25">
      <c r="A2324" s="1">
        <v>2320</v>
      </c>
      <c r="B2324" s="1" t="str">
        <f t="shared" si="227"/>
        <v>2018-2787</v>
      </c>
      <c r="C2324" s="2" t="s">
        <v>135</v>
      </c>
      <c r="D2324" s="1" t="s">
        <v>136</v>
      </c>
      <c r="E2324" s="3" t="str">
        <f>""</f>
        <v/>
      </c>
      <c r="F2324" s="2" t="s">
        <v>27</v>
      </c>
      <c r="G2324" s="2" t="str">
        <f>CONCATENATE("SAMOBORKA D.D.,"," ZAGREBAČKA 32/A,"," 10430 SAMOBOR,"," OIB: 53149109818")</f>
        <v>SAMOBORKA D.D., ZAGREBAČKA 32/A, 10430 SAMOBOR, OIB: 53149109818</v>
      </c>
      <c r="H2324" s="4"/>
      <c r="I2324" s="1" t="s">
        <v>642</v>
      </c>
      <c r="J2324" s="1" t="s">
        <v>37</v>
      </c>
      <c r="K2324" s="6" t="str">
        <f>"3.564,00"</f>
        <v>3.564,00</v>
      </c>
      <c r="L2324" s="6" t="str">
        <f>"891,00"</f>
        <v>891,00</v>
      </c>
      <c r="M2324" s="6" t="str">
        <f>"4.455,00"</f>
        <v>4.455,00</v>
      </c>
      <c r="N2324" s="1" t="s">
        <v>117</v>
      </c>
      <c r="O2324" s="7"/>
      <c r="P2324" s="6" t="str">
        <f>""</f>
        <v/>
      </c>
      <c r="Q2324" s="7"/>
      <c r="R2324" s="1"/>
      <c r="S2324" s="1" t="str">
        <f>"1-19/NOS-72-C/18"</f>
        <v>1-19/NOS-72-C/18</v>
      </c>
      <c r="T2324" s="2" t="s">
        <v>33</v>
      </c>
    </row>
    <row r="2325" spans="1:20" ht="38.25" x14ac:dyDescent="0.25">
      <c r="A2325" s="1">
        <v>2321</v>
      </c>
      <c r="B2325" s="1" t="str">
        <f>"2018-2963"</f>
        <v>2018-2963</v>
      </c>
      <c r="C2325" s="2" t="s">
        <v>1196</v>
      </c>
      <c r="D2325" s="1" t="s">
        <v>1197</v>
      </c>
      <c r="E2325" s="3" t="str">
        <f>"2018/S 0F2-0019086"</f>
        <v>2018/S 0F2-0019086</v>
      </c>
      <c r="F2325" s="2" t="s">
        <v>23</v>
      </c>
      <c r="G2325" s="2" t="str">
        <f t="shared" ref="G2325:G2345" si="228">CONCATENATE("HP D.D.,"," JURIŠIĆEVA 13,"," 10000 ZAGREB,"," OIB: 87311810356")</f>
        <v>HP D.D., JURIŠIĆEVA 13, 10000 ZAGREB, OIB: 87311810356</v>
      </c>
      <c r="H2325" s="4"/>
      <c r="I2325" s="1" t="s">
        <v>668</v>
      </c>
      <c r="J2325" s="1" t="s">
        <v>1198</v>
      </c>
      <c r="K2325" s="6" t="str">
        <f>"17.150.000,00"</f>
        <v>17.150.000,00</v>
      </c>
      <c r="L2325" s="6" t="str">
        <f>"4.287.500,00"</f>
        <v>4.287.500,00</v>
      </c>
      <c r="M2325" s="6" t="str">
        <f>"21.437.500,00"</f>
        <v>21.437.500,00</v>
      </c>
      <c r="N2325" s="7"/>
      <c r="O2325" s="7"/>
      <c r="P2325" s="6" t="str">
        <f>""</f>
        <v/>
      </c>
      <c r="Q2325" s="7"/>
      <c r="R2325" s="1"/>
      <c r="S2325" s="1" t="str">
        <f>"NOS-73-A/18"</f>
        <v>NOS-73-A/18</v>
      </c>
      <c r="T2325" s="2" t="s">
        <v>33</v>
      </c>
    </row>
    <row r="2326" spans="1:20" ht="25.5" x14ac:dyDescent="0.25">
      <c r="A2326" s="1">
        <v>2322</v>
      </c>
      <c r="B2326" s="1" t="str">
        <f>"2018-2963"</f>
        <v>2018-2963</v>
      </c>
      <c r="C2326" s="2" t="s">
        <v>1196</v>
      </c>
      <c r="D2326" s="4"/>
      <c r="E2326" s="3" t="str">
        <f>""</f>
        <v/>
      </c>
      <c r="F2326" s="2" t="s">
        <v>27</v>
      </c>
      <c r="G2326" s="2" t="str">
        <f t="shared" si="228"/>
        <v>HP D.D., JURIŠIĆEVA 13, 10000 ZAGREB, OIB: 87311810356</v>
      </c>
      <c r="H2326" s="4"/>
      <c r="I2326" s="1" t="s">
        <v>195</v>
      </c>
      <c r="J2326" s="1" t="s">
        <v>45</v>
      </c>
      <c r="K2326" s="6" t="str">
        <f>"4.284.000,00"</f>
        <v>4.284.000,00</v>
      </c>
      <c r="L2326" s="6" t="str">
        <f>"1.071.000,00"</f>
        <v>1.071.000,00</v>
      </c>
      <c r="M2326" s="6" t="str">
        <f>"5.355.000,00"</f>
        <v>5.355.000,00</v>
      </c>
      <c r="N2326" s="5">
        <v>43677</v>
      </c>
      <c r="O2326" s="7"/>
      <c r="P2326" s="6" t="str">
        <f>"2.657.204,55"</f>
        <v>2.657.204,55</v>
      </c>
      <c r="Q2326" s="7"/>
      <c r="R2326" s="1"/>
      <c r="S2326" s="1" t="str">
        <f>"1-19/NOS-73-A/18"</f>
        <v>1-19/NOS-73-A/18</v>
      </c>
      <c r="T2326" s="2" t="s">
        <v>33</v>
      </c>
    </row>
    <row r="2327" spans="1:20" ht="38.25" x14ac:dyDescent="0.25">
      <c r="A2327" s="1">
        <v>2323</v>
      </c>
      <c r="B2327" s="1" t="str">
        <f>"2018-2963"</f>
        <v>2018-2963</v>
      </c>
      <c r="C2327" s="2" t="s">
        <v>1196</v>
      </c>
      <c r="D2327" s="1" t="s">
        <v>1197</v>
      </c>
      <c r="E2327" s="3" t="str">
        <f>"2018/S 0F2-0019086"</f>
        <v>2018/S 0F2-0019086</v>
      </c>
      <c r="F2327" s="2" t="s">
        <v>23</v>
      </c>
      <c r="G2327" s="2" t="str">
        <f t="shared" si="228"/>
        <v>HP D.D., JURIŠIĆEVA 13, 10000 ZAGREB, OIB: 87311810356</v>
      </c>
      <c r="H2327" s="4"/>
      <c r="I2327" s="1" t="s">
        <v>668</v>
      </c>
      <c r="J2327" s="1" t="s">
        <v>1198</v>
      </c>
      <c r="K2327" s="6" t="str">
        <f>"2.850.000,00"</f>
        <v>2.850.000,00</v>
      </c>
      <c r="L2327" s="6" t="str">
        <f>"712.500,00"</f>
        <v>712.500,00</v>
      </c>
      <c r="M2327" s="6" t="str">
        <f>"3.562.500,00"</f>
        <v>3.562.500,00</v>
      </c>
      <c r="N2327" s="7"/>
      <c r="O2327" s="7"/>
      <c r="P2327" s="6" t="str">
        <f>""</f>
        <v/>
      </c>
      <c r="Q2327" s="7"/>
      <c r="R2327" s="1"/>
      <c r="S2327" s="1" t="str">
        <f>"NOS-73-B/18"</f>
        <v>NOS-73-B/18</v>
      </c>
      <c r="T2327" s="2" t="s">
        <v>33</v>
      </c>
    </row>
    <row r="2328" spans="1:20" ht="25.5" x14ac:dyDescent="0.25">
      <c r="A2328" s="1">
        <v>2324</v>
      </c>
      <c r="B2328" s="1" t="str">
        <f>"2018-2963"</f>
        <v>2018-2963</v>
      </c>
      <c r="C2328" s="2" t="s">
        <v>1196</v>
      </c>
      <c r="D2328" s="4"/>
      <c r="E2328" s="3" t="str">
        <f>""</f>
        <v/>
      </c>
      <c r="F2328" s="2" t="s">
        <v>27</v>
      </c>
      <c r="G2328" s="2" t="str">
        <f t="shared" si="228"/>
        <v>HP D.D., JURIŠIĆEVA 13, 10000 ZAGREB, OIB: 87311810356</v>
      </c>
      <c r="H2328" s="4"/>
      <c r="I2328" s="1" t="s">
        <v>195</v>
      </c>
      <c r="J2328" s="1" t="s">
        <v>45</v>
      </c>
      <c r="K2328" s="6" t="str">
        <f>"710.000,00"</f>
        <v>710.000,00</v>
      </c>
      <c r="L2328" s="6" t="str">
        <f>"177.500,00"</f>
        <v>177.500,00</v>
      </c>
      <c r="M2328" s="6" t="str">
        <f>"887.500,00"</f>
        <v>887.500,00</v>
      </c>
      <c r="N2328" s="5">
        <v>43585</v>
      </c>
      <c r="O2328" s="7"/>
      <c r="P2328" s="6" t="str">
        <f>"858.407,75"</f>
        <v>858.407,75</v>
      </c>
      <c r="Q2328" s="7"/>
      <c r="R2328" s="1"/>
      <c r="S2328" s="1" t="str">
        <f>"2-19/NOS-73-B/18"</f>
        <v>2-19/NOS-73-B/18</v>
      </c>
      <c r="T2328" s="2" t="s">
        <v>33</v>
      </c>
    </row>
    <row r="2329" spans="1:20" ht="38.25" x14ac:dyDescent="0.25">
      <c r="A2329" s="1">
        <v>2325</v>
      </c>
      <c r="B2329" s="1" t="str">
        <f t="shared" ref="B2329:B2345" si="229">"2018-2786"</f>
        <v>2018-2786</v>
      </c>
      <c r="C2329" s="2" t="s">
        <v>104</v>
      </c>
      <c r="D2329" s="1" t="s">
        <v>105</v>
      </c>
      <c r="E2329" s="3" t="str">
        <f>"2018/S F21-0023870"</f>
        <v>2018/S F21-0023870</v>
      </c>
      <c r="F2329" s="2" t="s">
        <v>23</v>
      </c>
      <c r="G2329" s="2" t="str">
        <f t="shared" si="228"/>
        <v>HP D.D., JURIŠIĆEVA 13, 10000 ZAGREB, OIB: 87311810356</v>
      </c>
      <c r="H2329" s="4"/>
      <c r="I2329" s="1" t="s">
        <v>668</v>
      </c>
      <c r="J2329" s="1" t="s">
        <v>1198</v>
      </c>
      <c r="K2329" s="6" t="str">
        <f>"43.770.000,00"</f>
        <v>43.770.000,00</v>
      </c>
      <c r="L2329" s="6" t="str">
        <f>"10.942.500,00"</f>
        <v>10.942.500,00</v>
      </c>
      <c r="M2329" s="6" t="str">
        <f>"54.712.500,00"</f>
        <v>54.712.500,00</v>
      </c>
      <c r="N2329" s="7"/>
      <c r="O2329" s="7"/>
      <c r="P2329" s="6" t="str">
        <f>""</f>
        <v/>
      </c>
      <c r="Q2329" s="7"/>
      <c r="R2329" s="1"/>
      <c r="S2329" s="1" t="str">
        <f>"NOS-74-A-ZGH/18"</f>
        <v>NOS-74-A-ZGH/18</v>
      </c>
      <c r="T2329" s="2" t="s">
        <v>33</v>
      </c>
    </row>
    <row r="2330" spans="1:20" ht="25.5" x14ac:dyDescent="0.25">
      <c r="A2330" s="1">
        <v>2326</v>
      </c>
      <c r="B2330" s="1" t="str">
        <f t="shared" si="229"/>
        <v>2018-2786</v>
      </c>
      <c r="C2330" s="2" t="s">
        <v>104</v>
      </c>
      <c r="D2330" s="4"/>
      <c r="E2330" s="3" t="str">
        <f>""</f>
        <v/>
      </c>
      <c r="F2330" s="2" t="s">
        <v>27</v>
      </c>
      <c r="G2330" s="2" t="str">
        <f t="shared" si="228"/>
        <v>HP D.D., JURIŠIĆEVA 13, 10000 ZAGREB, OIB: 87311810356</v>
      </c>
      <c r="H2330" s="4"/>
      <c r="I2330" s="1" t="s">
        <v>302</v>
      </c>
      <c r="J2330" s="1" t="s">
        <v>285</v>
      </c>
      <c r="K2330" s="6" t="str">
        <f>"194.988,42"</f>
        <v>194.988,42</v>
      </c>
      <c r="L2330" s="6" t="str">
        <f>"48.747,11"</f>
        <v>48.747,11</v>
      </c>
      <c r="M2330" s="6" t="str">
        <f>"243.735,53"</f>
        <v>243.735,53</v>
      </c>
      <c r="N2330" s="1" t="s">
        <v>117</v>
      </c>
      <c r="O2330" s="7"/>
      <c r="P2330" s="6" t="str">
        <f>""</f>
        <v/>
      </c>
      <c r="Q2330" s="7"/>
      <c r="R2330" s="1"/>
      <c r="S2330" s="1" t="str">
        <f>"2-19/NOS-74-A-ZGH/18"</f>
        <v>2-19/NOS-74-A-ZGH/18</v>
      </c>
      <c r="T2330" s="2" t="s">
        <v>538</v>
      </c>
    </row>
    <row r="2331" spans="1:20" ht="38.25" x14ac:dyDescent="0.25">
      <c r="A2331" s="1">
        <v>2327</v>
      </c>
      <c r="B2331" s="1" t="str">
        <f t="shared" si="229"/>
        <v>2018-2786</v>
      </c>
      <c r="C2331" s="2" t="s">
        <v>104</v>
      </c>
      <c r="D2331" s="4"/>
      <c r="E2331" s="3" t="str">
        <f>""</f>
        <v/>
      </c>
      <c r="F2331" s="2" t="s">
        <v>27</v>
      </c>
      <c r="G2331" s="2" t="str">
        <f t="shared" si="228"/>
        <v>HP D.D., JURIŠIĆEVA 13, 10000 ZAGREB, OIB: 87311810356</v>
      </c>
      <c r="H2331" s="4"/>
      <c r="I2331" s="1" t="s">
        <v>566</v>
      </c>
      <c r="J2331" s="1" t="s">
        <v>817</v>
      </c>
      <c r="K2331" s="6" t="str">
        <f>"7.999.999,64"</f>
        <v>7.999.999,64</v>
      </c>
      <c r="L2331" s="6" t="str">
        <f>"1.999.999,91"</f>
        <v>1.999.999,91</v>
      </c>
      <c r="M2331" s="6" t="str">
        <f>"9.999.999,55"</f>
        <v>9.999.999,55</v>
      </c>
      <c r="N2331" s="5">
        <v>43691</v>
      </c>
      <c r="O2331" s="7"/>
      <c r="P2331" s="6" t="str">
        <f>"6.586.554,48"</f>
        <v>6.586.554,48</v>
      </c>
      <c r="Q2331" s="7"/>
      <c r="R2331" s="1"/>
      <c r="S2331" s="1" t="str">
        <f>"4-19/NOS-74-A-ZGH/18"</f>
        <v>4-19/NOS-74-A-ZGH/18</v>
      </c>
      <c r="T2331" s="2" t="s">
        <v>65</v>
      </c>
    </row>
    <row r="2332" spans="1:20" ht="25.5" x14ac:dyDescent="0.25">
      <c r="A2332" s="1">
        <v>2328</v>
      </c>
      <c r="B2332" s="1" t="str">
        <f t="shared" si="229"/>
        <v>2018-2786</v>
      </c>
      <c r="C2332" s="2" t="s">
        <v>104</v>
      </c>
      <c r="D2332" s="4"/>
      <c r="E2332" s="3" t="str">
        <f>""</f>
        <v/>
      </c>
      <c r="F2332" s="2" t="s">
        <v>27</v>
      </c>
      <c r="G2332" s="2" t="str">
        <f t="shared" si="228"/>
        <v>HP D.D., JURIŠIĆEVA 13, 10000 ZAGREB, OIB: 87311810356</v>
      </c>
      <c r="H2332" s="4"/>
      <c r="I2332" s="1" t="s">
        <v>566</v>
      </c>
      <c r="J2332" s="1" t="s">
        <v>221</v>
      </c>
      <c r="K2332" s="6" t="str">
        <f>"3.296.537,00"</f>
        <v>3.296.537,00</v>
      </c>
      <c r="L2332" s="6" t="str">
        <f>"824.134,25"</f>
        <v>824.134,25</v>
      </c>
      <c r="M2332" s="6" t="str">
        <f>"4.120.671,25"</f>
        <v>4.120.671,25</v>
      </c>
      <c r="N2332" s="5">
        <v>43720</v>
      </c>
      <c r="O2332" s="7"/>
      <c r="P2332" s="6" t="str">
        <f>"2.193.673,24"</f>
        <v>2.193.673,24</v>
      </c>
      <c r="Q2332" s="7"/>
      <c r="R2332" s="1"/>
      <c r="S2332" s="1" t="str">
        <f>"5-19/NOS-74-A-ZGH/18"</f>
        <v>5-19/NOS-74-A-ZGH/18</v>
      </c>
      <c r="T2332" s="2" t="s">
        <v>29</v>
      </c>
    </row>
    <row r="2333" spans="1:20" ht="25.5" x14ac:dyDescent="0.25">
      <c r="A2333" s="1">
        <v>2329</v>
      </c>
      <c r="B2333" s="1" t="str">
        <f t="shared" si="229"/>
        <v>2018-2786</v>
      </c>
      <c r="C2333" s="2" t="s">
        <v>104</v>
      </c>
      <c r="D2333" s="4"/>
      <c r="E2333" s="3" t="str">
        <f>""</f>
        <v/>
      </c>
      <c r="F2333" s="2" t="s">
        <v>27</v>
      </c>
      <c r="G2333" s="2" t="str">
        <f t="shared" si="228"/>
        <v>HP D.D., JURIŠIĆEVA 13, 10000 ZAGREB, OIB: 87311810356</v>
      </c>
      <c r="H2333" s="4"/>
      <c r="I2333" s="1" t="s">
        <v>435</v>
      </c>
      <c r="J2333" s="1" t="s">
        <v>333</v>
      </c>
      <c r="K2333" s="6" t="str">
        <f>"34.996,86"</f>
        <v>34.996,86</v>
      </c>
      <c r="L2333" s="6" t="str">
        <f>"8.749,22"</f>
        <v>8.749,22</v>
      </c>
      <c r="M2333" s="6" t="str">
        <f>"43.746,08"</f>
        <v>43.746,08</v>
      </c>
      <c r="N2333" s="5">
        <v>43646</v>
      </c>
      <c r="O2333" s="7"/>
      <c r="P2333" s="6" t="str">
        <f>"10.843,32"</f>
        <v>10.843,32</v>
      </c>
      <c r="Q2333" s="7"/>
      <c r="R2333" s="1"/>
      <c r="S2333" s="1" t="str">
        <f>"6-19/NOS-74-A-ZGH/18"</f>
        <v>6-19/NOS-74-A-ZGH/18</v>
      </c>
      <c r="T2333" s="2" t="s">
        <v>112</v>
      </c>
    </row>
    <row r="2334" spans="1:20" ht="25.5" x14ac:dyDescent="0.25">
      <c r="A2334" s="1">
        <v>2330</v>
      </c>
      <c r="B2334" s="1" t="str">
        <f t="shared" si="229"/>
        <v>2018-2786</v>
      </c>
      <c r="C2334" s="2" t="s">
        <v>104</v>
      </c>
      <c r="D2334" s="1" t="s">
        <v>105</v>
      </c>
      <c r="E2334" s="3" t="str">
        <f>""</f>
        <v/>
      </c>
      <c r="F2334" s="2" t="s">
        <v>27</v>
      </c>
      <c r="G2334" s="2" t="str">
        <f t="shared" si="228"/>
        <v>HP D.D., JURIŠIĆEVA 13, 10000 ZAGREB, OIB: 87311810356</v>
      </c>
      <c r="H2334" s="4"/>
      <c r="I2334" s="1" t="s">
        <v>334</v>
      </c>
      <c r="J2334" s="1" t="s">
        <v>333</v>
      </c>
      <c r="K2334" s="6" t="str">
        <f>"1.768.344,80"</f>
        <v>1.768.344,80</v>
      </c>
      <c r="L2334" s="6" t="str">
        <f>"442.086,20"</f>
        <v>442.086,20</v>
      </c>
      <c r="M2334" s="6" t="str">
        <f>"2.210.431,00"</f>
        <v>2.210.431,00</v>
      </c>
      <c r="N2334" s="5">
        <v>43720</v>
      </c>
      <c r="O2334" s="7"/>
      <c r="P2334" s="6" t="str">
        <f>"797.800,11"</f>
        <v>797.800,11</v>
      </c>
      <c r="Q2334" s="7"/>
      <c r="R2334" s="1"/>
      <c r="S2334" s="1" t="str">
        <f>"8-19/NOS-74-A-ZGH/18"</f>
        <v>8-19/NOS-74-A-ZGH/18</v>
      </c>
      <c r="T2334" s="2" t="s">
        <v>33</v>
      </c>
    </row>
    <row r="2335" spans="1:20" ht="25.5" x14ac:dyDescent="0.25">
      <c r="A2335" s="1">
        <v>2331</v>
      </c>
      <c r="B2335" s="1" t="str">
        <f t="shared" si="229"/>
        <v>2018-2786</v>
      </c>
      <c r="C2335" s="2" t="s">
        <v>104</v>
      </c>
      <c r="D2335" s="1" t="s">
        <v>105</v>
      </c>
      <c r="E2335" s="3" t="str">
        <f>""</f>
        <v/>
      </c>
      <c r="F2335" s="2" t="s">
        <v>27</v>
      </c>
      <c r="G2335" s="2" t="str">
        <f t="shared" si="228"/>
        <v>HP D.D., JURIŠIĆEVA 13, 10000 ZAGREB, OIB: 87311810356</v>
      </c>
      <c r="H2335" s="4"/>
      <c r="I2335" s="1" t="s">
        <v>71</v>
      </c>
      <c r="J2335" s="1" t="s">
        <v>1199</v>
      </c>
      <c r="K2335" s="6" t="str">
        <f>"78,80"</f>
        <v>78,80</v>
      </c>
      <c r="L2335" s="6" t="str">
        <f>"19,70"</f>
        <v>19,70</v>
      </c>
      <c r="M2335" s="6" t="str">
        <f>"98,50"</f>
        <v>98,50</v>
      </c>
      <c r="N2335" s="5">
        <v>43507</v>
      </c>
      <c r="O2335" s="7"/>
      <c r="P2335" s="6" t="str">
        <f>"98,50"</f>
        <v>98,50</v>
      </c>
      <c r="Q2335" s="7"/>
      <c r="R2335" s="1"/>
      <c r="S2335" s="1" t="str">
        <f>"3-19/NOS-74-A-ZGH/18"</f>
        <v>3-19/NOS-74-A-ZGH/18</v>
      </c>
      <c r="T2335" s="2" t="s">
        <v>60</v>
      </c>
    </row>
    <row r="2336" spans="1:20" ht="25.5" x14ac:dyDescent="0.25">
      <c r="A2336" s="1">
        <v>2332</v>
      </c>
      <c r="B2336" s="1" t="str">
        <f t="shared" si="229"/>
        <v>2018-2786</v>
      </c>
      <c r="C2336" s="2" t="s">
        <v>104</v>
      </c>
      <c r="D2336" s="1" t="s">
        <v>105</v>
      </c>
      <c r="E2336" s="3" t="str">
        <f>""</f>
        <v/>
      </c>
      <c r="F2336" s="2" t="s">
        <v>27</v>
      </c>
      <c r="G2336" s="2" t="str">
        <f t="shared" si="228"/>
        <v>HP D.D., JURIŠIĆEVA 13, 10000 ZAGREB, OIB: 87311810356</v>
      </c>
      <c r="H2336" s="4"/>
      <c r="I2336" s="1" t="s">
        <v>494</v>
      </c>
      <c r="J2336" s="1" t="s">
        <v>588</v>
      </c>
      <c r="K2336" s="6" t="str">
        <f>"26,80"</f>
        <v>26,80</v>
      </c>
      <c r="L2336" s="6" t="str">
        <f>"6,70"</f>
        <v>6,70</v>
      </c>
      <c r="M2336" s="6" t="str">
        <f>"33,50"</f>
        <v>33,50</v>
      </c>
      <c r="N2336" s="5">
        <v>43574</v>
      </c>
      <c r="O2336" s="7"/>
      <c r="P2336" s="6" t="str">
        <f>"33,50"</f>
        <v>33,50</v>
      </c>
      <c r="Q2336" s="7"/>
      <c r="R2336" s="1"/>
      <c r="S2336" s="1" t="str">
        <f>"7-19/NOS-74-A-ZGH/18"</f>
        <v>7-19/NOS-74-A-ZGH/18</v>
      </c>
      <c r="T2336" s="2" t="s">
        <v>60</v>
      </c>
    </row>
    <row r="2337" spans="1:20" ht="25.5" x14ac:dyDescent="0.25">
      <c r="A2337" s="1">
        <v>2333</v>
      </c>
      <c r="B2337" s="1" t="str">
        <f t="shared" si="229"/>
        <v>2018-2786</v>
      </c>
      <c r="C2337" s="2" t="s">
        <v>104</v>
      </c>
      <c r="D2337" s="1" t="s">
        <v>105</v>
      </c>
      <c r="E2337" s="3" t="str">
        <f>""</f>
        <v/>
      </c>
      <c r="F2337" s="2" t="s">
        <v>27</v>
      </c>
      <c r="G2337" s="2" t="str">
        <f t="shared" si="228"/>
        <v>HP D.D., JURIŠIĆEVA 13, 10000 ZAGREB, OIB: 87311810356</v>
      </c>
      <c r="H2337" s="4"/>
      <c r="I2337" s="1" t="s">
        <v>25</v>
      </c>
      <c r="J2337" s="1" t="s">
        <v>121</v>
      </c>
      <c r="K2337" s="6" t="str">
        <f>"121,80"</f>
        <v>121,80</v>
      </c>
      <c r="L2337" s="6" t="str">
        <f>"30,45"</f>
        <v>30,45</v>
      </c>
      <c r="M2337" s="6" t="str">
        <f>"152,25"</f>
        <v>152,25</v>
      </c>
      <c r="N2337" s="5">
        <v>43598</v>
      </c>
      <c r="O2337" s="7"/>
      <c r="P2337" s="6" t="str">
        <f>"152,25"</f>
        <v>152,25</v>
      </c>
      <c r="Q2337" s="7"/>
      <c r="R2337" s="1"/>
      <c r="S2337" s="1" t="str">
        <f>"9-19/NOS-74-A-ZGH/18"</f>
        <v>9-19/NOS-74-A-ZGH/18</v>
      </c>
      <c r="T2337" s="2" t="s">
        <v>60</v>
      </c>
    </row>
    <row r="2338" spans="1:20" ht="38.25" x14ac:dyDescent="0.25">
      <c r="A2338" s="1">
        <v>2334</v>
      </c>
      <c r="B2338" s="1" t="str">
        <f t="shared" si="229"/>
        <v>2018-2786</v>
      </c>
      <c r="C2338" s="2" t="s">
        <v>104</v>
      </c>
      <c r="D2338" s="1" t="s">
        <v>105</v>
      </c>
      <c r="E2338" s="3" t="str">
        <f>"2018/S F21-0023870"</f>
        <v>2018/S F21-0023870</v>
      </c>
      <c r="F2338" s="2" t="s">
        <v>23</v>
      </c>
      <c r="G2338" s="2" t="str">
        <f t="shared" si="228"/>
        <v>HP D.D., JURIŠIĆEVA 13, 10000 ZAGREB, OIB: 87311810356</v>
      </c>
      <c r="H2338" s="4"/>
      <c r="I2338" s="1" t="s">
        <v>668</v>
      </c>
      <c r="J2338" s="1" t="s">
        <v>1198</v>
      </c>
      <c r="K2338" s="6" t="str">
        <f>"12.502.000,00"</f>
        <v>12.502.000,00</v>
      </c>
      <c r="L2338" s="6" t="str">
        <f>"3.125.500,00"</f>
        <v>3.125.500,00</v>
      </c>
      <c r="M2338" s="6" t="str">
        <f>"15.627.500,00"</f>
        <v>15.627.500,00</v>
      </c>
      <c r="N2338" s="7"/>
      <c r="O2338" s="7"/>
      <c r="P2338" s="6" t="str">
        <f>""</f>
        <v/>
      </c>
      <c r="Q2338" s="7"/>
      <c r="R2338" s="1"/>
      <c r="S2338" s="1" t="str">
        <f>"NOS-74-B-ZGH/18"</f>
        <v>NOS-74-B-ZGH/18</v>
      </c>
      <c r="T2338" s="2" t="s">
        <v>33</v>
      </c>
    </row>
    <row r="2339" spans="1:20" ht="25.5" x14ac:dyDescent="0.25">
      <c r="A2339" s="1">
        <v>2335</v>
      </c>
      <c r="B2339" s="1" t="str">
        <f t="shared" si="229"/>
        <v>2018-2786</v>
      </c>
      <c r="C2339" s="2" t="s">
        <v>104</v>
      </c>
      <c r="D2339" s="1" t="s">
        <v>105</v>
      </c>
      <c r="E2339" s="3" t="str">
        <f>""</f>
        <v/>
      </c>
      <c r="F2339" s="2" t="s">
        <v>27</v>
      </c>
      <c r="G2339" s="2" t="str">
        <f t="shared" si="228"/>
        <v>HP D.D., JURIŠIĆEVA 13, 10000 ZAGREB, OIB: 87311810356</v>
      </c>
      <c r="H2339" s="4"/>
      <c r="I2339" s="1" t="s">
        <v>71</v>
      </c>
      <c r="J2339" s="1" t="s">
        <v>588</v>
      </c>
      <c r="K2339" s="6" t="str">
        <f>"125,00"</f>
        <v>125,00</v>
      </c>
      <c r="L2339" s="6" t="str">
        <f>"31,25"</f>
        <v>31,25</v>
      </c>
      <c r="M2339" s="6" t="str">
        <f>"156,25"</f>
        <v>156,25</v>
      </c>
      <c r="N2339" s="5">
        <v>43507</v>
      </c>
      <c r="O2339" s="7"/>
      <c r="P2339" s="6" t="str">
        <f>"156,25"</f>
        <v>156,25</v>
      </c>
      <c r="Q2339" s="7"/>
      <c r="R2339" s="1"/>
      <c r="S2339" s="1" t="str">
        <f>"1-19/NOS-74-B-ZGH/18"</f>
        <v>1-19/NOS-74-B-ZGH/18</v>
      </c>
      <c r="T2339" s="2" t="s">
        <v>60</v>
      </c>
    </row>
    <row r="2340" spans="1:20" ht="25.5" x14ac:dyDescent="0.25">
      <c r="A2340" s="1">
        <v>2336</v>
      </c>
      <c r="B2340" s="1" t="str">
        <f t="shared" si="229"/>
        <v>2018-2786</v>
      </c>
      <c r="C2340" s="2" t="s">
        <v>104</v>
      </c>
      <c r="D2340" s="1" t="s">
        <v>105</v>
      </c>
      <c r="E2340" s="3" t="str">
        <f>""</f>
        <v/>
      </c>
      <c r="F2340" s="2" t="s">
        <v>27</v>
      </c>
      <c r="G2340" s="2" t="str">
        <f t="shared" si="228"/>
        <v>HP D.D., JURIŠIĆEVA 13, 10000 ZAGREB, OIB: 87311810356</v>
      </c>
      <c r="H2340" s="4"/>
      <c r="I2340" s="1" t="s">
        <v>351</v>
      </c>
      <c r="J2340" s="1" t="s">
        <v>492</v>
      </c>
      <c r="K2340" s="6" t="str">
        <f>"3.462,00"</f>
        <v>3.462,00</v>
      </c>
      <c r="L2340" s="6" t="str">
        <f>"0,00"</f>
        <v>0,00</v>
      </c>
      <c r="M2340" s="6" t="str">
        <f>"0,00"</f>
        <v>0,00</v>
      </c>
      <c r="N2340" s="1" t="s">
        <v>117</v>
      </c>
      <c r="O2340" s="7"/>
      <c r="P2340" s="6" t="str">
        <f>"0,00"</f>
        <v>0,00</v>
      </c>
      <c r="Q2340" s="7"/>
      <c r="R2340" s="1"/>
      <c r="S2340" s="1" t="str">
        <f>"2-19/NOS-74-B-ZGH/18"</f>
        <v>2-19/NOS-74-B-ZGH/18</v>
      </c>
      <c r="T2340" s="2" t="s">
        <v>29</v>
      </c>
    </row>
    <row r="2341" spans="1:20" ht="25.5" x14ac:dyDescent="0.25">
      <c r="A2341" s="1">
        <v>2337</v>
      </c>
      <c r="B2341" s="1" t="str">
        <f t="shared" si="229"/>
        <v>2018-2786</v>
      </c>
      <c r="C2341" s="2" t="s">
        <v>104</v>
      </c>
      <c r="D2341" s="1" t="s">
        <v>105</v>
      </c>
      <c r="E2341" s="3" t="str">
        <f>""</f>
        <v/>
      </c>
      <c r="F2341" s="2" t="s">
        <v>27</v>
      </c>
      <c r="G2341" s="2" t="str">
        <f t="shared" si="228"/>
        <v>HP D.D., JURIŠIĆEVA 13, 10000 ZAGREB, OIB: 87311810356</v>
      </c>
      <c r="H2341" s="4"/>
      <c r="I2341" s="1" t="s">
        <v>332</v>
      </c>
      <c r="J2341" s="1" t="s">
        <v>1200</v>
      </c>
      <c r="K2341" s="6" t="str">
        <f>"275,00"</f>
        <v>275,00</v>
      </c>
      <c r="L2341" s="6" t="str">
        <f>"0,00"</f>
        <v>0,00</v>
      </c>
      <c r="M2341" s="6" t="str">
        <f>"0,00"</f>
        <v>0,00</v>
      </c>
      <c r="N2341" s="1" t="s">
        <v>117</v>
      </c>
      <c r="O2341" s="7"/>
      <c r="P2341" s="6" t="str">
        <f>"0,00"</f>
        <v>0,00</v>
      </c>
      <c r="Q2341" s="7"/>
      <c r="R2341" s="1"/>
      <c r="S2341" s="1" t="str">
        <f>"3-19/NOS-74-B-ZGH/18"</f>
        <v>3-19/NOS-74-B-ZGH/18</v>
      </c>
      <c r="T2341" s="2" t="s">
        <v>60</v>
      </c>
    </row>
    <row r="2342" spans="1:20" ht="38.25" x14ac:dyDescent="0.25">
      <c r="A2342" s="1">
        <v>2338</v>
      </c>
      <c r="B2342" s="1" t="str">
        <f t="shared" si="229"/>
        <v>2018-2786</v>
      </c>
      <c r="C2342" s="2" t="s">
        <v>104</v>
      </c>
      <c r="D2342" s="1" t="s">
        <v>105</v>
      </c>
      <c r="E2342" s="3" t="str">
        <f>"2018/S F21-0023870"</f>
        <v>2018/S F21-0023870</v>
      </c>
      <c r="F2342" s="2" t="s">
        <v>23</v>
      </c>
      <c r="G2342" s="2" t="str">
        <f t="shared" si="228"/>
        <v>HP D.D., JURIŠIĆEVA 13, 10000 ZAGREB, OIB: 87311810356</v>
      </c>
      <c r="H2342" s="4"/>
      <c r="I2342" s="1" t="s">
        <v>668</v>
      </c>
      <c r="J2342" s="1" t="s">
        <v>1198</v>
      </c>
      <c r="K2342" s="6" t="str">
        <f>"228.000,00"</f>
        <v>228.000,00</v>
      </c>
      <c r="L2342" s="6" t="str">
        <f>"57.000,00"</f>
        <v>57.000,00</v>
      </c>
      <c r="M2342" s="6" t="str">
        <f>"285.000,00"</f>
        <v>285.000,00</v>
      </c>
      <c r="N2342" s="7"/>
      <c r="O2342" s="7"/>
      <c r="P2342" s="6" t="str">
        <f>""</f>
        <v/>
      </c>
      <c r="Q2342" s="7"/>
      <c r="R2342" s="1"/>
      <c r="S2342" s="1" t="str">
        <f>"NOS-74-C-ZGH/18"</f>
        <v>NOS-74-C-ZGH/18</v>
      </c>
      <c r="T2342" s="2" t="s">
        <v>33</v>
      </c>
    </row>
    <row r="2343" spans="1:20" ht="25.5" x14ac:dyDescent="0.25">
      <c r="A2343" s="1">
        <v>2339</v>
      </c>
      <c r="B2343" s="1" t="str">
        <f t="shared" si="229"/>
        <v>2018-2786</v>
      </c>
      <c r="C2343" s="2" t="s">
        <v>104</v>
      </c>
      <c r="D2343" s="4"/>
      <c r="E2343" s="3" t="str">
        <f>""</f>
        <v/>
      </c>
      <c r="F2343" s="2" t="s">
        <v>27</v>
      </c>
      <c r="G2343" s="2" t="str">
        <f t="shared" si="228"/>
        <v>HP D.D., JURIŠIĆEVA 13, 10000 ZAGREB, OIB: 87311810356</v>
      </c>
      <c r="H2343" s="4"/>
      <c r="I2343" s="1" t="s">
        <v>308</v>
      </c>
      <c r="J2343" s="1" t="s">
        <v>221</v>
      </c>
      <c r="K2343" s="6" t="str">
        <f>"87.220,97"</f>
        <v>87.220,97</v>
      </c>
      <c r="L2343" s="6" t="str">
        <f>"21.805,24"</f>
        <v>21.805,24</v>
      </c>
      <c r="M2343" s="6" t="str">
        <f>"109.026,21"</f>
        <v>109.026,21</v>
      </c>
      <c r="N2343" s="5">
        <v>43720</v>
      </c>
      <c r="O2343" s="7"/>
      <c r="P2343" s="6" t="str">
        <f>"18.247,38"</f>
        <v>18.247,38</v>
      </c>
      <c r="Q2343" s="7"/>
      <c r="R2343" s="1"/>
      <c r="S2343" s="1" t="str">
        <f>"2-19/NOS-74-C-ZGH/18"</f>
        <v>2-19/NOS-74-C-ZGH/18</v>
      </c>
      <c r="T2343" s="2" t="s">
        <v>60</v>
      </c>
    </row>
    <row r="2344" spans="1:20" ht="25.5" x14ac:dyDescent="0.25">
      <c r="A2344" s="1">
        <v>2340</v>
      </c>
      <c r="B2344" s="1" t="str">
        <f t="shared" si="229"/>
        <v>2018-2786</v>
      </c>
      <c r="C2344" s="2" t="s">
        <v>104</v>
      </c>
      <c r="D2344" s="1" t="s">
        <v>105</v>
      </c>
      <c r="E2344" s="3" t="str">
        <f>""</f>
        <v/>
      </c>
      <c r="F2344" s="2" t="s">
        <v>27</v>
      </c>
      <c r="G2344" s="2" t="str">
        <f t="shared" si="228"/>
        <v>HP D.D., JURIŠIĆEVA 13, 10000 ZAGREB, OIB: 87311810356</v>
      </c>
      <c r="H2344" s="4"/>
      <c r="I2344" s="1" t="s">
        <v>71</v>
      </c>
      <c r="J2344" s="1" t="s">
        <v>1199</v>
      </c>
      <c r="K2344" s="6" t="str">
        <f>"19.857,90"</f>
        <v>19.857,90</v>
      </c>
      <c r="L2344" s="6" t="str">
        <f>"4.964,48"</f>
        <v>4.964,48</v>
      </c>
      <c r="M2344" s="6" t="str">
        <f>"24.822,38"</f>
        <v>24.822,38</v>
      </c>
      <c r="N2344" s="5">
        <v>43507</v>
      </c>
      <c r="O2344" s="7"/>
      <c r="P2344" s="6" t="str">
        <f>"24.822,38"</f>
        <v>24.822,38</v>
      </c>
      <c r="Q2344" s="7"/>
      <c r="R2344" s="1"/>
      <c r="S2344" s="1" t="str">
        <f>"1-19/NOS-74-C-ZGH/18"</f>
        <v>1-19/NOS-74-C-ZGH/18</v>
      </c>
      <c r="T2344" s="2" t="s">
        <v>60</v>
      </c>
    </row>
    <row r="2345" spans="1:20" ht="25.5" x14ac:dyDescent="0.25">
      <c r="A2345" s="1">
        <v>2341</v>
      </c>
      <c r="B2345" s="1" t="str">
        <f t="shared" si="229"/>
        <v>2018-2786</v>
      </c>
      <c r="C2345" s="2" t="s">
        <v>104</v>
      </c>
      <c r="D2345" s="1" t="s">
        <v>105</v>
      </c>
      <c r="E2345" s="3" t="str">
        <f>""</f>
        <v/>
      </c>
      <c r="F2345" s="2" t="s">
        <v>27</v>
      </c>
      <c r="G2345" s="2" t="str">
        <f t="shared" si="228"/>
        <v>HP D.D., JURIŠIĆEVA 13, 10000 ZAGREB, OIB: 87311810356</v>
      </c>
      <c r="H2345" s="4"/>
      <c r="I2345" s="1" t="s">
        <v>401</v>
      </c>
      <c r="J2345" s="1" t="s">
        <v>1200</v>
      </c>
      <c r="K2345" s="6" t="str">
        <f>"6.885,90"</f>
        <v>6.885,90</v>
      </c>
      <c r="L2345" s="6" t="str">
        <f>"1.687,68"</f>
        <v>1.687,68</v>
      </c>
      <c r="M2345" s="6" t="str">
        <f>"8.438,38"</f>
        <v>8.438,38</v>
      </c>
      <c r="N2345" s="5">
        <v>43563</v>
      </c>
      <c r="O2345" s="7"/>
      <c r="P2345" s="6" t="str">
        <f>"8.438,38"</f>
        <v>8.438,38</v>
      </c>
      <c r="Q2345" s="7"/>
      <c r="R2345" s="1"/>
      <c r="S2345" s="1" t="str">
        <f>"3-19/NOS-74-C-ZGH/18"</f>
        <v>3-19/NOS-74-C-ZGH/18</v>
      </c>
      <c r="T2345" s="2" t="s">
        <v>60</v>
      </c>
    </row>
    <row r="2346" spans="1:20" ht="51" x14ac:dyDescent="0.25">
      <c r="A2346" s="1">
        <v>2342</v>
      </c>
      <c r="B2346" s="1" t="str">
        <f t="shared" ref="B2346:B2359" si="230">"2018-2793"</f>
        <v>2018-2793</v>
      </c>
      <c r="C2346" s="2" t="s">
        <v>1201</v>
      </c>
      <c r="D2346" s="1" t="s">
        <v>1202</v>
      </c>
      <c r="E2346" s="3" t="str">
        <f>"2018/S 0F2-0020415"</f>
        <v>2018/S 0F2-0020415</v>
      </c>
      <c r="F2346" s="2" t="s">
        <v>23</v>
      </c>
      <c r="G2346" s="2" t="str">
        <f>CONCATENATE("ID EKO D.O.O.,"," POREČKA 11,"," 10000 ZAGREB,"," OIB: 72667678548",CHAR(10),"DEZINSEKCIJA D.O.O.,"," BRAJŠINA 13,"," 51000 RIJEKA,"," OIB: 75145286506")</f>
        <v>ID EKO D.O.O., POREČKA 11, 10000 ZAGREB, OIB: 72667678548
DEZINSEKCIJA D.O.O., BRAJŠINA 13, 51000 RIJEKA, OIB: 75145286506</v>
      </c>
      <c r="H2346" s="1" t="str">
        <f t="shared" ref="H2346:H2359" si="231">CONCATENATE("CIAN D.O.O.,"," OIB: 0420160387")</f>
        <v>CIAN D.O.O., OIB: 0420160387</v>
      </c>
      <c r="I2346" s="1" t="s">
        <v>159</v>
      </c>
      <c r="J2346" s="1" t="s">
        <v>1203</v>
      </c>
      <c r="K2346" s="6" t="str">
        <f>"3.700.000,00"</f>
        <v>3.700.000,00</v>
      </c>
      <c r="L2346" s="6" t="str">
        <f>"925.000,00"</f>
        <v>925.000,00</v>
      </c>
      <c r="M2346" s="6" t="str">
        <f>"4.625.000,00"</f>
        <v>4.625.000,00</v>
      </c>
      <c r="N2346" s="7"/>
      <c r="O2346" s="7"/>
      <c r="P2346" s="6" t="str">
        <f>""</f>
        <v/>
      </c>
      <c r="Q2346" s="7"/>
      <c r="R2346" s="1"/>
      <c r="S2346" s="1" t="str">
        <f>"NOS-75-A/18"</f>
        <v>NOS-75-A/18</v>
      </c>
      <c r="T2346" s="2" t="s">
        <v>514</v>
      </c>
    </row>
    <row r="2347" spans="1:20" ht="38.25" x14ac:dyDescent="0.25">
      <c r="A2347" s="1">
        <v>2343</v>
      </c>
      <c r="B2347" s="1" t="str">
        <f t="shared" si="230"/>
        <v>2018-2793</v>
      </c>
      <c r="C2347" s="2" t="s">
        <v>1201</v>
      </c>
      <c r="D2347" s="1" t="s">
        <v>1202</v>
      </c>
      <c r="E2347" s="3" t="str">
        <f>""</f>
        <v/>
      </c>
      <c r="F2347" s="2" t="s">
        <v>27</v>
      </c>
      <c r="G2347" s="2" t="str">
        <f t="shared" ref="G2347:G2358" si="232">CONCATENATE("ID EKO D.O.O.,"," POREČKA 11,"," 10000 ZAGREB,"," OIB: 72667678548")</f>
        <v>ID EKO D.O.O., POREČKA 11, 10000 ZAGREB, OIB: 72667678548</v>
      </c>
      <c r="H2347" s="1" t="str">
        <f t="shared" si="231"/>
        <v>CIAN D.O.O., OIB: 0420160387</v>
      </c>
      <c r="I2347" s="1" t="s">
        <v>301</v>
      </c>
      <c r="J2347" s="1" t="s">
        <v>303</v>
      </c>
      <c r="K2347" s="6" t="str">
        <f>"19.500,00"</f>
        <v>19.500,00</v>
      </c>
      <c r="L2347" s="6" t="str">
        <f>"4.875,00"</f>
        <v>4.875,00</v>
      </c>
      <c r="M2347" s="6" t="str">
        <f>"24.375,00"</f>
        <v>24.375,00</v>
      </c>
      <c r="N2347" s="5">
        <v>43600</v>
      </c>
      <c r="O2347" s="7"/>
      <c r="P2347" s="6" t="str">
        <f>"24.375,00"</f>
        <v>24.375,00</v>
      </c>
      <c r="Q2347" s="7"/>
      <c r="R2347" s="1"/>
      <c r="S2347" s="1" t="str">
        <f>"1-19/NOS-75-A/18"</f>
        <v>1-19/NOS-75-A/18</v>
      </c>
      <c r="T2347" s="2" t="s">
        <v>33</v>
      </c>
    </row>
    <row r="2348" spans="1:20" ht="38.25" x14ac:dyDescent="0.25">
      <c r="A2348" s="1">
        <v>2344</v>
      </c>
      <c r="B2348" s="1" t="str">
        <f t="shared" si="230"/>
        <v>2018-2793</v>
      </c>
      <c r="C2348" s="2" t="s">
        <v>1201</v>
      </c>
      <c r="D2348" s="1" t="s">
        <v>1202</v>
      </c>
      <c r="E2348" s="3" t="str">
        <f>""</f>
        <v/>
      </c>
      <c r="F2348" s="2" t="s">
        <v>27</v>
      </c>
      <c r="G2348" s="2" t="str">
        <f t="shared" si="232"/>
        <v>ID EKO D.O.O., POREČKA 11, 10000 ZAGREB, OIB: 72667678548</v>
      </c>
      <c r="H2348" s="1" t="str">
        <f t="shared" si="231"/>
        <v>CIAN D.O.O., OIB: 0420160387</v>
      </c>
      <c r="I2348" s="1" t="s">
        <v>641</v>
      </c>
      <c r="J2348" s="1" t="s">
        <v>303</v>
      </c>
      <c r="K2348" s="6" t="str">
        <f>"20.000,00"</f>
        <v>20.000,00</v>
      </c>
      <c r="L2348" s="6" t="str">
        <f>"5.000,00"</f>
        <v>5.000,00</v>
      </c>
      <c r="M2348" s="6" t="str">
        <f>"25.000,00"</f>
        <v>25.000,00</v>
      </c>
      <c r="N2348" s="5">
        <v>43617</v>
      </c>
      <c r="O2348" s="7"/>
      <c r="P2348" s="6" t="str">
        <f>"25.000,00"</f>
        <v>25.000,00</v>
      </c>
      <c r="Q2348" s="7"/>
      <c r="R2348" s="1"/>
      <c r="S2348" s="1" t="str">
        <f>"2-19/NOS-75-A/18"</f>
        <v>2-19/NOS-75-A/18</v>
      </c>
      <c r="T2348" s="2" t="s">
        <v>33</v>
      </c>
    </row>
    <row r="2349" spans="1:20" ht="38.25" x14ac:dyDescent="0.25">
      <c r="A2349" s="1">
        <v>2345</v>
      </c>
      <c r="B2349" s="1" t="str">
        <f t="shared" si="230"/>
        <v>2018-2793</v>
      </c>
      <c r="C2349" s="2" t="s">
        <v>1201</v>
      </c>
      <c r="D2349" s="1" t="s">
        <v>1202</v>
      </c>
      <c r="E2349" s="3" t="str">
        <f>""</f>
        <v/>
      </c>
      <c r="F2349" s="2" t="s">
        <v>27</v>
      </c>
      <c r="G2349" s="2" t="str">
        <f t="shared" si="232"/>
        <v>ID EKO D.O.O., POREČKA 11, 10000 ZAGREB, OIB: 72667678548</v>
      </c>
      <c r="H2349" s="1" t="str">
        <f t="shared" si="231"/>
        <v>CIAN D.O.O., OIB: 0420160387</v>
      </c>
      <c r="I2349" s="1" t="s">
        <v>446</v>
      </c>
      <c r="J2349" s="1" t="s">
        <v>303</v>
      </c>
      <c r="K2349" s="6" t="str">
        <f>"30.000,00"</f>
        <v>30.000,00</v>
      </c>
      <c r="L2349" s="6" t="str">
        <f>"7.500,00"</f>
        <v>7.500,00</v>
      </c>
      <c r="M2349" s="6" t="str">
        <f>"37.500,00"</f>
        <v>37.500,00</v>
      </c>
      <c r="N2349" s="5">
        <v>43613</v>
      </c>
      <c r="O2349" s="7"/>
      <c r="P2349" s="6" t="str">
        <f>"37.500,00"</f>
        <v>37.500,00</v>
      </c>
      <c r="Q2349" s="7"/>
      <c r="R2349" s="1"/>
      <c r="S2349" s="1" t="str">
        <f>"3-19/NOS-75-A/18"</f>
        <v>3-19/NOS-75-A/18</v>
      </c>
      <c r="T2349" s="2" t="s">
        <v>33</v>
      </c>
    </row>
    <row r="2350" spans="1:20" ht="38.25" x14ac:dyDescent="0.25">
      <c r="A2350" s="1">
        <v>2346</v>
      </c>
      <c r="B2350" s="1" t="str">
        <f t="shared" si="230"/>
        <v>2018-2793</v>
      </c>
      <c r="C2350" s="2" t="s">
        <v>1201</v>
      </c>
      <c r="D2350" s="1" t="s">
        <v>1202</v>
      </c>
      <c r="E2350" s="3" t="str">
        <f>""</f>
        <v/>
      </c>
      <c r="F2350" s="2" t="s">
        <v>27</v>
      </c>
      <c r="G2350" s="2" t="str">
        <f t="shared" si="232"/>
        <v>ID EKO D.O.O., POREČKA 11, 10000 ZAGREB, OIB: 72667678548</v>
      </c>
      <c r="H2350" s="1" t="str">
        <f t="shared" si="231"/>
        <v>CIAN D.O.O., OIB: 0420160387</v>
      </c>
      <c r="I2350" s="1" t="s">
        <v>318</v>
      </c>
      <c r="J2350" s="1" t="s">
        <v>469</v>
      </c>
      <c r="K2350" s="6" t="str">
        <f>"11.000,00"</f>
        <v>11.000,00</v>
      </c>
      <c r="L2350" s="6" t="str">
        <f>"2.750,00"</f>
        <v>2.750,00</v>
      </c>
      <c r="M2350" s="6" t="str">
        <f>"13.750,00"</f>
        <v>13.750,00</v>
      </c>
      <c r="N2350" s="5">
        <v>43588</v>
      </c>
      <c r="O2350" s="7"/>
      <c r="P2350" s="6" t="str">
        <f>"13.750,00"</f>
        <v>13.750,00</v>
      </c>
      <c r="Q2350" s="7"/>
      <c r="R2350" s="1"/>
      <c r="S2350" s="1" t="str">
        <f>"4-19/NOS-75-A/18"</f>
        <v>4-19/NOS-75-A/18</v>
      </c>
      <c r="T2350" s="2" t="s">
        <v>33</v>
      </c>
    </row>
    <row r="2351" spans="1:20" ht="38.25" x14ac:dyDescent="0.25">
      <c r="A2351" s="1">
        <v>2347</v>
      </c>
      <c r="B2351" s="1" t="str">
        <f t="shared" si="230"/>
        <v>2018-2793</v>
      </c>
      <c r="C2351" s="2" t="s">
        <v>1201</v>
      </c>
      <c r="D2351" s="1" t="s">
        <v>1202</v>
      </c>
      <c r="E2351" s="3" t="str">
        <f>""</f>
        <v/>
      </c>
      <c r="F2351" s="2" t="s">
        <v>27</v>
      </c>
      <c r="G2351" s="2" t="str">
        <f t="shared" si="232"/>
        <v>ID EKO D.O.O., POREČKA 11, 10000 ZAGREB, OIB: 72667678548</v>
      </c>
      <c r="H2351" s="1" t="str">
        <f t="shared" si="231"/>
        <v>CIAN D.O.O., OIB: 0420160387</v>
      </c>
      <c r="I2351" s="1" t="s">
        <v>446</v>
      </c>
      <c r="J2351" s="1" t="s">
        <v>303</v>
      </c>
      <c r="K2351" s="6" t="str">
        <f>"14.500,00"</f>
        <v>14.500,00</v>
      </c>
      <c r="L2351" s="6" t="str">
        <f>"0,00"</f>
        <v>0,00</v>
      </c>
      <c r="M2351" s="6" t="str">
        <f>"0,00"</f>
        <v>0,00</v>
      </c>
      <c r="N2351" s="1" t="s">
        <v>117</v>
      </c>
      <c r="O2351" s="7"/>
      <c r="P2351" s="6" t="str">
        <f>"0,00"</f>
        <v>0,00</v>
      </c>
      <c r="Q2351" s="7"/>
      <c r="R2351" s="1"/>
      <c r="S2351" s="1" t="str">
        <f>"5-19/NOS-75-A/18"</f>
        <v>5-19/NOS-75-A/18</v>
      </c>
      <c r="T2351" s="2" t="s">
        <v>33</v>
      </c>
    </row>
    <row r="2352" spans="1:20" ht="38.25" x14ac:dyDescent="0.25">
      <c r="A2352" s="1">
        <v>2348</v>
      </c>
      <c r="B2352" s="1" t="str">
        <f t="shared" si="230"/>
        <v>2018-2793</v>
      </c>
      <c r="C2352" s="2" t="s">
        <v>1201</v>
      </c>
      <c r="D2352" s="1" t="s">
        <v>1202</v>
      </c>
      <c r="E2352" s="3" t="str">
        <f>""</f>
        <v/>
      </c>
      <c r="F2352" s="2" t="s">
        <v>27</v>
      </c>
      <c r="G2352" s="2" t="str">
        <f t="shared" si="232"/>
        <v>ID EKO D.O.O., POREČKA 11, 10000 ZAGREB, OIB: 72667678548</v>
      </c>
      <c r="H2352" s="1" t="str">
        <f t="shared" si="231"/>
        <v>CIAN D.O.O., OIB: 0420160387</v>
      </c>
      <c r="I2352" s="1" t="s">
        <v>321</v>
      </c>
      <c r="J2352" s="1" t="s">
        <v>303</v>
      </c>
      <c r="K2352" s="6" t="str">
        <f>"57.000,00"</f>
        <v>57.000,00</v>
      </c>
      <c r="L2352" s="6" t="str">
        <f>"14.250,00"</f>
        <v>14.250,00</v>
      </c>
      <c r="M2352" s="6" t="str">
        <f>"71.250,00"</f>
        <v>71.250,00</v>
      </c>
      <c r="N2352" s="5">
        <v>43585</v>
      </c>
      <c r="O2352" s="7"/>
      <c r="P2352" s="6" t="str">
        <f>"71.250,00"</f>
        <v>71.250,00</v>
      </c>
      <c r="Q2352" s="7"/>
      <c r="R2352" s="1"/>
      <c r="S2352" s="1" t="str">
        <f>"6-19/NOS-75-A/18"</f>
        <v>6-19/NOS-75-A/18</v>
      </c>
      <c r="T2352" s="2" t="s">
        <v>33</v>
      </c>
    </row>
    <row r="2353" spans="1:20" ht="38.25" x14ac:dyDescent="0.25">
      <c r="A2353" s="1">
        <v>2349</v>
      </c>
      <c r="B2353" s="1" t="str">
        <f t="shared" si="230"/>
        <v>2018-2793</v>
      </c>
      <c r="C2353" s="2" t="s">
        <v>1201</v>
      </c>
      <c r="D2353" s="1" t="s">
        <v>1202</v>
      </c>
      <c r="E2353" s="3" t="str">
        <f>""</f>
        <v/>
      </c>
      <c r="F2353" s="2" t="s">
        <v>27</v>
      </c>
      <c r="G2353" s="2" t="str">
        <f t="shared" si="232"/>
        <v>ID EKO D.O.O., POREČKA 11, 10000 ZAGREB, OIB: 72667678548</v>
      </c>
      <c r="H2353" s="1" t="str">
        <f t="shared" si="231"/>
        <v>CIAN D.O.O., OIB: 0420160387</v>
      </c>
      <c r="I2353" s="1" t="s">
        <v>455</v>
      </c>
      <c r="J2353" s="1" t="s">
        <v>303</v>
      </c>
      <c r="K2353" s="6" t="str">
        <f>"62.000,00"</f>
        <v>62.000,00</v>
      </c>
      <c r="L2353" s="6" t="str">
        <f>"15.500,00"</f>
        <v>15.500,00</v>
      </c>
      <c r="M2353" s="6" t="str">
        <f>"77.500,00"</f>
        <v>77.500,00</v>
      </c>
      <c r="N2353" s="5">
        <v>43616</v>
      </c>
      <c r="O2353" s="7"/>
      <c r="P2353" s="6" t="str">
        <f>"77.500,00"</f>
        <v>77.500,00</v>
      </c>
      <c r="Q2353" s="7"/>
      <c r="R2353" s="1"/>
      <c r="S2353" s="1" t="str">
        <f>"7-19/NOS-75-A/18"</f>
        <v>7-19/NOS-75-A/18</v>
      </c>
      <c r="T2353" s="2" t="s">
        <v>33</v>
      </c>
    </row>
    <row r="2354" spans="1:20" ht="38.25" x14ac:dyDescent="0.25">
      <c r="A2354" s="1">
        <v>2350</v>
      </c>
      <c r="B2354" s="1" t="str">
        <f t="shared" si="230"/>
        <v>2018-2793</v>
      </c>
      <c r="C2354" s="2" t="s">
        <v>1201</v>
      </c>
      <c r="D2354" s="1" t="s">
        <v>1202</v>
      </c>
      <c r="E2354" s="3" t="str">
        <f>""</f>
        <v/>
      </c>
      <c r="F2354" s="2" t="s">
        <v>27</v>
      </c>
      <c r="G2354" s="2" t="str">
        <f t="shared" si="232"/>
        <v>ID EKO D.O.O., POREČKA 11, 10000 ZAGREB, OIB: 72667678548</v>
      </c>
      <c r="H2354" s="1" t="str">
        <f t="shared" si="231"/>
        <v>CIAN D.O.O., OIB: 0420160387</v>
      </c>
      <c r="I2354" s="1" t="s">
        <v>334</v>
      </c>
      <c r="J2354" s="1" t="s">
        <v>303</v>
      </c>
      <c r="K2354" s="6" t="str">
        <f>"12.000,00"</f>
        <v>12.000,00</v>
      </c>
      <c r="L2354" s="6" t="str">
        <f>"3.000,00"</f>
        <v>3.000,00</v>
      </c>
      <c r="M2354" s="6" t="str">
        <f>"15.000,00"</f>
        <v>15.000,00</v>
      </c>
      <c r="N2354" s="5">
        <v>43644</v>
      </c>
      <c r="O2354" s="7"/>
      <c r="P2354" s="6" t="str">
        <f>"15.000,00"</f>
        <v>15.000,00</v>
      </c>
      <c r="Q2354" s="7"/>
      <c r="R2354" s="1"/>
      <c r="S2354" s="1" t="str">
        <f>"8-19/NOS-75-A/18"</f>
        <v>8-19/NOS-75-A/18</v>
      </c>
      <c r="T2354" s="2" t="s">
        <v>33</v>
      </c>
    </row>
    <row r="2355" spans="1:20" ht="38.25" x14ac:dyDescent="0.25">
      <c r="A2355" s="1">
        <v>2351</v>
      </c>
      <c r="B2355" s="1" t="str">
        <f t="shared" si="230"/>
        <v>2018-2793</v>
      </c>
      <c r="C2355" s="2" t="s">
        <v>1201</v>
      </c>
      <c r="D2355" s="1" t="s">
        <v>1202</v>
      </c>
      <c r="E2355" s="3" t="str">
        <f>""</f>
        <v/>
      </c>
      <c r="F2355" s="2" t="s">
        <v>27</v>
      </c>
      <c r="G2355" s="2" t="str">
        <f t="shared" si="232"/>
        <v>ID EKO D.O.O., POREČKA 11, 10000 ZAGREB, OIB: 72667678548</v>
      </c>
      <c r="H2355" s="1" t="str">
        <f t="shared" si="231"/>
        <v>CIAN D.O.O., OIB: 0420160387</v>
      </c>
      <c r="I2355" s="1" t="s">
        <v>320</v>
      </c>
      <c r="J2355" s="1" t="s">
        <v>303</v>
      </c>
      <c r="K2355" s="6" t="str">
        <f>"10.000,00"</f>
        <v>10.000,00</v>
      </c>
      <c r="L2355" s="6" t="str">
        <f>"2.500,00"</f>
        <v>2.500,00</v>
      </c>
      <c r="M2355" s="6" t="str">
        <f>"12.500,00"</f>
        <v>12.500,00</v>
      </c>
      <c r="N2355" s="5">
        <v>43621</v>
      </c>
      <c r="O2355" s="7"/>
      <c r="P2355" s="6" t="str">
        <f>"12.500,00"</f>
        <v>12.500,00</v>
      </c>
      <c r="Q2355" s="7"/>
      <c r="R2355" s="1"/>
      <c r="S2355" s="1" t="str">
        <f>"10-19/NOS-75-A/18"</f>
        <v>10-19/NOS-75-A/18</v>
      </c>
      <c r="T2355" s="2" t="s">
        <v>33</v>
      </c>
    </row>
    <row r="2356" spans="1:20" ht="38.25" x14ac:dyDescent="0.25">
      <c r="A2356" s="1">
        <v>2352</v>
      </c>
      <c r="B2356" s="1" t="str">
        <f t="shared" si="230"/>
        <v>2018-2793</v>
      </c>
      <c r="C2356" s="2" t="s">
        <v>1201</v>
      </c>
      <c r="D2356" s="1" t="s">
        <v>1202</v>
      </c>
      <c r="E2356" s="3" t="str">
        <f>""</f>
        <v/>
      </c>
      <c r="F2356" s="2" t="s">
        <v>27</v>
      </c>
      <c r="G2356" s="2" t="str">
        <f t="shared" si="232"/>
        <v>ID EKO D.O.O., POREČKA 11, 10000 ZAGREB, OIB: 72667678548</v>
      </c>
      <c r="H2356" s="1" t="str">
        <f t="shared" si="231"/>
        <v>CIAN D.O.O., OIB: 0420160387</v>
      </c>
      <c r="I2356" s="1" t="s">
        <v>320</v>
      </c>
      <c r="J2356" s="1" t="s">
        <v>303</v>
      </c>
      <c r="K2356" s="6" t="str">
        <f>"57.000,00"</f>
        <v>57.000,00</v>
      </c>
      <c r="L2356" s="6" t="str">
        <f>"14.250,00"</f>
        <v>14.250,00</v>
      </c>
      <c r="M2356" s="6" t="str">
        <f>"71.250,00"</f>
        <v>71.250,00</v>
      </c>
      <c r="N2356" s="5">
        <v>43634</v>
      </c>
      <c r="O2356" s="7"/>
      <c r="P2356" s="6" t="str">
        <f>"71.250,00"</f>
        <v>71.250,00</v>
      </c>
      <c r="Q2356" s="7"/>
      <c r="R2356" s="1"/>
      <c r="S2356" s="1" t="str">
        <f>"11-19/NOS-75-A/18"</f>
        <v>11-19/NOS-75-A/18</v>
      </c>
      <c r="T2356" s="2" t="s">
        <v>33</v>
      </c>
    </row>
    <row r="2357" spans="1:20" ht="38.25" x14ac:dyDescent="0.25">
      <c r="A2357" s="1">
        <v>2353</v>
      </c>
      <c r="B2357" s="1" t="str">
        <f t="shared" si="230"/>
        <v>2018-2793</v>
      </c>
      <c r="C2357" s="2" t="s">
        <v>1201</v>
      </c>
      <c r="D2357" s="1" t="s">
        <v>1202</v>
      </c>
      <c r="E2357" s="3" t="str">
        <f>""</f>
        <v/>
      </c>
      <c r="F2357" s="2" t="s">
        <v>27</v>
      </c>
      <c r="G2357" s="2" t="str">
        <f t="shared" si="232"/>
        <v>ID EKO D.O.O., POREČKA 11, 10000 ZAGREB, OIB: 72667678548</v>
      </c>
      <c r="H2357" s="1" t="str">
        <f t="shared" si="231"/>
        <v>CIAN D.O.O., OIB: 0420160387</v>
      </c>
      <c r="I2357" s="1" t="s">
        <v>424</v>
      </c>
      <c r="J2357" s="1" t="s">
        <v>303</v>
      </c>
      <c r="K2357" s="6" t="str">
        <f>"28.500,00"</f>
        <v>28.500,00</v>
      </c>
      <c r="L2357" s="6" t="str">
        <f>"7.125,00"</f>
        <v>7.125,00</v>
      </c>
      <c r="M2357" s="6" t="str">
        <f>"35.625,00"</f>
        <v>35.625,00</v>
      </c>
      <c r="N2357" s="5">
        <v>43677</v>
      </c>
      <c r="O2357" s="7"/>
      <c r="P2357" s="6" t="str">
        <f>"35.625,00"</f>
        <v>35.625,00</v>
      </c>
      <c r="Q2357" s="7"/>
      <c r="R2357" s="1"/>
      <c r="S2357" s="1" t="str">
        <f>"12-19/NOS-75-A/18"</f>
        <v>12-19/NOS-75-A/18</v>
      </c>
      <c r="T2357" s="2" t="s">
        <v>33</v>
      </c>
    </row>
    <row r="2358" spans="1:20" ht="38.25" x14ac:dyDescent="0.25">
      <c r="A2358" s="1">
        <v>2354</v>
      </c>
      <c r="B2358" s="1" t="str">
        <f t="shared" si="230"/>
        <v>2018-2793</v>
      </c>
      <c r="C2358" s="2" t="s">
        <v>1201</v>
      </c>
      <c r="D2358" s="1" t="s">
        <v>1202</v>
      </c>
      <c r="E2358" s="3" t="str">
        <f>""</f>
        <v/>
      </c>
      <c r="F2358" s="2" t="s">
        <v>27</v>
      </c>
      <c r="G2358" s="2" t="str">
        <f t="shared" si="232"/>
        <v>ID EKO D.O.O., POREČKA 11, 10000 ZAGREB, OIB: 72667678548</v>
      </c>
      <c r="H2358" s="1" t="str">
        <f t="shared" si="231"/>
        <v>CIAN D.O.O., OIB: 0420160387</v>
      </c>
      <c r="I2358" s="1" t="s">
        <v>640</v>
      </c>
      <c r="J2358" s="1" t="s">
        <v>303</v>
      </c>
      <c r="K2358" s="6" t="str">
        <f>"20.000,00"</f>
        <v>20.000,00</v>
      </c>
      <c r="L2358" s="6" t="str">
        <f>"5.000,00"</f>
        <v>5.000,00</v>
      </c>
      <c r="M2358" s="6" t="str">
        <f>"25.000,00"</f>
        <v>25.000,00</v>
      </c>
      <c r="N2358" s="5">
        <v>43644</v>
      </c>
      <c r="O2358" s="7"/>
      <c r="P2358" s="6" t="str">
        <f>"25.000,00"</f>
        <v>25.000,00</v>
      </c>
      <c r="Q2358" s="7"/>
      <c r="R2358" s="1"/>
      <c r="S2358" s="1" t="str">
        <f>"13-19/NOS-75-A/18"</f>
        <v>13-19/NOS-75-A/18</v>
      </c>
      <c r="T2358" s="2" t="s">
        <v>33</v>
      </c>
    </row>
    <row r="2359" spans="1:20" ht="51" x14ac:dyDescent="0.25">
      <c r="A2359" s="1">
        <v>2355</v>
      </c>
      <c r="B2359" s="1" t="str">
        <f t="shared" si="230"/>
        <v>2018-2793</v>
      </c>
      <c r="C2359" s="2" t="s">
        <v>1201</v>
      </c>
      <c r="D2359" s="1" t="s">
        <v>1202</v>
      </c>
      <c r="E2359" s="3" t="str">
        <f>"2018/S 0F2-0020415"</f>
        <v>2018/S 0F2-0020415</v>
      </c>
      <c r="F2359" s="2" t="s">
        <v>23</v>
      </c>
      <c r="G2359" s="2" t="str">
        <f>CONCATENATE("ID EKO D.O.O.,"," POREČKA 11,"," 10000 ZAGREB,"," OIB: 72667678548",CHAR(10),"DEZINSEKCIJA D.O.O.,"," BRAJŠINA 13,"," 51000 RIJEKA,"," OIB: 75145286506")</f>
        <v>ID EKO D.O.O., POREČKA 11, 10000 ZAGREB, OIB: 72667678548
DEZINSEKCIJA D.O.O., BRAJŠINA 13, 51000 RIJEKA, OIB: 75145286506</v>
      </c>
      <c r="H2359" s="1" t="str">
        <f t="shared" si="231"/>
        <v>CIAN D.O.O., OIB: 0420160387</v>
      </c>
      <c r="I2359" s="1" t="s">
        <v>159</v>
      </c>
      <c r="J2359" s="1" t="s">
        <v>1203</v>
      </c>
      <c r="K2359" s="6" t="str">
        <f>"80.000,00"</f>
        <v>80.000,00</v>
      </c>
      <c r="L2359" s="6" t="str">
        <f>"20.000,00"</f>
        <v>20.000,00</v>
      </c>
      <c r="M2359" s="6" t="str">
        <f>"100.000,00"</f>
        <v>100.000,00</v>
      </c>
      <c r="N2359" s="7"/>
      <c r="O2359" s="7"/>
      <c r="P2359" s="6" t="str">
        <f>""</f>
        <v/>
      </c>
      <c r="Q2359" s="7"/>
      <c r="R2359" s="1"/>
      <c r="S2359" s="1" t="str">
        <f>"NOS-75-B/18"</f>
        <v>NOS-75-B/18</v>
      </c>
      <c r="T2359" s="2" t="s">
        <v>514</v>
      </c>
    </row>
    <row r="2360" spans="1:20" ht="89.25" x14ac:dyDescent="0.25">
      <c r="A2360" s="1">
        <v>2356</v>
      </c>
      <c r="B2360" s="1" t="str">
        <f t="shared" ref="B2360:B2389" si="233">"2018-2652"</f>
        <v>2018-2652</v>
      </c>
      <c r="C2360" s="2" t="s">
        <v>1204</v>
      </c>
      <c r="D2360" s="1" t="s">
        <v>786</v>
      </c>
      <c r="E2360" s="3" t="str">
        <f>"2018/S 0F2-0018181"</f>
        <v>2018/S 0F2-0018181</v>
      </c>
      <c r="F2360" s="2" t="s">
        <v>23</v>
      </c>
      <c r="G2360" s="2" t="str">
        <f>CONCATENATE("M-COM USLUGE D.O.O.,"," TRG KREŠIMIRA ĆOSIĆA 10,"," 10000 ZAGREB,"," OIB: 85546467214",CHAR(10),"TEHMAR D.O.O.,"," STAJNIČKA 5,"," 10251 HRVATSKI LESKOVAC,"," OIB: 78055843019",CHAR(10),"APEX-ING D.O.O.,"," PIRINOVA 3,"," 10360 SESVETE,"," OIB: 52469461639")</f>
        <v>M-COM USLUGE D.O.O., TRG KREŠIMIRA ĆOSIĆA 10, 10000 ZAGREB, OIB: 85546467214
TEHMAR D.O.O., STAJNIČKA 5, 10251 HRVATSKI LESKOVAC, OIB: 78055843019
APEX-ING D.O.O., PIRINOVA 3, 10360 SESVETE, OIB: 52469461639</v>
      </c>
      <c r="H2360" s="4"/>
      <c r="I2360" s="1" t="s">
        <v>1151</v>
      </c>
      <c r="J2360" s="1" t="s">
        <v>1205</v>
      </c>
      <c r="K2360" s="6" t="str">
        <f>"2.500.000,00"</f>
        <v>2.500.000,00</v>
      </c>
      <c r="L2360" s="6" t="str">
        <f>"625.000,00"</f>
        <v>625.000,00</v>
      </c>
      <c r="M2360" s="6" t="str">
        <f>"3.125.000,00"</f>
        <v>3.125.000,00</v>
      </c>
      <c r="N2360" s="7"/>
      <c r="O2360" s="7"/>
      <c r="P2360" s="6" t="str">
        <f>""</f>
        <v/>
      </c>
      <c r="Q2360" s="7"/>
      <c r="R2360" s="1"/>
      <c r="S2360" s="1" t="str">
        <f>"NOS-76/18"</f>
        <v>NOS-76/18</v>
      </c>
      <c r="T2360" s="2" t="s">
        <v>65</v>
      </c>
    </row>
    <row r="2361" spans="1:20" ht="38.25" x14ac:dyDescent="0.25">
      <c r="A2361" s="1">
        <v>2357</v>
      </c>
      <c r="B2361" s="1" t="str">
        <f t="shared" si="233"/>
        <v>2018-2652</v>
      </c>
      <c r="C2361" s="2" t="s">
        <v>1204</v>
      </c>
      <c r="D2361" s="1" t="s">
        <v>786</v>
      </c>
      <c r="E2361" s="3" t="str">
        <f>""</f>
        <v/>
      </c>
      <c r="F2361" s="2" t="s">
        <v>27</v>
      </c>
      <c r="G2361" s="2" t="str">
        <f t="shared" ref="G2361:G2380" si="234">CONCATENATE("M-COM USLUGE D.O.O.,"," TRG KREŠIMIRA ĆOSIĆA 10,"," 10000 ZAGREB,"," OIB: 85546467214")</f>
        <v>M-COM USLUGE D.O.O., TRG KREŠIMIRA ĆOSIĆA 10, 10000 ZAGREB, OIB: 85546467214</v>
      </c>
      <c r="H2361" s="4"/>
      <c r="I2361" s="1" t="s">
        <v>71</v>
      </c>
      <c r="J2361" s="1" t="s">
        <v>251</v>
      </c>
      <c r="K2361" s="6" t="str">
        <f>"7.887,50"</f>
        <v>7.887,50</v>
      </c>
      <c r="L2361" s="6" t="str">
        <f>"0,00"</f>
        <v>0,00</v>
      </c>
      <c r="M2361" s="6" t="str">
        <f>"0,00"</f>
        <v>0,00</v>
      </c>
      <c r="N2361" s="1" t="s">
        <v>117</v>
      </c>
      <c r="O2361" s="7"/>
      <c r="P2361" s="6" t="str">
        <f>"0,00"</f>
        <v>0,00</v>
      </c>
      <c r="Q2361" s="7"/>
      <c r="R2361" s="1"/>
      <c r="S2361" s="1" t="str">
        <f>"1-19/NOS-76/18"</f>
        <v>1-19/NOS-76/18</v>
      </c>
      <c r="T2361" s="2" t="s">
        <v>65</v>
      </c>
    </row>
    <row r="2362" spans="1:20" ht="38.25" x14ac:dyDescent="0.25">
      <c r="A2362" s="1">
        <v>2358</v>
      </c>
      <c r="B2362" s="1" t="str">
        <f t="shared" si="233"/>
        <v>2018-2652</v>
      </c>
      <c r="C2362" s="2" t="s">
        <v>1204</v>
      </c>
      <c r="D2362" s="1" t="s">
        <v>786</v>
      </c>
      <c r="E2362" s="3" t="str">
        <f>""</f>
        <v/>
      </c>
      <c r="F2362" s="2" t="s">
        <v>27</v>
      </c>
      <c r="G2362" s="2" t="str">
        <f t="shared" si="234"/>
        <v>M-COM USLUGE D.O.O., TRG KREŠIMIRA ĆOSIĆA 10, 10000 ZAGREB, OIB: 85546467214</v>
      </c>
      <c r="H2362" s="4"/>
      <c r="I2362" s="1" t="s">
        <v>264</v>
      </c>
      <c r="J2362" s="1" t="s">
        <v>251</v>
      </c>
      <c r="K2362" s="6" t="str">
        <f>"4.200,00"</f>
        <v>4.200,00</v>
      </c>
      <c r="L2362" s="6" t="str">
        <f>"1.050,00"</f>
        <v>1.050,00</v>
      </c>
      <c r="M2362" s="6" t="str">
        <f>"5.250,00"</f>
        <v>5.250,00</v>
      </c>
      <c r="N2362" s="5">
        <v>43539</v>
      </c>
      <c r="O2362" s="7"/>
      <c r="P2362" s="6" t="str">
        <f>"5.250,00"</f>
        <v>5.250,00</v>
      </c>
      <c r="Q2362" s="7"/>
      <c r="R2362" s="1"/>
      <c r="S2362" s="1" t="str">
        <f>"2-19/NOS-76/18"</f>
        <v>2-19/NOS-76/18</v>
      </c>
      <c r="T2362" s="2" t="s">
        <v>65</v>
      </c>
    </row>
    <row r="2363" spans="1:20" ht="38.25" x14ac:dyDescent="0.25">
      <c r="A2363" s="1">
        <v>2359</v>
      </c>
      <c r="B2363" s="1" t="str">
        <f t="shared" si="233"/>
        <v>2018-2652</v>
      </c>
      <c r="C2363" s="2" t="s">
        <v>1204</v>
      </c>
      <c r="D2363" s="1" t="s">
        <v>786</v>
      </c>
      <c r="E2363" s="3" t="str">
        <f>""</f>
        <v/>
      </c>
      <c r="F2363" s="2" t="s">
        <v>27</v>
      </c>
      <c r="G2363" s="2" t="str">
        <f t="shared" si="234"/>
        <v>M-COM USLUGE D.O.O., TRG KREŠIMIRA ĆOSIĆA 10, 10000 ZAGREB, OIB: 85546467214</v>
      </c>
      <c r="H2363" s="4"/>
      <c r="I2363" s="1" t="s">
        <v>264</v>
      </c>
      <c r="J2363" s="1" t="s">
        <v>251</v>
      </c>
      <c r="K2363" s="6" t="str">
        <f>"9.874,80"</f>
        <v>9.874,80</v>
      </c>
      <c r="L2363" s="6" t="str">
        <f>"0,00"</f>
        <v>0,00</v>
      </c>
      <c r="M2363" s="6" t="str">
        <f>"0,00"</f>
        <v>0,00</v>
      </c>
      <c r="N2363" s="1" t="s">
        <v>117</v>
      </c>
      <c r="O2363" s="7"/>
      <c r="P2363" s="6" t="str">
        <f>"0,00"</f>
        <v>0,00</v>
      </c>
      <c r="Q2363" s="7"/>
      <c r="R2363" s="1"/>
      <c r="S2363" s="1" t="str">
        <f>"3-19/NOS-76/18"</f>
        <v>3-19/NOS-76/18</v>
      </c>
      <c r="T2363" s="2" t="s">
        <v>65</v>
      </c>
    </row>
    <row r="2364" spans="1:20" ht="38.25" x14ac:dyDescent="0.25">
      <c r="A2364" s="1">
        <v>2360</v>
      </c>
      <c r="B2364" s="1" t="str">
        <f t="shared" si="233"/>
        <v>2018-2652</v>
      </c>
      <c r="C2364" s="2" t="s">
        <v>1204</v>
      </c>
      <c r="D2364" s="1" t="s">
        <v>786</v>
      </c>
      <c r="E2364" s="3" t="str">
        <f>""</f>
        <v/>
      </c>
      <c r="F2364" s="2" t="s">
        <v>27</v>
      </c>
      <c r="G2364" s="2" t="str">
        <f t="shared" si="234"/>
        <v>M-COM USLUGE D.O.O., TRG KREŠIMIRA ĆOSIĆA 10, 10000 ZAGREB, OIB: 85546467214</v>
      </c>
      <c r="H2364" s="4"/>
      <c r="I2364" s="1" t="s">
        <v>373</v>
      </c>
      <c r="J2364" s="1" t="s">
        <v>251</v>
      </c>
      <c r="K2364" s="6" t="str">
        <f>"6.030,00"</f>
        <v>6.030,00</v>
      </c>
      <c r="L2364" s="6" t="str">
        <f>"1.507,50"</f>
        <v>1.507,50</v>
      </c>
      <c r="M2364" s="6" t="str">
        <f>"7.537,50"</f>
        <v>7.537,50</v>
      </c>
      <c r="N2364" s="5">
        <v>43528</v>
      </c>
      <c r="O2364" s="7"/>
      <c r="P2364" s="6" t="str">
        <f>"7.537,50"</f>
        <v>7.537,50</v>
      </c>
      <c r="Q2364" s="7"/>
      <c r="R2364" s="1"/>
      <c r="S2364" s="1" t="str">
        <f>"4-19/NOS-76/18"</f>
        <v>4-19/NOS-76/18</v>
      </c>
      <c r="T2364" s="2" t="s">
        <v>65</v>
      </c>
    </row>
    <row r="2365" spans="1:20" ht="38.25" x14ac:dyDescent="0.25">
      <c r="A2365" s="1">
        <v>2361</v>
      </c>
      <c r="B2365" s="1" t="str">
        <f t="shared" si="233"/>
        <v>2018-2652</v>
      </c>
      <c r="C2365" s="2" t="s">
        <v>1204</v>
      </c>
      <c r="D2365" s="1" t="s">
        <v>786</v>
      </c>
      <c r="E2365" s="3" t="str">
        <f>""</f>
        <v/>
      </c>
      <c r="F2365" s="2" t="s">
        <v>27</v>
      </c>
      <c r="G2365" s="2" t="str">
        <f t="shared" si="234"/>
        <v>M-COM USLUGE D.O.O., TRG KREŠIMIRA ĆOSIĆA 10, 10000 ZAGREB, OIB: 85546467214</v>
      </c>
      <c r="H2365" s="4"/>
      <c r="I2365" s="1" t="s">
        <v>373</v>
      </c>
      <c r="J2365" s="1" t="s">
        <v>251</v>
      </c>
      <c r="K2365" s="6" t="str">
        <f>"1.940,00"</f>
        <v>1.940,00</v>
      </c>
      <c r="L2365" s="6" t="str">
        <f>"485,00"</f>
        <v>485,00</v>
      </c>
      <c r="M2365" s="6" t="str">
        <f>"2.425,00"</f>
        <v>2.425,00</v>
      </c>
      <c r="N2365" s="5">
        <v>43528</v>
      </c>
      <c r="O2365" s="7"/>
      <c r="P2365" s="6" t="str">
        <f>"2.425,00"</f>
        <v>2.425,00</v>
      </c>
      <c r="Q2365" s="7"/>
      <c r="R2365" s="1"/>
      <c r="S2365" s="1" t="str">
        <f>"5-19/NOS-76/18"</f>
        <v>5-19/NOS-76/18</v>
      </c>
      <c r="T2365" s="2" t="s">
        <v>65</v>
      </c>
    </row>
    <row r="2366" spans="1:20" ht="38.25" x14ac:dyDescent="0.25">
      <c r="A2366" s="1">
        <v>2362</v>
      </c>
      <c r="B2366" s="1" t="str">
        <f t="shared" si="233"/>
        <v>2018-2652</v>
      </c>
      <c r="C2366" s="2" t="s">
        <v>1204</v>
      </c>
      <c r="D2366" s="1" t="s">
        <v>786</v>
      </c>
      <c r="E2366" s="3" t="str">
        <f>""</f>
        <v/>
      </c>
      <c r="F2366" s="2" t="s">
        <v>27</v>
      </c>
      <c r="G2366" s="2" t="str">
        <f t="shared" si="234"/>
        <v>M-COM USLUGE D.O.O., TRG KREŠIMIRA ĆOSIĆA 10, 10000 ZAGREB, OIB: 85546467214</v>
      </c>
      <c r="H2366" s="4"/>
      <c r="I2366" s="1" t="s">
        <v>204</v>
      </c>
      <c r="J2366" s="1" t="s">
        <v>251</v>
      </c>
      <c r="K2366" s="6" t="str">
        <f>"3.900,00"</f>
        <v>3.900,00</v>
      </c>
      <c r="L2366" s="6" t="str">
        <f>"975,00"</f>
        <v>975,00</v>
      </c>
      <c r="M2366" s="6" t="str">
        <f>"4.875,00"</f>
        <v>4.875,00</v>
      </c>
      <c r="N2366" s="5">
        <v>43538</v>
      </c>
      <c r="O2366" s="7"/>
      <c r="P2366" s="6" t="str">
        <f>"4.875,00"</f>
        <v>4.875,00</v>
      </c>
      <c r="Q2366" s="7"/>
      <c r="R2366" s="1"/>
      <c r="S2366" s="1" t="str">
        <f>"6-19/NOS-76/18"</f>
        <v>6-19/NOS-76/18</v>
      </c>
      <c r="T2366" s="2" t="s">
        <v>65</v>
      </c>
    </row>
    <row r="2367" spans="1:20" ht="38.25" x14ac:dyDescent="0.25">
      <c r="A2367" s="1">
        <v>2363</v>
      </c>
      <c r="B2367" s="1" t="str">
        <f t="shared" si="233"/>
        <v>2018-2652</v>
      </c>
      <c r="C2367" s="2" t="s">
        <v>1204</v>
      </c>
      <c r="D2367" s="1" t="s">
        <v>786</v>
      </c>
      <c r="E2367" s="3" t="str">
        <f>""</f>
        <v/>
      </c>
      <c r="F2367" s="2" t="s">
        <v>27</v>
      </c>
      <c r="G2367" s="2" t="str">
        <f t="shared" si="234"/>
        <v>M-COM USLUGE D.O.O., TRG KREŠIMIRA ĆOSIĆA 10, 10000 ZAGREB, OIB: 85546467214</v>
      </c>
      <c r="H2367" s="4"/>
      <c r="I2367" s="1" t="s">
        <v>204</v>
      </c>
      <c r="J2367" s="1" t="s">
        <v>251</v>
      </c>
      <c r="K2367" s="6" t="str">
        <f>"10.553,00"</f>
        <v>10.553,00</v>
      </c>
      <c r="L2367" s="6" t="str">
        <f>"2.638,25"</f>
        <v>2.638,25</v>
      </c>
      <c r="M2367" s="6" t="str">
        <f>"13.191,25"</f>
        <v>13.191,25</v>
      </c>
      <c r="N2367" s="5">
        <v>43539</v>
      </c>
      <c r="O2367" s="7"/>
      <c r="P2367" s="6" t="str">
        <f>"13.191,25"</f>
        <v>13.191,25</v>
      </c>
      <c r="Q2367" s="7"/>
      <c r="R2367" s="1"/>
      <c r="S2367" s="1" t="str">
        <f>"7-19/NOS-76/18"</f>
        <v>7-19/NOS-76/18</v>
      </c>
      <c r="T2367" s="2" t="s">
        <v>65</v>
      </c>
    </row>
    <row r="2368" spans="1:20" ht="38.25" x14ac:dyDescent="0.25">
      <c r="A2368" s="1">
        <v>2364</v>
      </c>
      <c r="B2368" s="1" t="str">
        <f t="shared" si="233"/>
        <v>2018-2652</v>
      </c>
      <c r="C2368" s="2" t="s">
        <v>1204</v>
      </c>
      <c r="D2368" s="1" t="s">
        <v>786</v>
      </c>
      <c r="E2368" s="3" t="str">
        <f>""</f>
        <v/>
      </c>
      <c r="F2368" s="2" t="s">
        <v>27</v>
      </c>
      <c r="G2368" s="2" t="str">
        <f t="shared" si="234"/>
        <v>M-COM USLUGE D.O.O., TRG KREŠIMIRA ĆOSIĆA 10, 10000 ZAGREB, OIB: 85546467214</v>
      </c>
      <c r="H2368" s="4"/>
      <c r="I2368" s="1" t="s">
        <v>280</v>
      </c>
      <c r="J2368" s="1" t="s">
        <v>31</v>
      </c>
      <c r="K2368" s="6" t="str">
        <f>"19.110,00"</f>
        <v>19.110,00</v>
      </c>
      <c r="L2368" s="6" t="str">
        <f>"4.777,50"</f>
        <v>4.777,50</v>
      </c>
      <c r="M2368" s="6" t="str">
        <f>"23.887,50"</f>
        <v>23.887,50</v>
      </c>
      <c r="N2368" s="5">
        <v>43607</v>
      </c>
      <c r="O2368" s="7"/>
      <c r="P2368" s="6" t="str">
        <f>"23.887,50"</f>
        <v>23.887,50</v>
      </c>
      <c r="Q2368" s="7"/>
      <c r="R2368" s="1"/>
      <c r="S2368" s="1" t="str">
        <f>"8-19/NOS-76/18"</f>
        <v>8-19/NOS-76/18</v>
      </c>
      <c r="T2368" s="2" t="s">
        <v>65</v>
      </c>
    </row>
    <row r="2369" spans="1:20" ht="38.25" x14ac:dyDescent="0.25">
      <c r="A2369" s="1">
        <v>2365</v>
      </c>
      <c r="B2369" s="1" t="str">
        <f t="shared" si="233"/>
        <v>2018-2652</v>
      </c>
      <c r="C2369" s="2" t="s">
        <v>1204</v>
      </c>
      <c r="D2369" s="1" t="s">
        <v>786</v>
      </c>
      <c r="E2369" s="3" t="str">
        <f>""</f>
        <v/>
      </c>
      <c r="F2369" s="2" t="s">
        <v>27</v>
      </c>
      <c r="G2369" s="2" t="str">
        <f t="shared" si="234"/>
        <v>M-COM USLUGE D.O.O., TRG KREŠIMIRA ĆOSIĆA 10, 10000 ZAGREB, OIB: 85546467214</v>
      </c>
      <c r="H2369" s="4"/>
      <c r="I2369" s="1" t="s">
        <v>670</v>
      </c>
      <c r="J2369" s="1" t="s">
        <v>251</v>
      </c>
      <c r="K2369" s="6" t="str">
        <f>"17.980,00"</f>
        <v>17.980,00</v>
      </c>
      <c r="L2369" s="6" t="str">
        <f>"4.495,00"</f>
        <v>4.495,00</v>
      </c>
      <c r="M2369" s="6" t="str">
        <f>"22.475,00"</f>
        <v>22.475,00</v>
      </c>
      <c r="N2369" s="5">
        <v>43662</v>
      </c>
      <c r="O2369" s="7"/>
      <c r="P2369" s="6" t="str">
        <f>"22.475,00"</f>
        <v>22.475,00</v>
      </c>
      <c r="Q2369" s="7"/>
      <c r="R2369" s="1"/>
      <c r="S2369" s="1" t="str">
        <f>"9-19/NOS-76/18"</f>
        <v>9-19/NOS-76/18</v>
      </c>
      <c r="T2369" s="2" t="s">
        <v>65</v>
      </c>
    </row>
    <row r="2370" spans="1:20" ht="38.25" x14ac:dyDescent="0.25">
      <c r="A2370" s="1">
        <v>2366</v>
      </c>
      <c r="B2370" s="1" t="str">
        <f t="shared" si="233"/>
        <v>2018-2652</v>
      </c>
      <c r="C2370" s="2" t="s">
        <v>1204</v>
      </c>
      <c r="D2370" s="1" t="s">
        <v>786</v>
      </c>
      <c r="E2370" s="3" t="str">
        <f>""</f>
        <v/>
      </c>
      <c r="F2370" s="2" t="s">
        <v>27</v>
      </c>
      <c r="G2370" s="2" t="str">
        <f t="shared" si="234"/>
        <v>M-COM USLUGE D.O.O., TRG KREŠIMIRA ĆOSIĆA 10, 10000 ZAGREB, OIB: 85546467214</v>
      </c>
      <c r="H2370" s="4"/>
      <c r="I2370" s="1" t="s">
        <v>351</v>
      </c>
      <c r="J2370" s="1" t="s">
        <v>251</v>
      </c>
      <c r="K2370" s="6" t="str">
        <f>"6.812,50"</f>
        <v>6.812,50</v>
      </c>
      <c r="L2370" s="6" t="str">
        <f>"1.703,13"</f>
        <v>1.703,13</v>
      </c>
      <c r="M2370" s="6" t="str">
        <f>"8.515,63"</f>
        <v>8.515,63</v>
      </c>
      <c r="N2370" s="5">
        <v>43588</v>
      </c>
      <c r="O2370" s="7"/>
      <c r="P2370" s="6" t="str">
        <f>"8.515,62"</f>
        <v>8.515,62</v>
      </c>
      <c r="Q2370" s="7"/>
      <c r="R2370" s="1"/>
      <c r="S2370" s="1" t="str">
        <f>"10-19/NOS-76/18"</f>
        <v>10-19/NOS-76/18</v>
      </c>
      <c r="T2370" s="2" t="s">
        <v>65</v>
      </c>
    </row>
    <row r="2371" spans="1:20" ht="38.25" x14ac:dyDescent="0.25">
      <c r="A2371" s="1">
        <v>2367</v>
      </c>
      <c r="B2371" s="1" t="str">
        <f t="shared" si="233"/>
        <v>2018-2652</v>
      </c>
      <c r="C2371" s="2" t="s">
        <v>1204</v>
      </c>
      <c r="D2371" s="1" t="s">
        <v>786</v>
      </c>
      <c r="E2371" s="3" t="str">
        <f>""</f>
        <v/>
      </c>
      <c r="F2371" s="2" t="s">
        <v>27</v>
      </c>
      <c r="G2371" s="2" t="str">
        <f t="shared" si="234"/>
        <v>M-COM USLUGE D.O.O., TRG KREŠIMIRA ĆOSIĆA 10, 10000 ZAGREB, OIB: 85546467214</v>
      </c>
      <c r="H2371" s="4"/>
      <c r="I2371" s="1" t="s">
        <v>286</v>
      </c>
      <c r="J2371" s="1" t="s">
        <v>251</v>
      </c>
      <c r="K2371" s="6" t="str">
        <f>"4.055,60"</f>
        <v>4.055,60</v>
      </c>
      <c r="L2371" s="6" t="str">
        <f>"328,50"</f>
        <v>328,50</v>
      </c>
      <c r="M2371" s="6" t="str">
        <f>"1.642,50"</f>
        <v>1.642,50</v>
      </c>
      <c r="N2371" s="5">
        <v>43675</v>
      </c>
      <c r="O2371" s="7"/>
      <c r="P2371" s="6" t="str">
        <f>"1.642,50"</f>
        <v>1.642,50</v>
      </c>
      <c r="Q2371" s="7"/>
      <c r="R2371" s="1"/>
      <c r="S2371" s="1" t="str">
        <f>"11-19/NOS-76/18"</f>
        <v>11-19/NOS-76/18</v>
      </c>
      <c r="T2371" s="2" t="s">
        <v>65</v>
      </c>
    </row>
    <row r="2372" spans="1:20" ht="38.25" x14ac:dyDescent="0.25">
      <c r="A2372" s="1">
        <v>2368</v>
      </c>
      <c r="B2372" s="1" t="str">
        <f t="shared" si="233"/>
        <v>2018-2652</v>
      </c>
      <c r="C2372" s="2" t="s">
        <v>1204</v>
      </c>
      <c r="D2372" s="1" t="s">
        <v>786</v>
      </c>
      <c r="E2372" s="3" t="str">
        <f>""</f>
        <v/>
      </c>
      <c r="F2372" s="2" t="s">
        <v>27</v>
      </c>
      <c r="G2372" s="2" t="str">
        <f t="shared" si="234"/>
        <v>M-COM USLUGE D.O.O., TRG KREŠIMIRA ĆOSIĆA 10, 10000 ZAGREB, OIB: 85546467214</v>
      </c>
      <c r="H2372" s="4"/>
      <c r="I2372" s="1" t="s">
        <v>286</v>
      </c>
      <c r="J2372" s="1" t="s">
        <v>251</v>
      </c>
      <c r="K2372" s="6" t="str">
        <f>"17.060,00"</f>
        <v>17.060,00</v>
      </c>
      <c r="L2372" s="6" t="str">
        <f>"4.265,00"</f>
        <v>4.265,00</v>
      </c>
      <c r="M2372" s="6" t="str">
        <f>"21.325,00"</f>
        <v>21.325,00</v>
      </c>
      <c r="N2372" s="5">
        <v>43644</v>
      </c>
      <c r="O2372" s="7"/>
      <c r="P2372" s="6" t="str">
        <f>"21.325,00"</f>
        <v>21.325,00</v>
      </c>
      <c r="Q2372" s="7"/>
      <c r="R2372" s="1"/>
      <c r="S2372" s="1" t="str">
        <f>"12-19/NOS-76/18"</f>
        <v>12-19/NOS-76/18</v>
      </c>
      <c r="T2372" s="2" t="s">
        <v>65</v>
      </c>
    </row>
    <row r="2373" spans="1:20" ht="38.25" x14ac:dyDescent="0.25">
      <c r="A2373" s="1">
        <v>2369</v>
      </c>
      <c r="B2373" s="1" t="str">
        <f t="shared" si="233"/>
        <v>2018-2652</v>
      </c>
      <c r="C2373" s="2" t="s">
        <v>1204</v>
      </c>
      <c r="D2373" s="1" t="s">
        <v>786</v>
      </c>
      <c r="E2373" s="3" t="str">
        <f>""</f>
        <v/>
      </c>
      <c r="F2373" s="2" t="s">
        <v>27</v>
      </c>
      <c r="G2373" s="2" t="str">
        <f t="shared" si="234"/>
        <v>M-COM USLUGE D.O.O., TRG KREŠIMIRA ĆOSIĆA 10, 10000 ZAGREB, OIB: 85546467214</v>
      </c>
      <c r="H2373" s="4"/>
      <c r="I2373" s="1" t="s">
        <v>240</v>
      </c>
      <c r="J2373" s="1" t="s">
        <v>251</v>
      </c>
      <c r="K2373" s="6" t="str">
        <f>"16.785,00"</f>
        <v>16.785,00</v>
      </c>
      <c r="L2373" s="6" t="str">
        <f>"0,00"</f>
        <v>0,00</v>
      </c>
      <c r="M2373" s="6" t="str">
        <f>"0,00"</f>
        <v>0,00</v>
      </c>
      <c r="N2373" s="1" t="s">
        <v>117</v>
      </c>
      <c r="O2373" s="7"/>
      <c r="P2373" s="6" t="str">
        <f>"0,00"</f>
        <v>0,00</v>
      </c>
      <c r="Q2373" s="7"/>
      <c r="R2373" s="1"/>
      <c r="S2373" s="1" t="str">
        <f>"13-19/NOS-76/18"</f>
        <v>13-19/NOS-76/18</v>
      </c>
      <c r="T2373" s="2" t="s">
        <v>65</v>
      </c>
    </row>
    <row r="2374" spans="1:20" ht="38.25" x14ac:dyDescent="0.25">
      <c r="A2374" s="1">
        <v>2370</v>
      </c>
      <c r="B2374" s="1" t="str">
        <f t="shared" si="233"/>
        <v>2018-2652</v>
      </c>
      <c r="C2374" s="2" t="s">
        <v>1204</v>
      </c>
      <c r="D2374" s="1" t="s">
        <v>786</v>
      </c>
      <c r="E2374" s="3" t="str">
        <f>""</f>
        <v/>
      </c>
      <c r="F2374" s="2" t="s">
        <v>27</v>
      </c>
      <c r="G2374" s="2" t="str">
        <f t="shared" si="234"/>
        <v>M-COM USLUGE D.O.O., TRG KREŠIMIRA ĆOSIĆA 10, 10000 ZAGREB, OIB: 85546467214</v>
      </c>
      <c r="H2374" s="4"/>
      <c r="I2374" s="1" t="s">
        <v>423</v>
      </c>
      <c r="J2374" s="1" t="s">
        <v>251</v>
      </c>
      <c r="K2374" s="6" t="str">
        <f>"14.260,00"</f>
        <v>14.260,00</v>
      </c>
      <c r="L2374" s="6" t="str">
        <f>"3.565,00"</f>
        <v>3.565,00</v>
      </c>
      <c r="M2374" s="6" t="str">
        <f>"17.825,00"</f>
        <v>17.825,00</v>
      </c>
      <c r="N2374" s="5">
        <v>43675</v>
      </c>
      <c r="O2374" s="7"/>
      <c r="P2374" s="6" t="str">
        <f>"17.825,00"</f>
        <v>17.825,00</v>
      </c>
      <c r="Q2374" s="7"/>
      <c r="R2374" s="1"/>
      <c r="S2374" s="1" t="str">
        <f>"14-19/NOS-76/18"</f>
        <v>14-19/NOS-76/18</v>
      </c>
      <c r="T2374" s="2" t="s">
        <v>65</v>
      </c>
    </row>
    <row r="2375" spans="1:20" ht="38.25" x14ac:dyDescent="0.25">
      <c r="A2375" s="1">
        <v>2371</v>
      </c>
      <c r="B2375" s="1" t="str">
        <f t="shared" si="233"/>
        <v>2018-2652</v>
      </c>
      <c r="C2375" s="2" t="s">
        <v>1204</v>
      </c>
      <c r="D2375" s="1" t="s">
        <v>786</v>
      </c>
      <c r="E2375" s="3" t="str">
        <f>""</f>
        <v/>
      </c>
      <c r="F2375" s="2" t="s">
        <v>27</v>
      </c>
      <c r="G2375" s="2" t="str">
        <f t="shared" si="234"/>
        <v>M-COM USLUGE D.O.O., TRG KREŠIMIRA ĆOSIĆA 10, 10000 ZAGREB, OIB: 85546467214</v>
      </c>
      <c r="H2375" s="4"/>
      <c r="I2375" s="1" t="s">
        <v>423</v>
      </c>
      <c r="J2375" s="1" t="s">
        <v>251</v>
      </c>
      <c r="K2375" s="6" t="str">
        <f>"12.886,00"</f>
        <v>12.886,00</v>
      </c>
      <c r="L2375" s="6" t="str">
        <f>"3.221,50"</f>
        <v>3.221,50</v>
      </c>
      <c r="M2375" s="6" t="str">
        <f>"16.107,50"</f>
        <v>16.107,50</v>
      </c>
      <c r="N2375" s="5">
        <v>43579</v>
      </c>
      <c r="O2375" s="7"/>
      <c r="P2375" s="6" t="str">
        <f>"16.107,50"</f>
        <v>16.107,50</v>
      </c>
      <c r="Q2375" s="7"/>
      <c r="R2375" s="1"/>
      <c r="S2375" s="1" t="str">
        <f>"15-19/NOS-76/18"</f>
        <v>15-19/NOS-76/18</v>
      </c>
      <c r="T2375" s="2" t="s">
        <v>65</v>
      </c>
    </row>
    <row r="2376" spans="1:20" ht="38.25" x14ac:dyDescent="0.25">
      <c r="A2376" s="1">
        <v>2372</v>
      </c>
      <c r="B2376" s="1" t="str">
        <f t="shared" si="233"/>
        <v>2018-2652</v>
      </c>
      <c r="C2376" s="2" t="s">
        <v>1204</v>
      </c>
      <c r="D2376" s="1" t="s">
        <v>786</v>
      </c>
      <c r="E2376" s="3" t="str">
        <f>""</f>
        <v/>
      </c>
      <c r="F2376" s="2" t="s">
        <v>27</v>
      </c>
      <c r="G2376" s="2" t="str">
        <f t="shared" si="234"/>
        <v>M-COM USLUGE D.O.O., TRG KREŠIMIRA ĆOSIĆA 10, 10000 ZAGREB, OIB: 85546467214</v>
      </c>
      <c r="H2376" s="4"/>
      <c r="I2376" s="1" t="s">
        <v>277</v>
      </c>
      <c r="J2376" s="1" t="s">
        <v>251</v>
      </c>
      <c r="K2376" s="6" t="str">
        <f>"1.530,00"</f>
        <v>1.530,00</v>
      </c>
      <c r="L2376" s="6" t="str">
        <f>"382,50"</f>
        <v>382,50</v>
      </c>
      <c r="M2376" s="6" t="str">
        <f>"1.912,50"</f>
        <v>1.912,50</v>
      </c>
      <c r="N2376" s="5">
        <v>43627</v>
      </c>
      <c r="O2376" s="7"/>
      <c r="P2376" s="6" t="str">
        <f>"1.912,50"</f>
        <v>1.912,50</v>
      </c>
      <c r="Q2376" s="7"/>
      <c r="R2376" s="1"/>
      <c r="S2376" s="1" t="str">
        <f>"16-19/NOS-76/18"</f>
        <v>16-19/NOS-76/18</v>
      </c>
      <c r="T2376" s="2" t="s">
        <v>65</v>
      </c>
    </row>
    <row r="2377" spans="1:20" ht="38.25" x14ac:dyDescent="0.25">
      <c r="A2377" s="1">
        <v>2373</v>
      </c>
      <c r="B2377" s="1" t="str">
        <f t="shared" si="233"/>
        <v>2018-2652</v>
      </c>
      <c r="C2377" s="2" t="s">
        <v>1204</v>
      </c>
      <c r="D2377" s="1" t="s">
        <v>786</v>
      </c>
      <c r="E2377" s="3" t="str">
        <f>""</f>
        <v/>
      </c>
      <c r="F2377" s="2" t="s">
        <v>27</v>
      </c>
      <c r="G2377" s="2" t="str">
        <f t="shared" si="234"/>
        <v>M-COM USLUGE D.O.O., TRG KREŠIMIRA ĆOSIĆA 10, 10000 ZAGREB, OIB: 85546467214</v>
      </c>
      <c r="H2377" s="4"/>
      <c r="I2377" s="1" t="s">
        <v>44</v>
      </c>
      <c r="J2377" s="1" t="s">
        <v>251</v>
      </c>
      <c r="K2377" s="6" t="str">
        <f>"15.030,00"</f>
        <v>15.030,00</v>
      </c>
      <c r="L2377" s="6" t="str">
        <f>"3.757,50"</f>
        <v>3.757,50</v>
      </c>
      <c r="M2377" s="6" t="str">
        <f>"18.787,50"</f>
        <v>18.787,50</v>
      </c>
      <c r="N2377" s="5">
        <v>43563</v>
      </c>
      <c r="O2377" s="7"/>
      <c r="P2377" s="6" t="str">
        <f>"18.787,50"</f>
        <v>18.787,50</v>
      </c>
      <c r="Q2377" s="7"/>
      <c r="R2377" s="1"/>
      <c r="S2377" s="1" t="str">
        <f>"17-19/NOS-76/18"</f>
        <v>17-19/NOS-76/18</v>
      </c>
      <c r="T2377" s="2" t="s">
        <v>65</v>
      </c>
    </row>
    <row r="2378" spans="1:20" ht="38.25" x14ac:dyDescent="0.25">
      <c r="A2378" s="1">
        <v>2374</v>
      </c>
      <c r="B2378" s="1" t="str">
        <f t="shared" si="233"/>
        <v>2018-2652</v>
      </c>
      <c r="C2378" s="2" t="s">
        <v>1204</v>
      </c>
      <c r="D2378" s="1" t="s">
        <v>786</v>
      </c>
      <c r="E2378" s="3" t="str">
        <f>""</f>
        <v/>
      </c>
      <c r="F2378" s="2" t="s">
        <v>27</v>
      </c>
      <c r="G2378" s="2" t="str">
        <f t="shared" si="234"/>
        <v>M-COM USLUGE D.O.O., TRG KREŠIMIRA ĆOSIĆA 10, 10000 ZAGREB, OIB: 85546467214</v>
      </c>
      <c r="H2378" s="4"/>
      <c r="I2378" s="1" t="s">
        <v>220</v>
      </c>
      <c r="J2378" s="1" t="s">
        <v>251</v>
      </c>
      <c r="K2378" s="6" t="str">
        <f>"6.870,00"</f>
        <v>6.870,00</v>
      </c>
      <c r="L2378" s="6" t="str">
        <f>"1.717,50"</f>
        <v>1.717,50</v>
      </c>
      <c r="M2378" s="6" t="str">
        <f>"8.587,50"</f>
        <v>8.587,50</v>
      </c>
      <c r="N2378" s="5">
        <v>43648</v>
      </c>
      <c r="O2378" s="7"/>
      <c r="P2378" s="6" t="str">
        <f>"8.587,50"</f>
        <v>8.587,50</v>
      </c>
      <c r="Q2378" s="7"/>
      <c r="R2378" s="1"/>
      <c r="S2378" s="1" t="str">
        <f>"18-19/NOS-76/18"</f>
        <v>18-19/NOS-76/18</v>
      </c>
      <c r="T2378" s="2" t="s">
        <v>65</v>
      </c>
    </row>
    <row r="2379" spans="1:20" ht="38.25" x14ac:dyDescent="0.25">
      <c r="A2379" s="1">
        <v>2375</v>
      </c>
      <c r="B2379" s="1" t="str">
        <f t="shared" si="233"/>
        <v>2018-2652</v>
      </c>
      <c r="C2379" s="2" t="s">
        <v>1204</v>
      </c>
      <c r="D2379" s="1" t="s">
        <v>786</v>
      </c>
      <c r="E2379" s="3" t="str">
        <f>""</f>
        <v/>
      </c>
      <c r="F2379" s="2" t="s">
        <v>27</v>
      </c>
      <c r="G2379" s="2" t="str">
        <f t="shared" si="234"/>
        <v>M-COM USLUGE D.O.O., TRG KREŠIMIRA ĆOSIĆA 10, 10000 ZAGREB, OIB: 85546467214</v>
      </c>
      <c r="H2379" s="4"/>
      <c r="I2379" s="1" t="s">
        <v>318</v>
      </c>
      <c r="J2379" s="1" t="s">
        <v>47</v>
      </c>
      <c r="K2379" s="6" t="str">
        <f>"1.722,50"</f>
        <v>1.722,50</v>
      </c>
      <c r="L2379" s="6" t="str">
        <f>"430,63"</f>
        <v>430,63</v>
      </c>
      <c r="M2379" s="6" t="str">
        <f>"2.153,13"</f>
        <v>2.153,13</v>
      </c>
      <c r="N2379" s="5">
        <v>43642</v>
      </c>
      <c r="O2379" s="7"/>
      <c r="P2379" s="6" t="str">
        <f>"2.153,12"</f>
        <v>2.153,12</v>
      </c>
      <c r="Q2379" s="7"/>
      <c r="R2379" s="1"/>
      <c r="S2379" s="1" t="str">
        <f>"19-19/NOS-76/18"</f>
        <v>19-19/NOS-76/18</v>
      </c>
      <c r="T2379" s="2" t="s">
        <v>65</v>
      </c>
    </row>
    <row r="2380" spans="1:20" ht="38.25" x14ac:dyDescent="0.25">
      <c r="A2380" s="1">
        <v>2376</v>
      </c>
      <c r="B2380" s="1" t="str">
        <f t="shared" si="233"/>
        <v>2018-2652</v>
      </c>
      <c r="C2380" s="2" t="s">
        <v>1204</v>
      </c>
      <c r="D2380" s="1" t="s">
        <v>786</v>
      </c>
      <c r="E2380" s="3" t="str">
        <f>""</f>
        <v/>
      </c>
      <c r="F2380" s="2" t="s">
        <v>27</v>
      </c>
      <c r="G2380" s="2" t="str">
        <f t="shared" si="234"/>
        <v>M-COM USLUGE D.O.O., TRG KREŠIMIRA ĆOSIĆA 10, 10000 ZAGREB, OIB: 85546467214</v>
      </c>
      <c r="H2380" s="4"/>
      <c r="I2380" s="1" t="s">
        <v>641</v>
      </c>
      <c r="J2380" s="1" t="s">
        <v>469</v>
      </c>
      <c r="K2380" s="6" t="str">
        <f>"24.662,00"</f>
        <v>24.662,00</v>
      </c>
      <c r="L2380" s="6" t="str">
        <f>"0,00"</f>
        <v>0,00</v>
      </c>
      <c r="M2380" s="6" t="str">
        <f>"0,00"</f>
        <v>0,00</v>
      </c>
      <c r="N2380" s="1" t="s">
        <v>117</v>
      </c>
      <c r="O2380" s="7"/>
      <c r="P2380" s="6" t="str">
        <f>"0,00"</f>
        <v>0,00</v>
      </c>
      <c r="Q2380" s="7"/>
      <c r="R2380" s="1"/>
      <c r="S2380" s="1" t="str">
        <f>"20-19/NOS-76/18"</f>
        <v>20-19/NOS-76/18</v>
      </c>
      <c r="T2380" s="2" t="s">
        <v>65</v>
      </c>
    </row>
    <row r="2381" spans="1:20" ht="38.25" x14ac:dyDescent="0.25">
      <c r="A2381" s="1">
        <v>2377</v>
      </c>
      <c r="B2381" s="1" t="str">
        <f t="shared" si="233"/>
        <v>2018-2652</v>
      </c>
      <c r="C2381" s="2" t="s">
        <v>1204</v>
      </c>
      <c r="D2381" s="1" t="s">
        <v>786</v>
      </c>
      <c r="E2381" s="3" t="str">
        <f>""</f>
        <v/>
      </c>
      <c r="F2381" s="2" t="s">
        <v>27</v>
      </c>
      <c r="G2381" s="2" t="str">
        <f t="shared" ref="G2381:G2389" si="235">CONCATENATE("TEHMAR D.O.O.,"," STAJNIČKA 5,"," 10251 HRVATSKI LESKOVAC,"," OIB: 78055843019")</f>
        <v>TEHMAR D.O.O., STAJNIČKA 5, 10251 HRVATSKI LESKOVAC, OIB: 78055843019</v>
      </c>
      <c r="H2381" s="4"/>
      <c r="I2381" s="1" t="s">
        <v>32</v>
      </c>
      <c r="J2381" s="1" t="s">
        <v>469</v>
      </c>
      <c r="K2381" s="6" t="str">
        <f>"4.555,80"</f>
        <v>4.555,80</v>
      </c>
      <c r="L2381" s="6" t="str">
        <f>"1.138,95"</f>
        <v>1.138,95</v>
      </c>
      <c r="M2381" s="6" t="str">
        <f>"5.694,75"</f>
        <v>5.694,75</v>
      </c>
      <c r="N2381" s="5">
        <v>43615</v>
      </c>
      <c r="O2381" s="7"/>
      <c r="P2381" s="6" t="str">
        <f>"5.694,75"</f>
        <v>5.694,75</v>
      </c>
      <c r="Q2381" s="7"/>
      <c r="R2381" s="1"/>
      <c r="S2381" s="1" t="str">
        <f>"21-19/NOS-76/18"</f>
        <v>21-19/NOS-76/18</v>
      </c>
      <c r="T2381" s="2" t="s">
        <v>65</v>
      </c>
    </row>
    <row r="2382" spans="1:20" ht="38.25" x14ac:dyDescent="0.25">
      <c r="A2382" s="1">
        <v>2378</v>
      </c>
      <c r="B2382" s="1" t="str">
        <f t="shared" si="233"/>
        <v>2018-2652</v>
      </c>
      <c r="C2382" s="2" t="s">
        <v>1204</v>
      </c>
      <c r="D2382" s="1" t="s">
        <v>786</v>
      </c>
      <c r="E2382" s="3" t="str">
        <f>""</f>
        <v/>
      </c>
      <c r="F2382" s="2" t="s">
        <v>27</v>
      </c>
      <c r="G2382" s="2" t="str">
        <f t="shared" si="235"/>
        <v>TEHMAR D.O.O., STAJNIČKA 5, 10251 HRVATSKI LESKOVAC, OIB: 78055843019</v>
      </c>
      <c r="H2382" s="4"/>
      <c r="I2382" s="1" t="s">
        <v>499</v>
      </c>
      <c r="J2382" s="1" t="s">
        <v>436</v>
      </c>
      <c r="K2382" s="6" t="str">
        <f>"34.984,35"</f>
        <v>34.984,35</v>
      </c>
      <c r="L2382" s="6" t="str">
        <f>"8.746,09"</f>
        <v>8.746,09</v>
      </c>
      <c r="M2382" s="6" t="str">
        <f>"43.730,44"</f>
        <v>43.730,44</v>
      </c>
      <c r="N2382" s="5">
        <v>43651</v>
      </c>
      <c r="O2382" s="7"/>
      <c r="P2382" s="6" t="str">
        <f>"43.730,44"</f>
        <v>43.730,44</v>
      </c>
      <c r="Q2382" s="7"/>
      <c r="R2382" s="1"/>
      <c r="S2382" s="1" t="str">
        <f>"22-19/NOS-76/18"</f>
        <v>22-19/NOS-76/18</v>
      </c>
      <c r="T2382" s="2" t="s">
        <v>65</v>
      </c>
    </row>
    <row r="2383" spans="1:20" ht="38.25" x14ac:dyDescent="0.25">
      <c r="A2383" s="1">
        <v>2379</v>
      </c>
      <c r="B2383" s="1" t="str">
        <f t="shared" si="233"/>
        <v>2018-2652</v>
      </c>
      <c r="C2383" s="2" t="s">
        <v>1204</v>
      </c>
      <c r="D2383" s="1" t="s">
        <v>786</v>
      </c>
      <c r="E2383" s="3" t="str">
        <f>""</f>
        <v/>
      </c>
      <c r="F2383" s="2" t="s">
        <v>27</v>
      </c>
      <c r="G2383" s="2" t="str">
        <f t="shared" si="235"/>
        <v>TEHMAR D.O.O., STAJNIČKA 5, 10251 HRVATSKI LESKOVAC, OIB: 78055843019</v>
      </c>
      <c r="H2383" s="4"/>
      <c r="I2383" s="1" t="s">
        <v>499</v>
      </c>
      <c r="J2383" s="1" t="s">
        <v>469</v>
      </c>
      <c r="K2383" s="6" t="str">
        <f>"57.882,80"</f>
        <v>57.882,80</v>
      </c>
      <c r="L2383" s="6" t="str">
        <f>"14.470,70"</f>
        <v>14.470,70</v>
      </c>
      <c r="M2383" s="6" t="str">
        <f>"72.353,50"</f>
        <v>72.353,50</v>
      </c>
      <c r="N2383" s="5">
        <v>43662</v>
      </c>
      <c r="O2383" s="7"/>
      <c r="P2383" s="6" t="str">
        <f>"72.353,50"</f>
        <v>72.353,50</v>
      </c>
      <c r="Q2383" s="7"/>
      <c r="R2383" s="1"/>
      <c r="S2383" s="1" t="str">
        <f>"23-19/NOS-76/18"</f>
        <v>23-19/NOS-76/18</v>
      </c>
      <c r="T2383" s="2" t="s">
        <v>65</v>
      </c>
    </row>
    <row r="2384" spans="1:20" ht="38.25" x14ac:dyDescent="0.25">
      <c r="A2384" s="1">
        <v>2380</v>
      </c>
      <c r="B2384" s="1" t="str">
        <f t="shared" si="233"/>
        <v>2018-2652</v>
      </c>
      <c r="C2384" s="2" t="s">
        <v>1204</v>
      </c>
      <c r="D2384" s="1" t="s">
        <v>786</v>
      </c>
      <c r="E2384" s="3" t="str">
        <f>""</f>
        <v/>
      </c>
      <c r="F2384" s="2" t="s">
        <v>27</v>
      </c>
      <c r="G2384" s="2" t="str">
        <f t="shared" si="235"/>
        <v>TEHMAR D.O.O., STAJNIČKA 5, 10251 HRVATSKI LESKOVAC, OIB: 78055843019</v>
      </c>
      <c r="H2384" s="4"/>
      <c r="I2384" s="1" t="s">
        <v>642</v>
      </c>
      <c r="J2384" s="1" t="s">
        <v>436</v>
      </c>
      <c r="K2384" s="6" t="str">
        <f>"19.973,90"</f>
        <v>19.973,90</v>
      </c>
      <c r="L2384" s="6" t="str">
        <f>"4.993,48"</f>
        <v>4.993,48</v>
      </c>
      <c r="M2384" s="6" t="str">
        <f>"24.967,38"</f>
        <v>24.967,38</v>
      </c>
      <c r="N2384" s="5">
        <v>43675</v>
      </c>
      <c r="O2384" s="7"/>
      <c r="P2384" s="6" t="str">
        <f>"24.967,38"</f>
        <v>24.967,38</v>
      </c>
      <c r="Q2384" s="7"/>
      <c r="R2384" s="1"/>
      <c r="S2384" s="1" t="str">
        <f>"24-19/NOS-76/18"</f>
        <v>24-19/NOS-76/18</v>
      </c>
      <c r="T2384" s="2" t="s">
        <v>65</v>
      </c>
    </row>
    <row r="2385" spans="1:20" ht="38.25" x14ac:dyDescent="0.25">
      <c r="A2385" s="1">
        <v>2381</v>
      </c>
      <c r="B2385" s="1" t="str">
        <f t="shared" si="233"/>
        <v>2018-2652</v>
      </c>
      <c r="C2385" s="2" t="s">
        <v>1204</v>
      </c>
      <c r="D2385" s="1" t="s">
        <v>786</v>
      </c>
      <c r="E2385" s="3" t="str">
        <f>""</f>
        <v/>
      </c>
      <c r="F2385" s="2" t="s">
        <v>27</v>
      </c>
      <c r="G2385" s="2" t="str">
        <f t="shared" si="235"/>
        <v>TEHMAR D.O.O., STAJNIČKA 5, 10251 HRVATSKI LESKOVAC, OIB: 78055843019</v>
      </c>
      <c r="H2385" s="4"/>
      <c r="I2385" s="1" t="s">
        <v>402</v>
      </c>
      <c r="J2385" s="1" t="s">
        <v>469</v>
      </c>
      <c r="K2385" s="6" t="str">
        <f>"12.927,04"</f>
        <v>12.927,04</v>
      </c>
      <c r="L2385" s="6" t="str">
        <f>"3.231,76"</f>
        <v>3.231,76</v>
      </c>
      <c r="M2385" s="6" t="str">
        <f>"16.158,80"</f>
        <v>16.158,80</v>
      </c>
      <c r="N2385" s="5">
        <v>43630</v>
      </c>
      <c r="O2385" s="7"/>
      <c r="P2385" s="6" t="str">
        <f>"16.158,80"</f>
        <v>16.158,80</v>
      </c>
      <c r="Q2385" s="7"/>
      <c r="R2385" s="1"/>
      <c r="S2385" s="1" t="str">
        <f>"25-19/NOS-76/18"</f>
        <v>25-19/NOS-76/18</v>
      </c>
      <c r="T2385" s="2" t="s">
        <v>65</v>
      </c>
    </row>
    <row r="2386" spans="1:20" ht="38.25" x14ac:dyDescent="0.25">
      <c r="A2386" s="1">
        <v>2382</v>
      </c>
      <c r="B2386" s="1" t="str">
        <f t="shared" si="233"/>
        <v>2018-2652</v>
      </c>
      <c r="C2386" s="2" t="s">
        <v>1204</v>
      </c>
      <c r="D2386" s="1" t="s">
        <v>786</v>
      </c>
      <c r="E2386" s="3" t="str">
        <f>""</f>
        <v/>
      </c>
      <c r="F2386" s="2" t="s">
        <v>27</v>
      </c>
      <c r="G2386" s="2" t="str">
        <f t="shared" si="235"/>
        <v>TEHMAR D.O.O., STAJNIČKA 5, 10251 HRVATSKI LESKOVAC, OIB: 78055843019</v>
      </c>
      <c r="H2386" s="4"/>
      <c r="I2386" s="1" t="s">
        <v>597</v>
      </c>
      <c r="J2386" s="1" t="s">
        <v>469</v>
      </c>
      <c r="K2386" s="6" t="str">
        <f>"22.367,15"</f>
        <v>22.367,15</v>
      </c>
      <c r="L2386" s="6" t="str">
        <f>"5.591,79"</f>
        <v>5.591,79</v>
      </c>
      <c r="M2386" s="6" t="str">
        <f>"27.958,94"</f>
        <v>27.958,94</v>
      </c>
      <c r="N2386" s="5">
        <v>43677</v>
      </c>
      <c r="O2386" s="7"/>
      <c r="P2386" s="6" t="str">
        <f>"27.958,94"</f>
        <v>27.958,94</v>
      </c>
      <c r="Q2386" s="7"/>
      <c r="R2386" s="1"/>
      <c r="S2386" s="1" t="str">
        <f>"26-19/NOS-76/18"</f>
        <v>26-19/NOS-76/18</v>
      </c>
      <c r="T2386" s="2" t="s">
        <v>65</v>
      </c>
    </row>
    <row r="2387" spans="1:20" ht="38.25" x14ac:dyDescent="0.25">
      <c r="A2387" s="1">
        <v>2383</v>
      </c>
      <c r="B2387" s="1" t="str">
        <f t="shared" si="233"/>
        <v>2018-2652</v>
      </c>
      <c r="C2387" s="2" t="s">
        <v>1204</v>
      </c>
      <c r="D2387" s="1" t="s">
        <v>786</v>
      </c>
      <c r="E2387" s="3" t="str">
        <f>""</f>
        <v/>
      </c>
      <c r="F2387" s="2" t="s">
        <v>27</v>
      </c>
      <c r="G2387" s="2" t="str">
        <f t="shared" si="235"/>
        <v>TEHMAR D.O.O., STAJNIČKA 5, 10251 HRVATSKI LESKOVAC, OIB: 78055843019</v>
      </c>
      <c r="H2387" s="4"/>
      <c r="I2387" s="1" t="s">
        <v>628</v>
      </c>
      <c r="J2387" s="1" t="s">
        <v>47</v>
      </c>
      <c r="K2387" s="6" t="str">
        <f>"1.238,50"</f>
        <v>1.238,50</v>
      </c>
      <c r="L2387" s="6" t="str">
        <f>"309,63"</f>
        <v>309,63</v>
      </c>
      <c r="M2387" s="6" t="str">
        <f>"1.548,13"</f>
        <v>1.548,13</v>
      </c>
      <c r="N2387" s="5">
        <v>43626</v>
      </c>
      <c r="O2387" s="7"/>
      <c r="P2387" s="6" t="str">
        <f>"1.548,12"</f>
        <v>1.548,12</v>
      </c>
      <c r="Q2387" s="7"/>
      <c r="R2387" s="1"/>
      <c r="S2387" s="1" t="str">
        <f>"27-19/NOS-76/18"</f>
        <v>27-19/NOS-76/18</v>
      </c>
      <c r="T2387" s="2" t="s">
        <v>65</v>
      </c>
    </row>
    <row r="2388" spans="1:20" ht="38.25" x14ac:dyDescent="0.25">
      <c r="A2388" s="1">
        <v>2384</v>
      </c>
      <c r="B2388" s="1" t="str">
        <f t="shared" si="233"/>
        <v>2018-2652</v>
      </c>
      <c r="C2388" s="2" t="s">
        <v>1204</v>
      </c>
      <c r="D2388" s="1" t="s">
        <v>786</v>
      </c>
      <c r="E2388" s="3" t="str">
        <f>""</f>
        <v/>
      </c>
      <c r="F2388" s="2" t="s">
        <v>27</v>
      </c>
      <c r="G2388" s="2" t="str">
        <f t="shared" si="235"/>
        <v>TEHMAR D.O.O., STAJNIČKA 5, 10251 HRVATSKI LESKOVAC, OIB: 78055843019</v>
      </c>
      <c r="H2388" s="4"/>
      <c r="I2388" s="1" t="s">
        <v>424</v>
      </c>
      <c r="J2388" s="1" t="s">
        <v>251</v>
      </c>
      <c r="K2388" s="6" t="str">
        <f>"64.311,20"</f>
        <v>64.311,20</v>
      </c>
      <c r="L2388" s="6" t="str">
        <f>"16.077,79"</f>
        <v>16.077,79</v>
      </c>
      <c r="M2388" s="6" t="str">
        <f>"80.388,96"</f>
        <v>80.388,96</v>
      </c>
      <c r="N2388" s="5">
        <v>43644</v>
      </c>
      <c r="O2388" s="7"/>
      <c r="P2388" s="6" t="str">
        <f>"80.388,96"</f>
        <v>80.388,96</v>
      </c>
      <c r="Q2388" s="7"/>
      <c r="R2388" s="1"/>
      <c r="S2388" s="1" t="str">
        <f>"28-19/NOS-76/18"</f>
        <v>28-19/NOS-76/18</v>
      </c>
      <c r="T2388" s="2" t="s">
        <v>65</v>
      </c>
    </row>
    <row r="2389" spans="1:20" ht="38.25" x14ac:dyDescent="0.25">
      <c r="A2389" s="1">
        <v>2385</v>
      </c>
      <c r="B2389" s="1" t="str">
        <f t="shared" si="233"/>
        <v>2018-2652</v>
      </c>
      <c r="C2389" s="2" t="s">
        <v>1204</v>
      </c>
      <c r="D2389" s="1" t="s">
        <v>786</v>
      </c>
      <c r="E2389" s="3" t="str">
        <f>""</f>
        <v/>
      </c>
      <c r="F2389" s="2" t="s">
        <v>27</v>
      </c>
      <c r="G2389" s="2" t="str">
        <f t="shared" si="235"/>
        <v>TEHMAR D.O.O., STAJNIČKA 5, 10251 HRVATSKI LESKOVAC, OIB: 78055843019</v>
      </c>
      <c r="H2389" s="4"/>
      <c r="I2389" s="1" t="s">
        <v>440</v>
      </c>
      <c r="J2389" s="1" t="s">
        <v>47</v>
      </c>
      <c r="K2389" s="6" t="str">
        <f>"1.030,00"</f>
        <v>1.030,00</v>
      </c>
      <c r="L2389" s="6" t="str">
        <f>"257,50"</f>
        <v>257,50</v>
      </c>
      <c r="M2389" s="6" t="str">
        <f>"1.287,50"</f>
        <v>1.287,50</v>
      </c>
      <c r="N2389" s="5">
        <v>43648</v>
      </c>
      <c r="O2389" s="7"/>
      <c r="P2389" s="6" t="str">
        <f>"1.287,50"</f>
        <v>1.287,50</v>
      </c>
      <c r="Q2389" s="7"/>
      <c r="R2389" s="1"/>
      <c r="S2389" s="1" t="str">
        <f>"29-19/NOS-76/18"</f>
        <v>29-19/NOS-76/18</v>
      </c>
      <c r="T2389" s="2" t="s">
        <v>65</v>
      </c>
    </row>
    <row r="2390" spans="1:20" ht="102" x14ac:dyDescent="0.25">
      <c r="A2390" s="1">
        <v>2386</v>
      </c>
      <c r="B2390" s="1" t="str">
        <f>"2018-1138"</f>
        <v>2018-1138</v>
      </c>
      <c r="C2390" s="2" t="s">
        <v>1206</v>
      </c>
      <c r="D2390" s="1" t="s">
        <v>502</v>
      </c>
      <c r="E2390" s="3" t="str">
        <f>"2018/S 0F2-0019067"</f>
        <v>2018/S 0F2-0019067</v>
      </c>
      <c r="F2390" s="2" t="s">
        <v>23</v>
      </c>
      <c r="G2390" s="2" t="str">
        <f>CONCATENATE("E.G.S.-ELEKTROGRADITELJSTVO D.O.O.,"," ALBERTA FORTISA 10,"," 10090 ZAGREB,"," OIB: 83439900916",CHAR(10),"RADOŠEVIĆ D.O.O.,"," ZAGREB,"," GORNJOSTUPNIČKA 18A,"," 10000 ZAGREB,"," OIB: 20930114350",CHAR(10),"TEHNO-ELEKTRO D.O.O.,"," AUGUSTA CESARCA 3,"," 31400 ĐAKOVO,"," OIB: 1165756075")</f>
        <v>E.G.S.-ELEKTROGRADITELJSTVO D.O.O., ALBERTA FORTISA 10, 10090 ZAGREB, OIB: 83439900916
RADOŠEVIĆ D.O.O., ZAGREB, GORNJOSTUPNIČKA 18A, 10000 ZAGREB, OIB: 20930114350
TEHNO-ELEKTRO D.O.O., AUGUSTA CESARCA 3, 31400 ĐAKOVO, OIB: 1165756075</v>
      </c>
      <c r="H2390" s="4"/>
      <c r="I2390" s="1" t="s">
        <v>500</v>
      </c>
      <c r="J2390" s="1" t="s">
        <v>1207</v>
      </c>
      <c r="K2390" s="6" t="str">
        <f>"500.000,00"</f>
        <v>500.000,00</v>
      </c>
      <c r="L2390" s="6" t="str">
        <f>"125.000,00"</f>
        <v>125.000,00</v>
      </c>
      <c r="M2390" s="6" t="str">
        <f>"625.000,00"</f>
        <v>625.000,00</v>
      </c>
      <c r="N2390" s="7"/>
      <c r="O2390" s="7"/>
      <c r="P2390" s="6" t="str">
        <f>""</f>
        <v/>
      </c>
      <c r="Q2390" s="7"/>
      <c r="R2390" s="1"/>
      <c r="S2390" s="1" t="str">
        <f>"NOS-77/18"</f>
        <v>NOS-77/18</v>
      </c>
      <c r="T2390" s="2" t="s">
        <v>33</v>
      </c>
    </row>
    <row r="2391" spans="1:20" ht="38.25" x14ac:dyDescent="0.25">
      <c r="A2391" s="1">
        <v>2387</v>
      </c>
      <c r="B2391" s="1" t="str">
        <f>"2018-1138"</f>
        <v>2018-1138</v>
      </c>
      <c r="C2391" s="2" t="s">
        <v>1206</v>
      </c>
      <c r="D2391" s="1" t="s">
        <v>502</v>
      </c>
      <c r="E2391" s="3" t="str">
        <f>""</f>
        <v/>
      </c>
      <c r="F2391" s="2" t="s">
        <v>27</v>
      </c>
      <c r="G2391" s="2" t="str">
        <f>CONCATENATE("E.G.S.-ELEKTROGRADITELJSTVO D.O.O.,"," ALBERTA FORTISA 10,"," 10090 ZAGREB,"," OIB: 83439900916")</f>
        <v>E.G.S.-ELEKTROGRADITELJSTVO D.O.O., ALBERTA FORTISA 10, 10090 ZAGREB, OIB: 83439900916</v>
      </c>
      <c r="H2391" s="4"/>
      <c r="I2391" s="1" t="s">
        <v>597</v>
      </c>
      <c r="J2391" s="1" t="s">
        <v>492</v>
      </c>
      <c r="K2391" s="6" t="str">
        <f>"10.380,00"</f>
        <v>10.380,00</v>
      </c>
      <c r="L2391" s="6" t="str">
        <f t="shared" ref="L2391:M2393" si="236">"0,00"</f>
        <v>0,00</v>
      </c>
      <c r="M2391" s="6" t="str">
        <f t="shared" si="236"/>
        <v>0,00</v>
      </c>
      <c r="N2391" s="1" t="s">
        <v>117</v>
      </c>
      <c r="O2391" s="7"/>
      <c r="P2391" s="6" t="str">
        <f>"0,00"</f>
        <v>0,00</v>
      </c>
      <c r="Q2391" s="7"/>
      <c r="R2391" s="1"/>
      <c r="S2391" s="1" t="str">
        <f>"1-19/NOS-77/18"</f>
        <v>1-19/NOS-77/18</v>
      </c>
      <c r="T2391" s="2" t="s">
        <v>33</v>
      </c>
    </row>
    <row r="2392" spans="1:20" ht="38.25" x14ac:dyDescent="0.25">
      <c r="A2392" s="1">
        <v>2388</v>
      </c>
      <c r="B2392" s="1" t="str">
        <f>"2018-1138"</f>
        <v>2018-1138</v>
      </c>
      <c r="C2392" s="2" t="s">
        <v>1206</v>
      </c>
      <c r="D2392" s="1" t="s">
        <v>502</v>
      </c>
      <c r="E2392" s="3" t="str">
        <f>""</f>
        <v/>
      </c>
      <c r="F2392" s="2" t="s">
        <v>27</v>
      </c>
      <c r="G2392" s="2" t="str">
        <f>CONCATENATE("E.G.S.-ELEKTROGRADITELJSTVO D.O.O.,"," ALBERTA FORTISA 10,"," 10090 ZAGREB,"," OIB: 83439900916")</f>
        <v>E.G.S.-ELEKTROGRADITELJSTVO D.O.O., ALBERTA FORTISA 10, 10090 ZAGREB, OIB: 83439900916</v>
      </c>
      <c r="H2392" s="4"/>
      <c r="I2392" s="1" t="s">
        <v>334</v>
      </c>
      <c r="J2392" s="1" t="s">
        <v>492</v>
      </c>
      <c r="K2392" s="6" t="str">
        <f>"5.620,00"</f>
        <v>5.620,00</v>
      </c>
      <c r="L2392" s="6" t="str">
        <f t="shared" si="236"/>
        <v>0,00</v>
      </c>
      <c r="M2392" s="6" t="str">
        <f t="shared" si="236"/>
        <v>0,00</v>
      </c>
      <c r="N2392" s="1" t="s">
        <v>117</v>
      </c>
      <c r="O2392" s="7"/>
      <c r="P2392" s="6" t="str">
        <f>"0,00"</f>
        <v>0,00</v>
      </c>
      <c r="Q2392" s="7"/>
      <c r="R2392" s="1"/>
      <c r="S2392" s="1" t="str">
        <f>"2-19/NOS-77/18"</f>
        <v>2-19/NOS-77/18</v>
      </c>
      <c r="T2392" s="2" t="s">
        <v>33</v>
      </c>
    </row>
    <row r="2393" spans="1:20" ht="38.25" x14ac:dyDescent="0.25">
      <c r="A2393" s="1">
        <v>2389</v>
      </c>
      <c r="B2393" s="1" t="str">
        <f>"2018-1138"</f>
        <v>2018-1138</v>
      </c>
      <c r="C2393" s="2" t="s">
        <v>1206</v>
      </c>
      <c r="D2393" s="1" t="s">
        <v>502</v>
      </c>
      <c r="E2393" s="3" t="str">
        <f>""</f>
        <v/>
      </c>
      <c r="F2393" s="2" t="s">
        <v>27</v>
      </c>
      <c r="G2393" s="2" t="str">
        <f>CONCATENATE("E.G.S.-ELEKTROGRADITELJSTVO D.O.O.,"," ALBERTA FORTISA 10,"," 10090 ZAGREB,"," OIB: 83439900916")</f>
        <v>E.G.S.-ELEKTROGRADITELJSTVO D.O.O., ALBERTA FORTISA 10, 10090 ZAGREB, OIB: 83439900916</v>
      </c>
      <c r="H2393" s="4"/>
      <c r="I2393" s="1" t="s">
        <v>32</v>
      </c>
      <c r="J2393" s="1" t="s">
        <v>492</v>
      </c>
      <c r="K2393" s="6" t="str">
        <f>"5.620,00"</f>
        <v>5.620,00</v>
      </c>
      <c r="L2393" s="6" t="str">
        <f t="shared" si="236"/>
        <v>0,00</v>
      </c>
      <c r="M2393" s="6" t="str">
        <f t="shared" si="236"/>
        <v>0,00</v>
      </c>
      <c r="N2393" s="1" t="s">
        <v>117</v>
      </c>
      <c r="O2393" s="7"/>
      <c r="P2393" s="6" t="str">
        <f>"0,00"</f>
        <v>0,00</v>
      </c>
      <c r="Q2393" s="7"/>
      <c r="R2393" s="1"/>
      <c r="S2393" s="1" t="str">
        <f>"3-19/NOS-77/18"</f>
        <v>3-19/NOS-77/18</v>
      </c>
      <c r="T2393" s="2" t="s">
        <v>33</v>
      </c>
    </row>
    <row r="2394" spans="1:20" ht="38.25" x14ac:dyDescent="0.25">
      <c r="A2394" s="1">
        <v>2390</v>
      </c>
      <c r="B2394" s="1" t="str">
        <f>"2018-2898"</f>
        <v>2018-2898</v>
      </c>
      <c r="C2394" s="2" t="s">
        <v>1208</v>
      </c>
      <c r="D2394" s="1" t="s">
        <v>1209</v>
      </c>
      <c r="E2394" s="3" t="str">
        <f>"2018/S 0F2-0012770"</f>
        <v>2018/S 0F2-0012770</v>
      </c>
      <c r="F2394" s="2" t="s">
        <v>23</v>
      </c>
      <c r="G2394" s="2" t="str">
        <f>CONCATENATE("WELTPLAST,"," D.O.O.,"," VELIKA CESTA 33,"," 10000 ZAGREB,"," OIB: 83776585213")</f>
        <v>WELTPLAST, D.O.O., VELIKA CESTA 33, 10000 ZAGREB, OIB: 83776585213</v>
      </c>
      <c r="H2394" s="4"/>
      <c r="I2394" s="1" t="s">
        <v>474</v>
      </c>
      <c r="J2394" s="1" t="s">
        <v>1210</v>
      </c>
      <c r="K2394" s="6" t="str">
        <f>"49.700.000,00"</f>
        <v>49.700.000,00</v>
      </c>
      <c r="L2394" s="6" t="str">
        <f>"12.425.000,00"</f>
        <v>12.425.000,00</v>
      </c>
      <c r="M2394" s="6" t="str">
        <f>"62.125.000,00"</f>
        <v>62.125.000,00</v>
      </c>
      <c r="N2394" s="7"/>
      <c r="O2394" s="7"/>
      <c r="P2394" s="6" t="str">
        <f>""</f>
        <v/>
      </c>
      <c r="Q2394" s="7"/>
      <c r="R2394" s="1"/>
      <c r="S2394" s="1" t="str">
        <f>"NOS-78-A/18"</f>
        <v>NOS-78-A/18</v>
      </c>
      <c r="T2394" s="2" t="s">
        <v>33</v>
      </c>
    </row>
    <row r="2395" spans="1:20" ht="25.5" x14ac:dyDescent="0.25">
      <c r="A2395" s="1">
        <v>2391</v>
      </c>
      <c r="B2395" s="1" t="str">
        <f>"2018-2898"</f>
        <v>2018-2898</v>
      </c>
      <c r="C2395" s="2" t="s">
        <v>1208</v>
      </c>
      <c r="D2395" s="4"/>
      <c r="E2395" s="3" t="str">
        <f>""</f>
        <v/>
      </c>
      <c r="F2395" s="2" t="s">
        <v>27</v>
      </c>
      <c r="G2395" s="2" t="str">
        <f>CONCATENATE("WELTPLAST,"," D.O.O.,"," VELIKA CESTA 33,"," 10000 ZAGREB,"," OIB: 83776585213")</f>
        <v>WELTPLAST, D.O.O., VELIKA CESTA 33, 10000 ZAGREB, OIB: 83776585213</v>
      </c>
      <c r="H2395" s="4"/>
      <c r="I2395" s="1" t="s">
        <v>195</v>
      </c>
      <c r="J2395" s="1" t="s">
        <v>45</v>
      </c>
      <c r="K2395" s="6" t="str">
        <f>"7.328.000,00"</f>
        <v>7.328.000,00</v>
      </c>
      <c r="L2395" s="6" t="str">
        <f>"1.832.000,00"</f>
        <v>1.832.000,00</v>
      </c>
      <c r="M2395" s="6" t="str">
        <f>"9.160.000,00"</f>
        <v>9.160.000,00</v>
      </c>
      <c r="N2395" s="5">
        <v>43704</v>
      </c>
      <c r="O2395" s="7"/>
      <c r="P2395" s="6" t="str">
        <f>"6.359.068,00"</f>
        <v>6.359.068,00</v>
      </c>
      <c r="Q2395" s="7"/>
      <c r="R2395" s="1"/>
      <c r="S2395" s="1" t="str">
        <f>"1-19/NOS-78-A/18"</f>
        <v>1-19/NOS-78-A/18</v>
      </c>
      <c r="T2395" s="2" t="s">
        <v>33</v>
      </c>
    </row>
    <row r="2396" spans="1:20" ht="114.75" x14ac:dyDescent="0.25">
      <c r="A2396" s="1">
        <v>2392</v>
      </c>
      <c r="B2396" s="1" t="str">
        <f t="shared" ref="B2396:B2401" si="237">"2018-2800"</f>
        <v>2018-2800</v>
      </c>
      <c r="C2396" s="2" t="s">
        <v>1211</v>
      </c>
      <c r="D2396" s="1" t="s">
        <v>502</v>
      </c>
      <c r="E2396" s="3" t="str">
        <f>"2018/S 0F2-0013467"</f>
        <v>2018/S 0F2-0013467</v>
      </c>
      <c r="F2396" s="2" t="s">
        <v>23</v>
      </c>
      <c r="G2396" s="2" t="str">
        <f t="shared" ref="G2396:G2401" si="238">CONCATENATE("ZIK D.O.O.,"," LJUDEVITA GAJA 17/III,"," 10000 ZAGREB,"," OIB: 74121470605")</f>
        <v>ZIK D.O.O., LJUDEVITA GAJA 17/III, 10000 ZAGREB, OIB: 74121470605</v>
      </c>
      <c r="H2396" s="1" t="str">
        <f>CONCATENATE("INSPEKT KONTROLA D.O.O.,"," OIB: 39743636796",CHAR(10),"CENTAR ZA MJERENJA U OKOLIŠU D.O.O.,"," OIB: 07853820432")</f>
        <v>INSPEKT KONTROLA D.O.O., OIB: 39743636796
CENTAR ZA MJERENJA U OKOLIŠU D.O.O., OIB: 07853820432</v>
      </c>
      <c r="I2396" s="1" t="s">
        <v>929</v>
      </c>
      <c r="J2396" s="1" t="s">
        <v>1212</v>
      </c>
      <c r="K2396" s="6" t="str">
        <f>"744.000,00"</f>
        <v>744.000,00</v>
      </c>
      <c r="L2396" s="6" t="str">
        <f>"186.000,00"</f>
        <v>186.000,00</v>
      </c>
      <c r="M2396" s="6" t="str">
        <f>"930.000,00"</f>
        <v>930.000,00</v>
      </c>
      <c r="N2396" s="7"/>
      <c r="O2396" s="7"/>
      <c r="P2396" s="6" t="str">
        <f>""</f>
        <v/>
      </c>
      <c r="Q2396" s="7"/>
      <c r="R2396" s="1"/>
      <c r="S2396" s="1" t="str">
        <f>"NOS-79-A/18"</f>
        <v>NOS-79-A/18</v>
      </c>
      <c r="T2396" s="2" t="s">
        <v>399</v>
      </c>
    </row>
    <row r="2397" spans="1:20" ht="114.75" x14ac:dyDescent="0.25">
      <c r="A2397" s="1">
        <v>2393</v>
      </c>
      <c r="B2397" s="1" t="str">
        <f t="shared" si="237"/>
        <v>2018-2800</v>
      </c>
      <c r="C2397" s="2" t="s">
        <v>1211</v>
      </c>
      <c r="D2397" s="1" t="s">
        <v>502</v>
      </c>
      <c r="E2397" s="3" t="str">
        <f>""</f>
        <v/>
      </c>
      <c r="F2397" s="2" t="s">
        <v>27</v>
      </c>
      <c r="G2397" s="2" t="str">
        <f t="shared" si="238"/>
        <v>ZIK D.O.O., LJUDEVITA GAJA 17/III, 10000 ZAGREB, OIB: 74121470605</v>
      </c>
      <c r="H2397" s="1" t="str">
        <f>CONCATENATE("INSPEKT KONTROLA D.O.O.,"," OIB: 39743636796",CHAR(10),"CENTAR ZA MJERENJA U OKOLIŠU D.O.O.,"," OIB: 07853820432")</f>
        <v>INSPEKT KONTROLA D.O.O., OIB: 39743636796
CENTAR ZA MJERENJA U OKOLIŠU D.O.O., OIB: 07853820432</v>
      </c>
      <c r="I2397" s="1" t="s">
        <v>446</v>
      </c>
      <c r="J2397" s="1" t="s">
        <v>47</v>
      </c>
      <c r="K2397" s="6" t="str">
        <f>"4.690,00"</f>
        <v>4.690,00</v>
      </c>
      <c r="L2397" s="6" t="str">
        <f>"1.172,50"</f>
        <v>1.172,50</v>
      </c>
      <c r="M2397" s="6" t="str">
        <f>"5.862,50"</f>
        <v>5.862,50</v>
      </c>
      <c r="N2397" s="5">
        <v>43615</v>
      </c>
      <c r="O2397" s="7"/>
      <c r="P2397" s="6" t="str">
        <f>"5.862,50"</f>
        <v>5.862,50</v>
      </c>
      <c r="Q2397" s="7"/>
      <c r="R2397" s="1"/>
      <c r="S2397" s="1" t="str">
        <f>"2-19/NOS-79-A/18"</f>
        <v>2-19/NOS-79-A/18</v>
      </c>
      <c r="T2397" s="2" t="s">
        <v>33</v>
      </c>
    </row>
    <row r="2398" spans="1:20" ht="114.75" x14ac:dyDescent="0.25">
      <c r="A2398" s="1">
        <v>2394</v>
      </c>
      <c r="B2398" s="1" t="str">
        <f t="shared" si="237"/>
        <v>2018-2800</v>
      </c>
      <c r="C2398" s="2" t="s">
        <v>1211</v>
      </c>
      <c r="D2398" s="1" t="s">
        <v>502</v>
      </c>
      <c r="E2398" s="3" t="str">
        <f>""</f>
        <v/>
      </c>
      <c r="F2398" s="2" t="s">
        <v>27</v>
      </c>
      <c r="G2398" s="2" t="str">
        <f t="shared" si="238"/>
        <v>ZIK D.O.O., LJUDEVITA GAJA 17/III, 10000 ZAGREB, OIB: 74121470605</v>
      </c>
      <c r="H2398" s="1" t="str">
        <f>CONCATENATE("INSPEKT KONTROLA D.O.O.,"," OIB: 39743636796",CHAR(10),"CENTAR ZA MJERENJA U OKOLIŠU D.O.O.,"," OIB: 07853820432")</f>
        <v>INSPEKT KONTROLA D.O.O., OIB: 39743636796
CENTAR ZA MJERENJA U OKOLIŠU D.O.O., OIB: 07853820432</v>
      </c>
      <c r="I2398" s="1" t="s">
        <v>494</v>
      </c>
      <c r="J2398" s="1" t="s">
        <v>47</v>
      </c>
      <c r="K2398" s="6" t="str">
        <f>"2.995,00"</f>
        <v>2.995,00</v>
      </c>
      <c r="L2398" s="6" t="str">
        <f>"0,00"</f>
        <v>0,00</v>
      </c>
      <c r="M2398" s="6" t="str">
        <f>"0,00"</f>
        <v>0,00</v>
      </c>
      <c r="N2398" s="1" t="s">
        <v>117</v>
      </c>
      <c r="O2398" s="7"/>
      <c r="P2398" s="6" t="str">
        <f>"0,00"</f>
        <v>0,00</v>
      </c>
      <c r="Q2398" s="7"/>
      <c r="R2398" s="1"/>
      <c r="S2398" s="1" t="str">
        <f>"3-19/NOS-79-A/18"</f>
        <v>3-19/NOS-79-A/18</v>
      </c>
      <c r="T2398" s="2" t="s">
        <v>33</v>
      </c>
    </row>
    <row r="2399" spans="1:20" ht="114.75" x14ac:dyDescent="0.25">
      <c r="A2399" s="1">
        <v>2395</v>
      </c>
      <c r="B2399" s="1" t="str">
        <f t="shared" si="237"/>
        <v>2018-2800</v>
      </c>
      <c r="C2399" s="2" t="s">
        <v>1211</v>
      </c>
      <c r="D2399" s="1" t="s">
        <v>502</v>
      </c>
      <c r="E2399" s="3" t="str">
        <f>""</f>
        <v/>
      </c>
      <c r="F2399" s="2" t="s">
        <v>27</v>
      </c>
      <c r="G2399" s="2" t="str">
        <f t="shared" si="238"/>
        <v>ZIK D.O.O., LJUDEVITA GAJA 17/III, 10000 ZAGREB, OIB: 74121470605</v>
      </c>
      <c r="H2399" s="1" t="str">
        <f>CONCATENATE("INSPEKT KONTROLA D.O.O.,"," OIB: 39743636796",CHAR(10),"CENTAR ZA MJERENJA U OKOLIŠU D.O.O.,"," OIB: 07853820432")</f>
        <v>INSPEKT KONTROLA D.O.O., OIB: 39743636796
CENTAR ZA MJERENJA U OKOLIŠU D.O.O., OIB: 07853820432</v>
      </c>
      <c r="I2399" s="1" t="s">
        <v>637</v>
      </c>
      <c r="J2399" s="1" t="s">
        <v>47</v>
      </c>
      <c r="K2399" s="6" t="str">
        <f>"3.860,00"</f>
        <v>3.860,00</v>
      </c>
      <c r="L2399" s="6" t="str">
        <f>"633,75"</f>
        <v>633,75</v>
      </c>
      <c r="M2399" s="6" t="str">
        <f>"3.168,75"</f>
        <v>3.168,75</v>
      </c>
      <c r="N2399" s="5">
        <v>43634</v>
      </c>
      <c r="O2399" s="7"/>
      <c r="P2399" s="6" t="str">
        <f>"3.168,75"</f>
        <v>3.168,75</v>
      </c>
      <c r="Q2399" s="7"/>
      <c r="R2399" s="1"/>
      <c r="S2399" s="1" t="str">
        <f>"5-19/NOS-79-A/18"</f>
        <v>5-19/NOS-79-A/18</v>
      </c>
      <c r="T2399" s="2" t="s">
        <v>29</v>
      </c>
    </row>
    <row r="2400" spans="1:20" ht="51" x14ac:dyDescent="0.25">
      <c r="A2400" s="1">
        <v>2396</v>
      </c>
      <c r="B2400" s="1" t="str">
        <f t="shared" si="237"/>
        <v>2018-2800</v>
      </c>
      <c r="C2400" s="2" t="s">
        <v>1211</v>
      </c>
      <c r="D2400" s="1" t="s">
        <v>502</v>
      </c>
      <c r="E2400" s="3" t="str">
        <f>""</f>
        <v/>
      </c>
      <c r="F2400" s="2" t="s">
        <v>27</v>
      </c>
      <c r="G2400" s="2" t="str">
        <f t="shared" si="238"/>
        <v>ZIK D.O.O., LJUDEVITA GAJA 17/III, 10000 ZAGREB, OIB: 74121470605</v>
      </c>
      <c r="H2400" s="4"/>
      <c r="I2400" s="1" t="s">
        <v>628</v>
      </c>
      <c r="J2400" s="1" t="s">
        <v>114</v>
      </c>
      <c r="K2400" s="6" t="str">
        <f>"14.955,00"</f>
        <v>14.955,00</v>
      </c>
      <c r="L2400" s="6" t="str">
        <f>"3.738,75"</f>
        <v>3.738,75</v>
      </c>
      <c r="M2400" s="6" t="str">
        <f>"18.693,75"</f>
        <v>18.693,75</v>
      </c>
      <c r="N2400" s="5">
        <v>43644</v>
      </c>
      <c r="O2400" s="7"/>
      <c r="P2400" s="6" t="str">
        <f>"4.593,75"</f>
        <v>4.593,75</v>
      </c>
      <c r="Q2400" s="7"/>
      <c r="R2400" s="1"/>
      <c r="S2400" s="1" t="str">
        <f>"6-19/NOS-79-A/18"</f>
        <v>6-19/NOS-79-A/18</v>
      </c>
      <c r="T2400" s="2" t="s">
        <v>33</v>
      </c>
    </row>
    <row r="2401" spans="1:20" ht="114.75" x14ac:dyDescent="0.25">
      <c r="A2401" s="1">
        <v>2397</v>
      </c>
      <c r="B2401" s="1" t="str">
        <f t="shared" si="237"/>
        <v>2018-2800</v>
      </c>
      <c r="C2401" s="2" t="s">
        <v>1211</v>
      </c>
      <c r="D2401" s="1" t="s">
        <v>502</v>
      </c>
      <c r="E2401" s="3" t="str">
        <f>"2018/S 0F2-0013467"</f>
        <v>2018/S 0F2-0013467</v>
      </c>
      <c r="F2401" s="2" t="s">
        <v>23</v>
      </c>
      <c r="G2401" s="2" t="str">
        <f t="shared" si="238"/>
        <v>ZIK D.O.O., LJUDEVITA GAJA 17/III, 10000 ZAGREB, OIB: 74121470605</v>
      </c>
      <c r="H2401" s="1" t="str">
        <f>CONCATENATE("INSPEKT KONTROLA D.O.O.,"," OIB: 39743636796",CHAR(10),"CENTAR ZA MJERENJA U OKOLIŠU D.O.O.,"," OIB: 07853820432")</f>
        <v>INSPEKT KONTROLA D.O.O., OIB: 39743636796
CENTAR ZA MJERENJA U OKOLIŠU D.O.O., OIB: 07853820432</v>
      </c>
      <c r="I2401" s="1" t="s">
        <v>590</v>
      </c>
      <c r="J2401" s="1" t="s">
        <v>1213</v>
      </c>
      <c r="K2401" s="6" t="str">
        <f>"5.674.000,00"</f>
        <v>5.674.000,00</v>
      </c>
      <c r="L2401" s="6" t="str">
        <f>"1.418.500,00"</f>
        <v>1.418.500,00</v>
      </c>
      <c r="M2401" s="6" t="str">
        <f>"7.092.500,00"</f>
        <v>7.092.500,00</v>
      </c>
      <c r="N2401" s="7"/>
      <c r="O2401" s="7"/>
      <c r="P2401" s="6" t="str">
        <f>""</f>
        <v/>
      </c>
      <c r="Q2401" s="7"/>
      <c r="R2401" s="1"/>
      <c r="S2401" s="1" t="str">
        <f>"NOS-79-B/18"</f>
        <v>NOS-79-B/18</v>
      </c>
      <c r="T2401" s="2" t="s">
        <v>399</v>
      </c>
    </row>
    <row r="2402" spans="1:20" ht="38.25" x14ac:dyDescent="0.25">
      <c r="A2402" s="1">
        <v>2398</v>
      </c>
      <c r="B2402" s="1" t="str">
        <f>"2018-1730"</f>
        <v>2018-1730</v>
      </c>
      <c r="C2402" s="2" t="s">
        <v>1214</v>
      </c>
      <c r="D2402" s="1" t="s">
        <v>910</v>
      </c>
      <c r="E2402" s="3" t="str">
        <f>"2018/S 0F2-0023726"</f>
        <v>2018/S 0F2-0023726</v>
      </c>
      <c r="F2402" s="2" t="s">
        <v>23</v>
      </c>
      <c r="G2402" s="2" t="str">
        <f>CONCATENATE("BIOOTPAD D.O.O.,"," GREGUROVEC 23,"," 48260 KRIŽEVCI,"," OIB: 96881846749")</f>
        <v>BIOOTPAD D.O.O., GREGUROVEC 23, 48260 KRIŽEVCI, OIB: 96881846749</v>
      </c>
      <c r="H2402" s="4"/>
      <c r="I2402" s="1" t="s">
        <v>1144</v>
      </c>
      <c r="J2402" s="1" t="s">
        <v>1215</v>
      </c>
      <c r="K2402" s="6" t="str">
        <f>"40.000.000,00"</f>
        <v>40.000.000,00</v>
      </c>
      <c r="L2402" s="6" t="str">
        <f>"10.000.000,00"</f>
        <v>10.000.000,00</v>
      </c>
      <c r="M2402" s="6" t="str">
        <f>"50.000.000,00"</f>
        <v>50.000.000,00</v>
      </c>
      <c r="N2402" s="7"/>
      <c r="O2402" s="7"/>
      <c r="P2402" s="6" t="str">
        <f>""</f>
        <v/>
      </c>
      <c r="Q2402" s="7"/>
      <c r="R2402" s="1"/>
      <c r="S2402" s="1" t="str">
        <f>"NOS-80-A/18"</f>
        <v>NOS-80-A/18</v>
      </c>
      <c r="T2402" s="2" t="s">
        <v>33</v>
      </c>
    </row>
    <row r="2403" spans="1:20" ht="38.25" x14ac:dyDescent="0.25">
      <c r="A2403" s="1">
        <v>2399</v>
      </c>
      <c r="B2403" s="1" t="str">
        <f>"2018-1730"</f>
        <v>2018-1730</v>
      </c>
      <c r="C2403" s="2" t="s">
        <v>1214</v>
      </c>
      <c r="D2403" s="4"/>
      <c r="E2403" s="3" t="str">
        <f>""</f>
        <v/>
      </c>
      <c r="F2403" s="2" t="s">
        <v>27</v>
      </c>
      <c r="G2403" s="2" t="str">
        <f>CONCATENATE("BIOOTPAD D.O.O.,"," GREGUROVEC 23,"," 48260 KRIŽEVCI,"," OIB: 96881846749")</f>
        <v>BIOOTPAD D.O.O., GREGUROVEC 23, 48260 KRIŽEVCI, OIB: 96881846749</v>
      </c>
      <c r="H2403" s="4"/>
      <c r="I2403" s="1" t="s">
        <v>1068</v>
      </c>
      <c r="J2403" s="1" t="s">
        <v>285</v>
      </c>
      <c r="K2403" s="6" t="str">
        <f>"7.350.000,00"</f>
        <v>7.350.000,00</v>
      </c>
      <c r="L2403" s="6" t="str">
        <f>"1.837.500,00"</f>
        <v>1.837.500,00</v>
      </c>
      <c r="M2403" s="6" t="str">
        <f>"9.187.500,00"</f>
        <v>9.187.500,00</v>
      </c>
      <c r="N2403" s="5">
        <v>43677</v>
      </c>
      <c r="O2403" s="7"/>
      <c r="P2403" s="6" t="str">
        <f>"3.140.581,50"</f>
        <v>3.140.581,50</v>
      </c>
      <c r="Q2403" s="7"/>
      <c r="R2403" s="1"/>
      <c r="S2403" s="1" t="str">
        <f>"2-19/NOS-80-A/18"</f>
        <v>2-19/NOS-80-A/18</v>
      </c>
      <c r="T2403" s="2" t="s">
        <v>33</v>
      </c>
    </row>
    <row r="2404" spans="1:20" ht="38.25" x14ac:dyDescent="0.25">
      <c r="A2404" s="1">
        <v>2400</v>
      </c>
      <c r="B2404" s="1" t="str">
        <f>"2018-1730"</f>
        <v>2018-1730</v>
      </c>
      <c r="C2404" s="2" t="s">
        <v>1214</v>
      </c>
      <c r="D2404" s="1" t="s">
        <v>910</v>
      </c>
      <c r="E2404" s="3" t="str">
        <f>"2018/S 0F2-0023726"</f>
        <v>2018/S 0F2-0023726</v>
      </c>
      <c r="F2404" s="2" t="s">
        <v>23</v>
      </c>
      <c r="G2404" s="2" t="str">
        <f>CONCATENATE("CE-ZA-R D.O.O.,"," JOSIPA LONČARA 15,"," 10090 ZAGREB,"," OIB: 03860945174")</f>
        <v>CE-ZA-R D.O.O., JOSIPA LONČARA 15, 10090 ZAGREB, OIB: 03860945174</v>
      </c>
      <c r="H2404" s="4"/>
      <c r="I2404" s="1" t="s">
        <v>372</v>
      </c>
      <c r="J2404" s="1" t="s">
        <v>1216</v>
      </c>
      <c r="K2404" s="6" t="str">
        <f>"5.000.000,00"</f>
        <v>5.000.000,00</v>
      </c>
      <c r="L2404" s="6" t="str">
        <f>"1.250.000,00"</f>
        <v>1.250.000,00</v>
      </c>
      <c r="M2404" s="6" t="str">
        <f>"6.250.000,00"</f>
        <v>6.250.000,00</v>
      </c>
      <c r="N2404" s="7"/>
      <c r="O2404" s="7"/>
      <c r="P2404" s="6" t="str">
        <f>""</f>
        <v/>
      </c>
      <c r="Q2404" s="7"/>
      <c r="R2404" s="1"/>
      <c r="S2404" s="1" t="str">
        <f>"NOS-80-B/18"</f>
        <v>NOS-80-B/18</v>
      </c>
      <c r="T2404" s="2" t="s">
        <v>33</v>
      </c>
    </row>
    <row r="2405" spans="1:20" ht="38.25" x14ac:dyDescent="0.25">
      <c r="A2405" s="1">
        <v>2401</v>
      </c>
      <c r="B2405" s="1" t="str">
        <f>"2018-1730"</f>
        <v>2018-1730</v>
      </c>
      <c r="C2405" s="2" t="s">
        <v>1214</v>
      </c>
      <c r="D2405" s="4"/>
      <c r="E2405" s="3" t="str">
        <f>""</f>
        <v/>
      </c>
      <c r="F2405" s="2" t="s">
        <v>27</v>
      </c>
      <c r="G2405" s="2" t="str">
        <f>CONCATENATE("CE-ZA-R D.O.O.,"," JOSIPA LONČARA 15,"," 10090 ZAGREB,"," OIB: 03860945174")</f>
        <v>CE-ZA-R D.O.O., JOSIPA LONČARA 15, 10090 ZAGREB, OIB: 03860945174</v>
      </c>
      <c r="H2405" s="4"/>
      <c r="I2405" s="1" t="s">
        <v>596</v>
      </c>
      <c r="J2405" s="1" t="s">
        <v>45</v>
      </c>
      <c r="K2405" s="6" t="str">
        <f>"2.400.000,00"</f>
        <v>2.400.000,00</v>
      </c>
      <c r="L2405" s="6" t="str">
        <f>"600.000,00"</f>
        <v>600.000,00</v>
      </c>
      <c r="M2405" s="6" t="str">
        <f>"3.000.000,00"</f>
        <v>3.000.000,00</v>
      </c>
      <c r="N2405" s="5">
        <v>43707</v>
      </c>
      <c r="O2405" s="7"/>
      <c r="P2405" s="6" t="str">
        <f>"1.053.156,00"</f>
        <v>1.053.156,00</v>
      </c>
      <c r="Q2405" s="7"/>
      <c r="R2405" s="1"/>
      <c r="S2405" s="1" t="str">
        <f>"1-19/NOS-80-B/18"</f>
        <v>1-19/NOS-80-B/18</v>
      </c>
      <c r="T2405" s="2" t="s">
        <v>33</v>
      </c>
    </row>
    <row r="2406" spans="1:20" ht="89.25" x14ac:dyDescent="0.25">
      <c r="A2406" s="1">
        <v>2402</v>
      </c>
      <c r="B2406" s="1" t="str">
        <f>"2018-2799"</f>
        <v>2018-2799</v>
      </c>
      <c r="C2406" s="2" t="s">
        <v>1217</v>
      </c>
      <c r="D2406" s="1" t="s">
        <v>359</v>
      </c>
      <c r="E2406" s="3" t="str">
        <f>""</f>
        <v/>
      </c>
      <c r="F2406" s="2" t="s">
        <v>23</v>
      </c>
      <c r="G2406" s="2" t="str">
        <f>CONCATENATE("GRADITELJ SVRATIŠTA D.O.O.,"," IVANA ČESMIČKOG 16,"," 10000 ZAGREB,"," OIB: 52044657571",CHAR(10),"MAGBA GRADNJA D.O.O.,"," FERKI 4,"," 10253 DONJI DRAGONOŽEC,"," OIB: 49280496152",CHAR(10),"GUT D.O.O.,"," SISAČKA 37,"," 10000 ZAGREB,"," OIB: 9501710522")</f>
        <v>GRADITELJ SVRATIŠTA D.O.O., IVANA ČESMIČKOG 16, 10000 ZAGREB, OIB: 52044657571
MAGBA GRADNJA D.O.O., FERKI 4, 10253 DONJI DRAGONOŽEC, OIB: 49280496152
GUT D.O.O., SISAČKA 37, 10000 ZAGREB, OIB: 9501710522</v>
      </c>
      <c r="H2406" s="4"/>
      <c r="I2406" s="1" t="s">
        <v>219</v>
      </c>
      <c r="J2406" s="1" t="s">
        <v>838</v>
      </c>
      <c r="K2406" s="6" t="str">
        <f>"1.200.000,00"</f>
        <v>1.200.000,00</v>
      </c>
      <c r="L2406" s="6" t="str">
        <f>"300.000,00"</f>
        <v>300.000,00</v>
      </c>
      <c r="M2406" s="6" t="str">
        <f>"1.500.000,00"</f>
        <v>1.500.000,00</v>
      </c>
      <c r="N2406" s="7"/>
      <c r="O2406" s="5">
        <v>43543</v>
      </c>
      <c r="P2406" s="6" t="str">
        <f>""</f>
        <v/>
      </c>
      <c r="Q2406" s="7"/>
      <c r="R2406" s="1"/>
      <c r="S2406" s="1" t="str">
        <f>"NOS-81/18"</f>
        <v>NOS-81/18</v>
      </c>
      <c r="T2406" s="2" t="s">
        <v>33</v>
      </c>
    </row>
    <row r="2407" spans="1:20" ht="38.25" x14ac:dyDescent="0.25">
      <c r="A2407" s="1">
        <v>2403</v>
      </c>
      <c r="B2407" s="1" t="str">
        <f>"2018-2986"</f>
        <v>2018-2986</v>
      </c>
      <c r="C2407" s="2" t="s">
        <v>1218</v>
      </c>
      <c r="D2407" s="1" t="s">
        <v>844</v>
      </c>
      <c r="E2407" s="3" t="str">
        <f>"2018/S 0F2-0021388"</f>
        <v>2018/S 0F2-0021388</v>
      </c>
      <c r="F2407" s="2" t="s">
        <v>23</v>
      </c>
      <c r="G2407" s="2" t="str">
        <f>CONCATENATE("KOM-EKO D.O.O.,"," RADNIČKA CESTA 228,"," 10000 ZAGREB,"," OIB: 27859052647")</f>
        <v>KOM-EKO D.O.O., RADNIČKA CESTA 228, 10000 ZAGREB, OIB: 27859052647</v>
      </c>
      <c r="H2407" s="4"/>
      <c r="I2407" s="1" t="s">
        <v>372</v>
      </c>
      <c r="J2407" s="1" t="s">
        <v>1216</v>
      </c>
      <c r="K2407" s="6" t="str">
        <f>"4.000.000,00"</f>
        <v>4.000.000,00</v>
      </c>
      <c r="L2407" s="6" t="str">
        <f>"1.000.000,00"</f>
        <v>1.000.000,00</v>
      </c>
      <c r="M2407" s="6" t="str">
        <f>"5.000.000,00"</f>
        <v>5.000.000,00</v>
      </c>
      <c r="N2407" s="7"/>
      <c r="O2407" s="7"/>
      <c r="P2407" s="6" t="str">
        <f>""</f>
        <v/>
      </c>
      <c r="Q2407" s="7"/>
      <c r="R2407" s="1"/>
      <c r="S2407" s="1" t="str">
        <f>"NOS-82-A/18"</f>
        <v>NOS-82-A/18</v>
      </c>
      <c r="T2407" s="2" t="s">
        <v>29</v>
      </c>
    </row>
    <row r="2408" spans="1:20" ht="25.5" x14ac:dyDescent="0.25">
      <c r="A2408" s="1">
        <v>2404</v>
      </c>
      <c r="B2408" s="1" t="str">
        <f>"2018-2986"</f>
        <v>2018-2986</v>
      </c>
      <c r="C2408" s="2" t="s">
        <v>1218</v>
      </c>
      <c r="D2408" s="4"/>
      <c r="E2408" s="3" t="str">
        <f>""</f>
        <v/>
      </c>
      <c r="F2408" s="2" t="s">
        <v>27</v>
      </c>
      <c r="G2408" s="2" t="str">
        <f>CONCATENATE("KOM-EKO D.O.O.,"," RADNIČKA CESTA 228,"," 10000 ZAGREB,"," OIB: 27859052647")</f>
        <v>KOM-EKO D.O.O., RADNIČKA CESTA 228, 10000 ZAGREB, OIB: 27859052647</v>
      </c>
      <c r="H2408" s="4"/>
      <c r="I2408" s="1" t="s">
        <v>319</v>
      </c>
      <c r="J2408" s="1" t="s">
        <v>64</v>
      </c>
      <c r="K2408" s="6" t="str">
        <f>"338.804,53"</f>
        <v>338.804,53</v>
      </c>
      <c r="L2408" s="6" t="str">
        <f>"84.701,13"</f>
        <v>84.701,13</v>
      </c>
      <c r="M2408" s="6" t="str">
        <f>"423.505,66"</f>
        <v>423.505,66</v>
      </c>
      <c r="N2408" s="5">
        <v>43613</v>
      </c>
      <c r="O2408" s="7"/>
      <c r="P2408" s="6" t="str">
        <f>"422.803,75"</f>
        <v>422.803,75</v>
      </c>
      <c r="Q2408" s="7"/>
      <c r="R2408" s="1"/>
      <c r="S2408" s="1" t="str">
        <f>"1-19/NOS-82-A/18"</f>
        <v>1-19/NOS-82-A/18</v>
      </c>
      <c r="T2408" s="2" t="s">
        <v>29</v>
      </c>
    </row>
    <row r="2409" spans="1:20" ht="38.25" x14ac:dyDescent="0.25">
      <c r="A2409" s="1">
        <v>2405</v>
      </c>
      <c r="B2409" s="1" t="str">
        <f>"2018-2986"</f>
        <v>2018-2986</v>
      </c>
      <c r="C2409" s="2" t="s">
        <v>1218</v>
      </c>
      <c r="D2409" s="1" t="s">
        <v>844</v>
      </c>
      <c r="E2409" s="3" t="str">
        <f>"2018/S 0F2-0021388"</f>
        <v>2018/S 0F2-0021388</v>
      </c>
      <c r="F2409" s="2" t="s">
        <v>23</v>
      </c>
      <c r="G2409" s="2" t="str">
        <f>CONCATENATE("KOM-EKO D.O.O.,"," RADNIČKA CESTA 228,"," 10000 ZAGREB,"," OIB: 27859052647")</f>
        <v>KOM-EKO D.O.O., RADNIČKA CESTA 228, 10000 ZAGREB, OIB: 27859052647</v>
      </c>
      <c r="H2409" s="4"/>
      <c r="I2409" s="1" t="s">
        <v>372</v>
      </c>
      <c r="J2409" s="1" t="s">
        <v>1216</v>
      </c>
      <c r="K2409" s="6" t="str">
        <f>"4.000.000,00"</f>
        <v>4.000.000,00</v>
      </c>
      <c r="L2409" s="6" t="str">
        <f>"1.000.000,00"</f>
        <v>1.000.000,00</v>
      </c>
      <c r="M2409" s="6" t="str">
        <f>"5.000.000,00"</f>
        <v>5.000.000,00</v>
      </c>
      <c r="N2409" s="7"/>
      <c r="O2409" s="7"/>
      <c r="P2409" s="6" t="str">
        <f>""</f>
        <v/>
      </c>
      <c r="Q2409" s="7"/>
      <c r="R2409" s="1"/>
      <c r="S2409" s="1" t="str">
        <f>"NOS-82-B/18"</f>
        <v>NOS-82-B/18</v>
      </c>
      <c r="T2409" s="2" t="s">
        <v>29</v>
      </c>
    </row>
    <row r="2410" spans="1:20" ht="25.5" x14ac:dyDescent="0.25">
      <c r="A2410" s="1">
        <v>2406</v>
      </c>
      <c r="B2410" s="1" t="str">
        <f>"2018-2986"</f>
        <v>2018-2986</v>
      </c>
      <c r="C2410" s="2" t="s">
        <v>1218</v>
      </c>
      <c r="D2410" s="4"/>
      <c r="E2410" s="3" t="str">
        <f>""</f>
        <v/>
      </c>
      <c r="F2410" s="2" t="s">
        <v>27</v>
      </c>
      <c r="G2410" s="2" t="str">
        <f>CONCATENATE("KOM-EKO D.O.O.,"," RADNIČKA CESTA 228,"," 10000 ZAGREB,"," OIB: 27859052647")</f>
        <v>KOM-EKO D.O.O., RADNIČKA CESTA 228, 10000 ZAGREB, OIB: 27859052647</v>
      </c>
      <c r="H2410" s="4"/>
      <c r="I2410" s="1" t="s">
        <v>277</v>
      </c>
      <c r="J2410" s="1" t="s">
        <v>64</v>
      </c>
      <c r="K2410" s="6" t="str">
        <f>"311.868,38"</f>
        <v>311.868,38</v>
      </c>
      <c r="L2410" s="6" t="str">
        <f>"77.967,10"</f>
        <v>77.967,10</v>
      </c>
      <c r="M2410" s="6" t="str">
        <f>"389.835,48"</f>
        <v>389.835,48</v>
      </c>
      <c r="N2410" s="5">
        <v>43613</v>
      </c>
      <c r="O2410" s="7"/>
      <c r="P2410" s="6" t="str">
        <f>"388.878,89"</f>
        <v>388.878,89</v>
      </c>
      <c r="Q2410" s="7"/>
      <c r="R2410" s="1"/>
      <c r="S2410" s="1" t="str">
        <f>"1-19/NOS-82-B/18"</f>
        <v>1-19/NOS-82-B/18</v>
      </c>
      <c r="T2410" s="2" t="s">
        <v>29</v>
      </c>
    </row>
    <row r="2411" spans="1:20" ht="25.5" x14ac:dyDescent="0.25">
      <c r="A2411" s="1">
        <v>2407</v>
      </c>
      <c r="B2411" s="1" t="str">
        <f>"2018-2986"</f>
        <v>2018-2986</v>
      </c>
      <c r="C2411" s="2" t="s">
        <v>1218</v>
      </c>
      <c r="D2411" s="1" t="s">
        <v>844</v>
      </c>
      <c r="E2411" s="3" t="str">
        <f>""</f>
        <v/>
      </c>
      <c r="F2411" s="2" t="s">
        <v>27</v>
      </c>
      <c r="G2411" s="2" t="str">
        <f>CONCATENATE("KOM-EKO D.O.O.,"," RADNIČKA CESTA 228,"," 10000 ZAGREB,"," OIB: 27859052647")</f>
        <v>KOM-EKO D.O.O., RADNIČKA CESTA 228, 10000 ZAGREB, OIB: 27859052647</v>
      </c>
      <c r="H2411" s="4"/>
      <c r="I2411" s="1" t="s">
        <v>396</v>
      </c>
      <c r="J2411" s="1" t="s">
        <v>121</v>
      </c>
      <c r="K2411" s="6" t="str">
        <f>"220.733,38"</f>
        <v>220.733,38</v>
      </c>
      <c r="L2411" s="6" t="str">
        <f>"55.042,38"</f>
        <v>55.042,38</v>
      </c>
      <c r="M2411" s="6" t="str">
        <f>"275.211,88"</f>
        <v>275.211,88</v>
      </c>
      <c r="N2411" s="5">
        <v>43719</v>
      </c>
      <c r="O2411" s="7"/>
      <c r="P2411" s="6" t="str">
        <f>"275.211,88"</f>
        <v>275.211,88</v>
      </c>
      <c r="Q2411" s="7"/>
      <c r="R2411" s="1"/>
      <c r="S2411" s="1" t="str">
        <f>"2-19/NOS-82-B/18"</f>
        <v>2-19/NOS-82-B/18</v>
      </c>
      <c r="T2411" s="2" t="s">
        <v>29</v>
      </c>
    </row>
    <row r="2412" spans="1:20" ht="38.25" x14ac:dyDescent="0.25">
      <c r="A2412" s="1">
        <v>2408</v>
      </c>
      <c r="B2412" s="1" t="str">
        <f>"2018-2917"</f>
        <v>2018-2917</v>
      </c>
      <c r="C2412" s="2" t="s">
        <v>1219</v>
      </c>
      <c r="D2412" s="1" t="s">
        <v>119</v>
      </c>
      <c r="E2412" s="3" t="str">
        <f>"2018/S 0F2-0024686"</f>
        <v>2018/S 0F2-0024686</v>
      </c>
      <c r="F2412" s="2" t="s">
        <v>23</v>
      </c>
      <c r="G2412" s="2" t="str">
        <f>CONCATENATE("AGROPLAN D.O.O.,"," UGLJANSKA 14,"," 10000 ZAGREB,"," OIB: 13652531417")</f>
        <v>AGROPLAN D.O.O., UGLJANSKA 14, 10000 ZAGREB, OIB: 13652531417</v>
      </c>
      <c r="H2412" s="1" t="str">
        <f>CONCATENATE("GEO 6 D.O.O.,"," OIB: 56516261347")</f>
        <v>GEO 6 D.O.O., OIB: 56516261347</v>
      </c>
      <c r="I2412" s="1" t="s">
        <v>1144</v>
      </c>
      <c r="J2412" s="1" t="s">
        <v>1215</v>
      </c>
      <c r="K2412" s="6" t="str">
        <f>"4.962.000,00"</f>
        <v>4.962.000,00</v>
      </c>
      <c r="L2412" s="6" t="str">
        <f>"1.240.500,00"</f>
        <v>1.240.500,00</v>
      </c>
      <c r="M2412" s="6" t="str">
        <f>"6.202.500,00"</f>
        <v>6.202.500,00</v>
      </c>
      <c r="N2412" s="7"/>
      <c r="O2412" s="7"/>
      <c r="P2412" s="6" t="str">
        <f>""</f>
        <v/>
      </c>
      <c r="Q2412" s="7"/>
      <c r="R2412" s="1"/>
      <c r="S2412" s="1" t="str">
        <f>"NOS-83/18"</f>
        <v>NOS-83/18</v>
      </c>
      <c r="T2412" s="2" t="s">
        <v>538</v>
      </c>
    </row>
    <row r="2413" spans="1:20" ht="38.25" x14ac:dyDescent="0.25">
      <c r="A2413" s="1">
        <v>2409</v>
      </c>
      <c r="B2413" s="1" t="str">
        <f>"2018-2863"</f>
        <v>2018-2863</v>
      </c>
      <c r="C2413" s="2" t="s">
        <v>346</v>
      </c>
      <c r="D2413" s="1" t="s">
        <v>347</v>
      </c>
      <c r="E2413" s="3" t="str">
        <f>"2018/S 0F2-0030722"</f>
        <v>2018/S 0F2-0030722</v>
      </c>
      <c r="F2413" s="2" t="s">
        <v>23</v>
      </c>
      <c r="G2413" s="2" t="str">
        <f>CONCATENATE("RO-TEHNOLOGIJA D.O.O.,"," NOVA CESTA 86,"," 51410 OPATIJA,"," OIB: 94757004774")</f>
        <v>RO-TEHNOLOGIJA D.O.O., NOVA CESTA 86, 51410 OPATIJA, OIB: 94757004774</v>
      </c>
      <c r="H2413" s="4"/>
      <c r="I2413" s="1" t="s">
        <v>1220</v>
      </c>
      <c r="J2413" s="1" t="s">
        <v>1221</v>
      </c>
      <c r="K2413" s="6" t="str">
        <f>"500.000,00"</f>
        <v>500.000,00</v>
      </c>
      <c r="L2413" s="6" t="str">
        <f>"125.000,00"</f>
        <v>125.000,00</v>
      </c>
      <c r="M2413" s="6" t="str">
        <f>"625.000,00"</f>
        <v>625.000,00</v>
      </c>
      <c r="N2413" s="7"/>
      <c r="O2413" s="7"/>
      <c r="P2413" s="6" t="str">
        <f>""</f>
        <v/>
      </c>
      <c r="Q2413" s="7"/>
      <c r="R2413" s="1"/>
      <c r="S2413" s="1" t="str">
        <f>"NOS-84/18"</f>
        <v>NOS-84/18</v>
      </c>
      <c r="T2413" s="2" t="s">
        <v>33</v>
      </c>
    </row>
    <row r="2414" spans="1:20" ht="25.5" x14ac:dyDescent="0.25">
      <c r="A2414" s="1">
        <v>2410</v>
      </c>
      <c r="B2414" s="1" t="str">
        <f>"2018-2863"</f>
        <v>2018-2863</v>
      </c>
      <c r="C2414" s="2" t="s">
        <v>346</v>
      </c>
      <c r="D2414" s="1" t="s">
        <v>347</v>
      </c>
      <c r="E2414" s="3" t="str">
        <f>""</f>
        <v/>
      </c>
      <c r="F2414" s="2" t="s">
        <v>27</v>
      </c>
      <c r="G2414" s="2" t="str">
        <f>CONCATENATE("RO-TEHNOLOGIJA D.O.O.,"," NOVA CESTA 86,"," 51410 OPATIJA,"," OIB: 94757004774")</f>
        <v>RO-TEHNOLOGIJA D.O.O., NOVA CESTA 86, 51410 OPATIJA, OIB: 94757004774</v>
      </c>
      <c r="H2414" s="4"/>
      <c r="I2414" s="1" t="s">
        <v>32</v>
      </c>
      <c r="J2414" s="1" t="s">
        <v>303</v>
      </c>
      <c r="K2414" s="6" t="str">
        <f>"99.450,00"</f>
        <v>99.450,00</v>
      </c>
      <c r="L2414" s="6" t="str">
        <f>"24.862,50"</f>
        <v>24.862,50</v>
      </c>
      <c r="M2414" s="6" t="str">
        <f>"124.312,50"</f>
        <v>124.312,50</v>
      </c>
      <c r="N2414" s="5">
        <v>43613</v>
      </c>
      <c r="O2414" s="7"/>
      <c r="P2414" s="6" t="str">
        <f>"124.312,50"</f>
        <v>124.312,50</v>
      </c>
      <c r="Q2414" s="7"/>
      <c r="R2414" s="1"/>
      <c r="S2414" s="1" t="str">
        <f>"1-19/NOS-84/18"</f>
        <v>1-19/NOS-84/18</v>
      </c>
      <c r="T2414" s="2" t="s">
        <v>33</v>
      </c>
    </row>
    <row r="2415" spans="1:20" ht="89.25" x14ac:dyDescent="0.25">
      <c r="A2415" s="1">
        <v>2411</v>
      </c>
      <c r="B2415" s="1" t="str">
        <f>"2018-2824"</f>
        <v>2018-2824</v>
      </c>
      <c r="C2415" s="2" t="s">
        <v>1222</v>
      </c>
      <c r="D2415" s="1" t="s">
        <v>1223</v>
      </c>
      <c r="E2415" s="3" t="str">
        <f>"2018/S 0F2-0027863"</f>
        <v>2018/S 0F2-0027863</v>
      </c>
      <c r="F2415" s="2" t="s">
        <v>23</v>
      </c>
      <c r="G2415" s="2" t="str">
        <f>CONCATENATE("PRIGORAC-GRAĐENJE d.o.o.,"," JELKOVEČKA 4,"," 10360 SESVETE,"," OIB: 53456405017",CHAR(10),"BOLČEVIĆ-GRADNJA D.O.O.,"," DUGOSELSKA CESTA 56,"," 10361 SESVETSKI KRALJEVEC,"," OIB: 52098670500",CHAR(10),"TEMPORIUM GRADNJA D.O.O.,"," LJUTOMERSKA ULICA 33A,"," 10000 ZAGREB,"," OIB: 6285048268")</f>
        <v>PRIGORAC-GRAĐENJE d.o.o., JELKOVEČKA 4, 10360 SESVETE, OIB: 53456405017
BOLČEVIĆ-GRADNJA D.O.O., DUGOSELSKA CESTA 56, 10361 SESVETSKI KRALJEVEC, OIB: 52098670500
TEMPORIUM GRADNJA D.O.O., LJUTOMERSKA ULICA 33A, 10000 ZAGREB, OIB: 6285048268</v>
      </c>
      <c r="H2415" s="4"/>
      <c r="I2415" s="1" t="s">
        <v>263</v>
      </c>
      <c r="J2415" s="1" t="s">
        <v>1224</v>
      </c>
      <c r="K2415" s="6" t="str">
        <f>"10.000.000,00"</f>
        <v>10.000.000,00</v>
      </c>
      <c r="L2415" s="6" t="str">
        <f>"2.500.000,00"</f>
        <v>2.500.000,00</v>
      </c>
      <c r="M2415" s="6" t="str">
        <f>"12.500.000,00"</f>
        <v>12.500.000,00</v>
      </c>
      <c r="N2415" s="7"/>
      <c r="O2415" s="7"/>
      <c r="P2415" s="6" t="str">
        <f>""</f>
        <v/>
      </c>
      <c r="Q2415" s="7"/>
      <c r="R2415" s="1"/>
      <c r="S2415" s="1" t="str">
        <f>"NOS-85/18"</f>
        <v>NOS-85/18</v>
      </c>
      <c r="T2415" s="2" t="s">
        <v>33</v>
      </c>
    </row>
    <row r="2416" spans="1:20" ht="38.25" x14ac:dyDescent="0.25">
      <c r="A2416" s="1">
        <v>2412</v>
      </c>
      <c r="B2416" s="1" t="str">
        <f>"2018-2824"</f>
        <v>2018-2824</v>
      </c>
      <c r="C2416" s="2" t="s">
        <v>1222</v>
      </c>
      <c r="D2416" s="4"/>
      <c r="E2416" s="3" t="str">
        <f>""</f>
        <v/>
      </c>
      <c r="F2416" s="2" t="s">
        <v>27</v>
      </c>
      <c r="G2416" s="2" t="str">
        <f>CONCATENATE("BOLČEVIĆ-GRADNJA D.O.O.,"," DUGOSELSKA CESTA 56,"," 10361 SESVETSKI KRALJEVEC,"," OIB: 520986705")</f>
        <v>BOLČEVIĆ-GRADNJA D.O.O., DUGOSELSKA CESTA 56, 10361 SESVETSKI KRALJEVEC, OIB: 520986705</v>
      </c>
      <c r="H2416" s="4"/>
      <c r="I2416" s="1" t="s">
        <v>470</v>
      </c>
      <c r="J2416" s="1" t="s">
        <v>114</v>
      </c>
      <c r="K2416" s="6" t="str">
        <f>"1.988.517,63"</f>
        <v>1.988.517,63</v>
      </c>
      <c r="L2416" s="6" t="str">
        <f>"497.129,41"</f>
        <v>497.129,41</v>
      </c>
      <c r="M2416" s="6" t="str">
        <f>"2.485.647,04"</f>
        <v>2.485.647,04</v>
      </c>
      <c r="N2416" s="5">
        <v>43645</v>
      </c>
      <c r="O2416" s="7"/>
      <c r="P2416" s="6" t="str">
        <f>"2.485.621,39"</f>
        <v>2.485.621,39</v>
      </c>
      <c r="Q2416" s="7"/>
      <c r="R2416" s="1"/>
      <c r="S2416" s="1" t="str">
        <f>"1-19/NOS-85/18"</f>
        <v>1-19/NOS-85/18</v>
      </c>
      <c r="T2416" s="2" t="s">
        <v>33</v>
      </c>
    </row>
    <row r="2417" spans="1:20" ht="76.5" x14ac:dyDescent="0.25">
      <c r="A2417" s="1">
        <v>2413</v>
      </c>
      <c r="B2417" s="1" t="str">
        <f>"2018-2850"</f>
        <v>2018-2850</v>
      </c>
      <c r="C2417" s="2" t="s">
        <v>1225</v>
      </c>
      <c r="D2417" s="1" t="s">
        <v>999</v>
      </c>
      <c r="E2417" s="3" t="str">
        <f>"2018/S 0F2-0019859"</f>
        <v>2018/S 0F2-0019859</v>
      </c>
      <c r="F2417" s="2" t="s">
        <v>23</v>
      </c>
      <c r="G2417" s="2" t="str">
        <f>CONCATENATE("FDS-TRGOVINA D.O.O.,"," MAJSTORSKA 1G,"," 10000 ZAGREB,"," OIB: 71814187727",CHAR(10),"VODOSKOK D.D.,"," ČULINEČKA CESTA 221/C,"," 10040 ZAGREB,"," OIB: 34134218058",CHAR(10),"AQUA - PROMET d.o.o.,"," MIRAMARSKA 34,"," 10000 ZAGREB,"," OIB: 40916157895")</f>
        <v>FDS-TRGOVINA D.O.O., MAJSTORSKA 1G, 10000 ZAGREB, OIB: 71814187727
VODOSKOK D.D., ČULINEČKA CESTA 221/C, 10040 ZAGREB, OIB: 34134218058
AQUA - PROMET d.o.o., MIRAMARSKA 34, 10000 ZAGREB, OIB: 40916157895</v>
      </c>
      <c r="H2417" s="4"/>
      <c r="I2417" s="1" t="s">
        <v>263</v>
      </c>
      <c r="J2417" s="1" t="s">
        <v>1226</v>
      </c>
      <c r="K2417" s="6" t="str">
        <f>"600.000,00"</f>
        <v>600.000,00</v>
      </c>
      <c r="L2417" s="6" t="str">
        <f>"150.000,00"</f>
        <v>150.000,00</v>
      </c>
      <c r="M2417" s="6" t="str">
        <f>"750.000,00"</f>
        <v>750.000,00</v>
      </c>
      <c r="N2417" s="7"/>
      <c r="O2417" s="7"/>
      <c r="P2417" s="6" t="str">
        <f>""</f>
        <v/>
      </c>
      <c r="Q2417" s="7"/>
      <c r="R2417" s="1"/>
      <c r="S2417" s="1" t="str">
        <f>"NOS-86/18"</f>
        <v>NOS-86/18</v>
      </c>
      <c r="T2417" s="2" t="s">
        <v>29</v>
      </c>
    </row>
    <row r="2418" spans="1:20" ht="25.5" x14ac:dyDescent="0.25">
      <c r="A2418" s="1">
        <v>2414</v>
      </c>
      <c r="B2418" s="1" t="str">
        <f>"2018-2850"</f>
        <v>2018-2850</v>
      </c>
      <c r="C2418" s="2" t="s">
        <v>1225</v>
      </c>
      <c r="D2418" s="4"/>
      <c r="E2418" s="3" t="str">
        <f>""</f>
        <v/>
      </c>
      <c r="F2418" s="2" t="s">
        <v>27</v>
      </c>
      <c r="G2418" s="2" t="str">
        <f>CONCATENATE("AQUA - PROMET d.o.o.,"," MIRAMARSKA 34,"," 10000 ZAGREB,"," OIB: 40916157895")</f>
        <v>AQUA - PROMET d.o.o., MIRAMARSKA 34, 10000 ZAGREB, OIB: 40916157895</v>
      </c>
      <c r="H2418" s="4"/>
      <c r="I2418" s="1" t="s">
        <v>401</v>
      </c>
      <c r="J2418" s="1" t="s">
        <v>28</v>
      </c>
      <c r="K2418" s="6" t="str">
        <f>"54.969,06"</f>
        <v>54.969,06</v>
      </c>
      <c r="L2418" s="6" t="str">
        <f>"13.742,27"</f>
        <v>13.742,27</v>
      </c>
      <c r="M2418" s="6" t="str">
        <f>"68.711,33"</f>
        <v>68.711,33</v>
      </c>
      <c r="N2418" s="5">
        <v>43595</v>
      </c>
      <c r="O2418" s="7"/>
      <c r="P2418" s="6" t="str">
        <f>"51.558,60"</f>
        <v>51.558,60</v>
      </c>
      <c r="Q2418" s="7"/>
      <c r="R2418" s="1"/>
      <c r="S2418" s="1" t="str">
        <f>"1-19/NOS-86/18"</f>
        <v>1-19/NOS-86/18</v>
      </c>
      <c r="T2418" s="2" t="s">
        <v>29</v>
      </c>
    </row>
    <row r="2419" spans="1:20" ht="102" x14ac:dyDescent="0.25">
      <c r="A2419" s="1">
        <v>2415</v>
      </c>
      <c r="B2419" s="1" t="str">
        <f t="shared" ref="B2419:B2429" si="239">"2018-2783"</f>
        <v>2018-2783</v>
      </c>
      <c r="C2419" s="2" t="s">
        <v>1227</v>
      </c>
      <c r="D2419" s="1" t="s">
        <v>860</v>
      </c>
      <c r="E2419" s="3" t="str">
        <f>"2018/S 0F2-0015424"</f>
        <v>2018/S 0F2-0015424</v>
      </c>
      <c r="F2419" s="2" t="s">
        <v>23</v>
      </c>
      <c r="G2419" s="2" t="str">
        <f>CONCATENATE("SERVIS IMP CRPKE,"," vl. Dražen Kovačić,"," STROSSMAYEROV TRG 12,"," 10450 JASTREBARSKO,"," OIB: 13145108322",CHAR(10),"ZAGREBAČKO ELEKTROTEHNIČKO PODUZEĆE D.D.,"," DRAŠKOVIĆEVA 54,"," 10000 ZAGREB,"," OIB: 04058897454",CHAR(10),"MENDIS-PROJEKT D.O.O.,"," TOPLIČKA 27,"," 10297 JAKOVLJE,"," OIB: 15533693916")</f>
        <v>SERVIS IMP CRPKE, vl. Dražen Kovačić, STROSSMAYEROV TRG 12, 10450 JASTREBARSKO, OIB: 13145108322
ZAGREBAČKO ELEKTROTEHNIČKO PODUZEĆE D.D., DRAŠKOVIĆEVA 54, 10000 ZAGREB, OIB: 04058897454
MENDIS-PROJEKT D.O.O., TOPLIČKA 27, 10297 JAKOVLJE, OIB: 15533693916</v>
      </c>
      <c r="H2419" s="4"/>
      <c r="I2419" s="1" t="s">
        <v>263</v>
      </c>
      <c r="J2419" s="1" t="s">
        <v>1226</v>
      </c>
      <c r="K2419" s="6" t="str">
        <f>"1.200.000,00"</f>
        <v>1.200.000,00</v>
      </c>
      <c r="L2419" s="6" t="str">
        <f>"300.000,00"</f>
        <v>300.000,00</v>
      </c>
      <c r="M2419" s="6" t="str">
        <f>"1.500.000,00"</f>
        <v>1.500.000,00</v>
      </c>
      <c r="N2419" s="7"/>
      <c r="O2419" s="7"/>
      <c r="P2419" s="6" t="str">
        <f>""</f>
        <v/>
      </c>
      <c r="Q2419" s="7"/>
      <c r="R2419" s="1"/>
      <c r="S2419" s="1" t="str">
        <f>"NOS-87-A/18"</f>
        <v>NOS-87-A/18</v>
      </c>
      <c r="T2419" s="2" t="s">
        <v>26</v>
      </c>
    </row>
    <row r="2420" spans="1:20" ht="38.25" x14ac:dyDescent="0.25">
      <c r="A2420" s="1">
        <v>2416</v>
      </c>
      <c r="B2420" s="1" t="str">
        <f t="shared" si="239"/>
        <v>2018-2783</v>
      </c>
      <c r="C2420" s="2" t="s">
        <v>1227</v>
      </c>
      <c r="D2420" s="1" t="s">
        <v>860</v>
      </c>
      <c r="E2420" s="3" t="str">
        <f>""</f>
        <v/>
      </c>
      <c r="F2420" s="2" t="s">
        <v>27</v>
      </c>
      <c r="G2420" s="2" t="str">
        <f t="shared" ref="G2420:G2427" si="240">CONCATENATE("SERVIS IMP CRPKE,"," vl. Dražen Kovačić,"," STROSSMAYEROV TRG 12,"," 10450 JASTREBARSKO,"," OIB: 13145108322")</f>
        <v>SERVIS IMP CRPKE, vl. Dražen Kovačić, STROSSMAYEROV TRG 12, 10450 JASTREBARSKO, OIB: 13145108322</v>
      </c>
      <c r="H2420" s="4"/>
      <c r="I2420" s="1" t="s">
        <v>494</v>
      </c>
      <c r="J2420" s="1" t="s">
        <v>701</v>
      </c>
      <c r="K2420" s="6" t="str">
        <f>"100.300,00"</f>
        <v>100.300,00</v>
      </c>
      <c r="L2420" s="6" t="str">
        <f>"25.075,00"</f>
        <v>25.075,00</v>
      </c>
      <c r="M2420" s="6" t="str">
        <f>"125.375,00"</f>
        <v>125.375,00</v>
      </c>
      <c r="N2420" s="5">
        <v>43584</v>
      </c>
      <c r="O2420" s="7"/>
      <c r="P2420" s="6" t="str">
        <f>"125.375,00"</f>
        <v>125.375,00</v>
      </c>
      <c r="Q2420" s="7"/>
      <c r="R2420" s="1"/>
      <c r="S2420" s="1" t="str">
        <f>"1-19/NOS-87-A/18"</f>
        <v>1-19/NOS-87-A/18</v>
      </c>
      <c r="T2420" s="2" t="s">
        <v>33</v>
      </c>
    </row>
    <row r="2421" spans="1:20" ht="38.25" x14ac:dyDescent="0.25">
      <c r="A2421" s="1">
        <v>2417</v>
      </c>
      <c r="B2421" s="1" t="str">
        <f t="shared" si="239"/>
        <v>2018-2783</v>
      </c>
      <c r="C2421" s="2" t="s">
        <v>1227</v>
      </c>
      <c r="D2421" s="1" t="s">
        <v>860</v>
      </c>
      <c r="E2421" s="3" t="str">
        <f>""</f>
        <v/>
      </c>
      <c r="F2421" s="2" t="s">
        <v>27</v>
      </c>
      <c r="G2421" s="2" t="str">
        <f t="shared" si="240"/>
        <v>SERVIS IMP CRPKE, vl. Dražen Kovačić, STROSSMAYEROV TRG 12, 10450 JASTREBARSKO, OIB: 13145108322</v>
      </c>
      <c r="H2421" s="4"/>
      <c r="I2421" s="1" t="s">
        <v>64</v>
      </c>
      <c r="J2421" s="1" t="s">
        <v>31</v>
      </c>
      <c r="K2421" s="6" t="str">
        <f>"7.360,00"</f>
        <v>7.360,00</v>
      </c>
      <c r="L2421" s="6" t="str">
        <f>"1.840,00"</f>
        <v>1.840,00</v>
      </c>
      <c r="M2421" s="6" t="str">
        <f>"9.200,00"</f>
        <v>9.200,00</v>
      </c>
      <c r="N2421" s="5">
        <v>43635</v>
      </c>
      <c r="O2421" s="7"/>
      <c r="P2421" s="6" t="str">
        <f>"9.200,00"</f>
        <v>9.200,00</v>
      </c>
      <c r="Q2421" s="7"/>
      <c r="R2421" s="1"/>
      <c r="S2421" s="1" t="str">
        <f>"2-19/NOS-87-A/18"</f>
        <v>2-19/NOS-87-A/18</v>
      </c>
      <c r="T2421" s="2" t="s">
        <v>33</v>
      </c>
    </row>
    <row r="2422" spans="1:20" ht="38.25" x14ac:dyDescent="0.25">
      <c r="A2422" s="1">
        <v>2418</v>
      </c>
      <c r="B2422" s="1" t="str">
        <f t="shared" si="239"/>
        <v>2018-2783</v>
      </c>
      <c r="C2422" s="2" t="s">
        <v>1227</v>
      </c>
      <c r="D2422" s="1" t="s">
        <v>860</v>
      </c>
      <c r="E2422" s="3" t="str">
        <f>""</f>
        <v/>
      </c>
      <c r="F2422" s="2" t="s">
        <v>27</v>
      </c>
      <c r="G2422" s="2" t="str">
        <f t="shared" si="240"/>
        <v>SERVIS IMP CRPKE, vl. Dražen Kovačić, STROSSMAYEROV TRG 12, 10450 JASTREBARSKO, OIB: 13145108322</v>
      </c>
      <c r="H2422" s="4"/>
      <c r="I2422" s="1" t="s">
        <v>551</v>
      </c>
      <c r="J2422" s="1" t="s">
        <v>303</v>
      </c>
      <c r="K2422" s="6" t="str">
        <f>"5.640,00"</f>
        <v>5.640,00</v>
      </c>
      <c r="L2422" s="6" t="str">
        <f>"1.410,00"</f>
        <v>1.410,00</v>
      </c>
      <c r="M2422" s="6" t="str">
        <f>"7.050,00"</f>
        <v>7.050,00</v>
      </c>
      <c r="N2422" s="5">
        <v>43591</v>
      </c>
      <c r="O2422" s="7"/>
      <c r="P2422" s="6" t="str">
        <f>"7.050,00"</f>
        <v>7.050,00</v>
      </c>
      <c r="Q2422" s="7"/>
      <c r="R2422" s="1"/>
      <c r="S2422" s="1" t="str">
        <f>"3-19/NOS-87-A/18"</f>
        <v>3-19/NOS-87-A/18</v>
      </c>
      <c r="T2422" s="2" t="s">
        <v>33</v>
      </c>
    </row>
    <row r="2423" spans="1:20" ht="38.25" x14ac:dyDescent="0.25">
      <c r="A2423" s="1">
        <v>2419</v>
      </c>
      <c r="B2423" s="1" t="str">
        <f t="shared" si="239"/>
        <v>2018-2783</v>
      </c>
      <c r="C2423" s="2" t="s">
        <v>1227</v>
      </c>
      <c r="D2423" s="1" t="s">
        <v>860</v>
      </c>
      <c r="E2423" s="3" t="str">
        <f>""</f>
        <v/>
      </c>
      <c r="F2423" s="2" t="s">
        <v>27</v>
      </c>
      <c r="G2423" s="2" t="str">
        <f t="shared" si="240"/>
        <v>SERVIS IMP CRPKE, vl. Dražen Kovačić, STROSSMAYEROV TRG 12, 10450 JASTREBARSKO, OIB: 13145108322</v>
      </c>
      <c r="H2423" s="4"/>
      <c r="I2423" s="1" t="s">
        <v>401</v>
      </c>
      <c r="J2423" s="1" t="s">
        <v>1082</v>
      </c>
      <c r="K2423" s="6" t="str">
        <f>"3.950,00"</f>
        <v>3.950,00</v>
      </c>
      <c r="L2423" s="6" t="str">
        <f>"987,50"</f>
        <v>987,50</v>
      </c>
      <c r="M2423" s="6" t="str">
        <f>"4.937,50"</f>
        <v>4.937,50</v>
      </c>
      <c r="N2423" s="5">
        <v>43593</v>
      </c>
      <c r="O2423" s="7"/>
      <c r="P2423" s="6" t="str">
        <f>"4.937,50"</f>
        <v>4.937,50</v>
      </c>
      <c r="Q2423" s="7"/>
      <c r="R2423" s="1"/>
      <c r="S2423" s="1" t="str">
        <f>"4-19/NOS-87-A/18"</f>
        <v>4-19/NOS-87-A/18</v>
      </c>
      <c r="T2423" s="2" t="s">
        <v>33</v>
      </c>
    </row>
    <row r="2424" spans="1:20" ht="38.25" x14ac:dyDescent="0.25">
      <c r="A2424" s="1">
        <v>2420</v>
      </c>
      <c r="B2424" s="1" t="str">
        <f t="shared" si="239"/>
        <v>2018-2783</v>
      </c>
      <c r="C2424" s="2" t="s">
        <v>1227</v>
      </c>
      <c r="D2424" s="1" t="s">
        <v>860</v>
      </c>
      <c r="E2424" s="3" t="str">
        <f>""</f>
        <v/>
      </c>
      <c r="F2424" s="2" t="s">
        <v>27</v>
      </c>
      <c r="G2424" s="2" t="str">
        <f t="shared" si="240"/>
        <v>SERVIS IMP CRPKE, vl. Dražen Kovačić, STROSSMAYEROV TRG 12, 10450 JASTREBARSKO, OIB: 13145108322</v>
      </c>
      <c r="H2424" s="4"/>
      <c r="I2424" s="1" t="s">
        <v>401</v>
      </c>
      <c r="J2424" s="1" t="s">
        <v>436</v>
      </c>
      <c r="K2424" s="6" t="str">
        <f>"14.440,00"</f>
        <v>14.440,00</v>
      </c>
      <c r="L2424" s="6" t="str">
        <f>"3.610,00"</f>
        <v>3.610,00</v>
      </c>
      <c r="M2424" s="6" t="str">
        <f>"18.050,00"</f>
        <v>18.050,00</v>
      </c>
      <c r="N2424" s="5">
        <v>43615</v>
      </c>
      <c r="O2424" s="7"/>
      <c r="P2424" s="6" t="str">
        <f>"18.050,00"</f>
        <v>18.050,00</v>
      </c>
      <c r="Q2424" s="7"/>
      <c r="R2424" s="1"/>
      <c r="S2424" s="1" t="str">
        <f>"5-19/NOS-87-A/18"</f>
        <v>5-19/NOS-87-A/18</v>
      </c>
      <c r="T2424" s="2" t="s">
        <v>33</v>
      </c>
    </row>
    <row r="2425" spans="1:20" ht="38.25" x14ac:dyDescent="0.25">
      <c r="A2425" s="1">
        <v>2421</v>
      </c>
      <c r="B2425" s="1" t="str">
        <f t="shared" si="239"/>
        <v>2018-2783</v>
      </c>
      <c r="C2425" s="2" t="s">
        <v>1227</v>
      </c>
      <c r="D2425" s="1" t="s">
        <v>860</v>
      </c>
      <c r="E2425" s="3" t="str">
        <f>""</f>
        <v/>
      </c>
      <c r="F2425" s="2" t="s">
        <v>27</v>
      </c>
      <c r="G2425" s="2" t="str">
        <f t="shared" si="240"/>
        <v>SERVIS IMP CRPKE, vl. Dražen Kovačić, STROSSMAYEROV TRG 12, 10450 JASTREBARSKO, OIB: 13145108322</v>
      </c>
      <c r="H2425" s="4"/>
      <c r="I2425" s="1" t="s">
        <v>597</v>
      </c>
      <c r="J2425" s="1" t="s">
        <v>492</v>
      </c>
      <c r="K2425" s="6" t="str">
        <f>"1.400,00"</f>
        <v>1.400,00</v>
      </c>
      <c r="L2425" s="6" t="str">
        <f>"350,00"</f>
        <v>350,00</v>
      </c>
      <c r="M2425" s="6" t="str">
        <f>"1.750,00"</f>
        <v>1.750,00</v>
      </c>
      <c r="N2425" s="5">
        <v>43635</v>
      </c>
      <c r="O2425" s="7"/>
      <c r="P2425" s="6" t="str">
        <f>"1.750,00"</f>
        <v>1.750,00</v>
      </c>
      <c r="Q2425" s="7"/>
      <c r="R2425" s="1"/>
      <c r="S2425" s="1" t="str">
        <f>"6-19/NOS-87-A/18"</f>
        <v>6-19/NOS-87-A/18</v>
      </c>
      <c r="T2425" s="2" t="s">
        <v>33</v>
      </c>
    </row>
    <row r="2426" spans="1:20" ht="38.25" x14ac:dyDescent="0.25">
      <c r="A2426" s="1">
        <v>2422</v>
      </c>
      <c r="B2426" s="1" t="str">
        <f t="shared" si="239"/>
        <v>2018-2783</v>
      </c>
      <c r="C2426" s="2" t="s">
        <v>1227</v>
      </c>
      <c r="D2426" s="1" t="s">
        <v>860</v>
      </c>
      <c r="E2426" s="3" t="str">
        <f>""</f>
        <v/>
      </c>
      <c r="F2426" s="2" t="s">
        <v>27</v>
      </c>
      <c r="G2426" s="2" t="str">
        <f t="shared" si="240"/>
        <v>SERVIS IMP CRPKE, vl. Dražen Kovačić, STROSSMAYEROV TRG 12, 10450 JASTREBARSKO, OIB: 13145108322</v>
      </c>
      <c r="H2426" s="4"/>
      <c r="I2426" s="1" t="s">
        <v>628</v>
      </c>
      <c r="J2426" s="1" t="s">
        <v>31</v>
      </c>
      <c r="K2426" s="6" t="str">
        <f>"2.580,00"</f>
        <v>2.580,00</v>
      </c>
      <c r="L2426" s="6" t="str">
        <f>"645,00"</f>
        <v>645,00</v>
      </c>
      <c r="M2426" s="6" t="str">
        <f>"3.225,00"</f>
        <v>3.225,00</v>
      </c>
      <c r="N2426" s="5">
        <v>43629</v>
      </c>
      <c r="O2426" s="7"/>
      <c r="P2426" s="6" t="str">
        <f>"3.225,00"</f>
        <v>3.225,00</v>
      </c>
      <c r="Q2426" s="7"/>
      <c r="R2426" s="1"/>
      <c r="S2426" s="1" t="str">
        <f>"7-19/NOS-87-A/18"</f>
        <v>7-19/NOS-87-A/18</v>
      </c>
      <c r="T2426" s="2" t="s">
        <v>33</v>
      </c>
    </row>
    <row r="2427" spans="1:20" ht="38.25" x14ac:dyDescent="0.25">
      <c r="A2427" s="1">
        <v>2423</v>
      </c>
      <c r="B2427" s="1" t="str">
        <f t="shared" si="239"/>
        <v>2018-2783</v>
      </c>
      <c r="C2427" s="2" t="s">
        <v>1227</v>
      </c>
      <c r="D2427" s="1" t="s">
        <v>860</v>
      </c>
      <c r="E2427" s="3" t="str">
        <f>""</f>
        <v/>
      </c>
      <c r="F2427" s="2" t="s">
        <v>27</v>
      </c>
      <c r="G2427" s="2" t="str">
        <f t="shared" si="240"/>
        <v>SERVIS IMP CRPKE, vl. Dražen Kovačić, STROSSMAYEROV TRG 12, 10450 JASTREBARSKO, OIB: 13145108322</v>
      </c>
      <c r="H2427" s="4"/>
      <c r="I2427" s="1" t="s">
        <v>638</v>
      </c>
      <c r="J2427" s="1" t="s">
        <v>251</v>
      </c>
      <c r="K2427" s="6" t="str">
        <f>"2.820,00"</f>
        <v>2.820,00</v>
      </c>
      <c r="L2427" s="6" t="str">
        <f>"705,00"</f>
        <v>705,00</v>
      </c>
      <c r="M2427" s="6" t="str">
        <f>"3.525,00"</f>
        <v>3.525,00</v>
      </c>
      <c r="N2427" s="5">
        <v>43635</v>
      </c>
      <c r="O2427" s="7"/>
      <c r="P2427" s="6" t="str">
        <f>"3.525,00"</f>
        <v>3.525,00</v>
      </c>
      <c r="Q2427" s="7"/>
      <c r="R2427" s="1"/>
      <c r="S2427" s="1" t="str">
        <f>"8-19/NOS-87-A/18"</f>
        <v>8-19/NOS-87-A/18</v>
      </c>
      <c r="T2427" s="2" t="s">
        <v>33</v>
      </c>
    </row>
    <row r="2428" spans="1:20" ht="63.75" x14ac:dyDescent="0.25">
      <c r="A2428" s="1">
        <v>2424</v>
      </c>
      <c r="B2428" s="1" t="str">
        <f t="shared" si="239"/>
        <v>2018-2783</v>
      </c>
      <c r="C2428" s="2" t="s">
        <v>1227</v>
      </c>
      <c r="D2428" s="1" t="s">
        <v>860</v>
      </c>
      <c r="E2428" s="3" t="str">
        <f>"2018/S 0F2-0015424"</f>
        <v>2018/S 0F2-0015424</v>
      </c>
      <c r="F2428" s="2" t="s">
        <v>23</v>
      </c>
      <c r="G2428" s="2" t="str">
        <f>CONCATENATE("ZAGREBAČKO ELEKTROTEHNIČKO PODUZEĆE D.D.,"," DRAŠKOVIĆEVA 54,"," 10000 ZAGREB,"," OIB: 04058897454",CHAR(10),"MENDIS-PROJEKT D.O.O.,"," TOPLIČKA 27,"," 10297 JAKOVLJE,"," OIB: 15533693916")</f>
        <v>ZAGREBAČKO ELEKTROTEHNIČKO PODUZEĆE D.D., DRAŠKOVIĆEVA 54, 10000 ZAGREB, OIB: 04058897454
MENDIS-PROJEKT D.O.O., TOPLIČKA 27, 10297 JAKOVLJE, OIB: 15533693916</v>
      </c>
      <c r="H2428" s="4"/>
      <c r="I2428" s="1" t="s">
        <v>263</v>
      </c>
      <c r="J2428" s="1" t="s">
        <v>1226</v>
      </c>
      <c r="K2428" s="6" t="str">
        <f>"150.000,00"</f>
        <v>150.000,00</v>
      </c>
      <c r="L2428" s="6" t="str">
        <f>"37.500,00"</f>
        <v>37.500,00</v>
      </c>
      <c r="M2428" s="6" t="str">
        <f>"187.500,00"</f>
        <v>187.500,00</v>
      </c>
      <c r="N2428" s="7"/>
      <c r="O2428" s="7"/>
      <c r="P2428" s="6" t="str">
        <f>""</f>
        <v/>
      </c>
      <c r="Q2428" s="7"/>
      <c r="R2428" s="1"/>
      <c r="S2428" s="1" t="str">
        <f>"NOS-87-B/18"</f>
        <v>NOS-87-B/18</v>
      </c>
      <c r="T2428" s="2" t="s">
        <v>26</v>
      </c>
    </row>
    <row r="2429" spans="1:20" ht="89.25" x14ac:dyDescent="0.25">
      <c r="A2429" s="1">
        <v>2425</v>
      </c>
      <c r="B2429" s="1" t="str">
        <f t="shared" si="239"/>
        <v>2018-2783</v>
      </c>
      <c r="C2429" s="2" t="s">
        <v>1227</v>
      </c>
      <c r="D2429" s="1" t="s">
        <v>860</v>
      </c>
      <c r="E2429" s="3" t="str">
        <f>"2018/S 0F2-0015424"</f>
        <v>2018/S 0F2-0015424</v>
      </c>
      <c r="F2429" s="2" t="s">
        <v>23</v>
      </c>
      <c r="G2429" s="2" t="str">
        <f>CONCATENATE("ELTRA MG D.O.O.,"," PRIGORNICA 2,"," 10000 ZAGREB,"," OIB: 86252349701",CHAR(10),"ZAGREBAČKO ELEKTROTEHNIČKO PODUZEĆE D.D.,"," DRAŠKOVIĆEVA 54,"," 10000 ZAGREB,"," OIB: 04058897454",CHAR(10),"MENDIS-PROJEKT D.O.O.,"," TOPLIČKA 27,"," 10297 JAKOVLJE,"," OIB: 15533693916")</f>
        <v>ELTRA MG D.O.O., PRIGORNICA 2, 10000 ZAGREB, OIB: 86252349701
ZAGREBAČKO ELEKTROTEHNIČKO PODUZEĆE D.D., DRAŠKOVIĆEVA 54, 10000 ZAGREB, OIB: 04058897454
MENDIS-PROJEKT D.O.O., TOPLIČKA 27, 10297 JAKOVLJE, OIB: 15533693916</v>
      </c>
      <c r="H2429" s="4"/>
      <c r="I2429" s="1" t="s">
        <v>263</v>
      </c>
      <c r="J2429" s="1" t="s">
        <v>1226</v>
      </c>
      <c r="K2429" s="6" t="str">
        <f>"450.000,00"</f>
        <v>450.000,00</v>
      </c>
      <c r="L2429" s="6" t="str">
        <f>"112.500,00"</f>
        <v>112.500,00</v>
      </c>
      <c r="M2429" s="6" t="str">
        <f>"562.500,00"</f>
        <v>562.500,00</v>
      </c>
      <c r="N2429" s="7"/>
      <c r="O2429" s="7"/>
      <c r="P2429" s="6" t="str">
        <f>""</f>
        <v/>
      </c>
      <c r="Q2429" s="7"/>
      <c r="R2429" s="1"/>
      <c r="S2429" s="1" t="str">
        <f>"NOS-87-C/18"</f>
        <v>NOS-87-C/18</v>
      </c>
      <c r="T2429" s="2" t="s">
        <v>26</v>
      </c>
    </row>
    <row r="2430" spans="1:20" ht="38.25" x14ac:dyDescent="0.25">
      <c r="A2430" s="1">
        <v>2426</v>
      </c>
      <c r="B2430" s="1" t="str">
        <f>"2018-3081"</f>
        <v>2018-3081</v>
      </c>
      <c r="C2430" s="2" t="s">
        <v>1228</v>
      </c>
      <c r="D2430" s="1" t="s">
        <v>1229</v>
      </c>
      <c r="E2430" s="3" t="str">
        <f>"2018/S 0F2-0031390"</f>
        <v>2018/S 0F2-0031390</v>
      </c>
      <c r="F2430" s="2" t="s">
        <v>23</v>
      </c>
      <c r="G2430" s="2" t="str">
        <f>CONCATENATE("CONTROLMATIK D.O.O.,"," PRIMORSKA 1,"," 42000 VARAŽDIN,"," OIB: 25020037517")</f>
        <v>CONTROLMATIK D.O.O., PRIMORSKA 1, 42000 VARAŽDIN, OIB: 25020037517</v>
      </c>
      <c r="H2430" s="4"/>
      <c r="I2430" s="1" t="s">
        <v>695</v>
      </c>
      <c r="J2430" s="1" t="s">
        <v>1230</v>
      </c>
      <c r="K2430" s="6" t="str">
        <f>"1.500.000,00"</f>
        <v>1.500.000,00</v>
      </c>
      <c r="L2430" s="6" t="str">
        <f>"375.000,00"</f>
        <v>375.000,00</v>
      </c>
      <c r="M2430" s="6" t="str">
        <f>"1.875.000,00"</f>
        <v>1.875.000,00</v>
      </c>
      <c r="N2430" s="7"/>
      <c r="O2430" s="7"/>
      <c r="P2430" s="6" t="str">
        <f>""</f>
        <v/>
      </c>
      <c r="Q2430" s="7"/>
      <c r="R2430" s="1"/>
      <c r="S2430" s="1" t="str">
        <f>"NOS-88/18"</f>
        <v>NOS-88/18</v>
      </c>
      <c r="T2430" s="2" t="s">
        <v>29</v>
      </c>
    </row>
    <row r="2431" spans="1:20" ht="25.5" x14ac:dyDescent="0.25">
      <c r="A2431" s="1">
        <v>2427</v>
      </c>
      <c r="B2431" s="1" t="str">
        <f>"2018-3081"</f>
        <v>2018-3081</v>
      </c>
      <c r="C2431" s="2" t="s">
        <v>1228</v>
      </c>
      <c r="D2431" s="4"/>
      <c r="E2431" s="3" t="str">
        <f>""</f>
        <v/>
      </c>
      <c r="F2431" s="2" t="s">
        <v>27</v>
      </c>
      <c r="G2431" s="2" t="str">
        <f>CONCATENATE("CONTROLMATIK D.O.O.,"," PRIMORSKA 1,"," 42000 VARAŽDIN,"," OIB: 25020037517")</f>
        <v>CONTROLMATIK D.O.O., PRIMORSKA 1, 42000 VARAŽDIN, OIB: 25020037517</v>
      </c>
      <c r="H2431" s="4"/>
      <c r="I2431" s="1" t="s">
        <v>74</v>
      </c>
      <c r="J2431" s="1" t="s">
        <v>397</v>
      </c>
      <c r="K2431" s="6" t="str">
        <f>"691.750,00"</f>
        <v>691.750,00</v>
      </c>
      <c r="L2431" s="6" t="str">
        <f>"172.937,50"</f>
        <v>172.937,50</v>
      </c>
      <c r="M2431" s="6" t="str">
        <f>"864.687,50"</f>
        <v>864.687,50</v>
      </c>
      <c r="N2431" s="1" t="s">
        <v>117</v>
      </c>
      <c r="O2431" s="7"/>
      <c r="P2431" s="6" t="str">
        <f>""</f>
        <v/>
      </c>
      <c r="Q2431" s="7"/>
      <c r="R2431" s="1"/>
      <c r="S2431" s="1" t="str">
        <f>"1-19/NOS-88/18"</f>
        <v>1-19/NOS-88/18</v>
      </c>
      <c r="T2431" s="2" t="s">
        <v>29</v>
      </c>
    </row>
    <row r="2432" spans="1:20" ht="38.25" x14ac:dyDescent="0.25">
      <c r="A2432" s="1">
        <v>2428</v>
      </c>
      <c r="B2432" s="1" t="str">
        <f t="shared" ref="B2432:B2438" si="241">"2018-2812"</f>
        <v>2018-2812</v>
      </c>
      <c r="C2432" s="2" t="s">
        <v>1231</v>
      </c>
      <c r="D2432" s="1" t="s">
        <v>1232</v>
      </c>
      <c r="E2432" s="3" t="str">
        <f>"2018/S 0F2-0024027"</f>
        <v>2018/S 0F2-0024027</v>
      </c>
      <c r="F2432" s="2" t="s">
        <v>23</v>
      </c>
      <c r="G2432" s="2" t="str">
        <f t="shared" ref="G2432:G2438" si="242">CONCATENATE("ARBORI CULTURA D.O.O.,"," POKUPSKO 86,"," 10414 POKUPSKO,"," OIB: 16690651659")</f>
        <v>ARBORI CULTURA D.O.O., POKUPSKO 86, 10414 POKUPSKO, OIB: 16690651659</v>
      </c>
      <c r="H2432" s="4"/>
      <c r="I2432" s="1" t="s">
        <v>1141</v>
      </c>
      <c r="J2432" s="1" t="s">
        <v>1233</v>
      </c>
      <c r="K2432" s="6" t="str">
        <f>"1.200.000,00"</f>
        <v>1.200.000,00</v>
      </c>
      <c r="L2432" s="6" t="str">
        <f>"300.000,00"</f>
        <v>300.000,00</v>
      </c>
      <c r="M2432" s="6" t="str">
        <f>"1.500.000,00"</f>
        <v>1.500.000,00</v>
      </c>
      <c r="N2432" s="7"/>
      <c r="O2432" s="7"/>
      <c r="P2432" s="6" t="str">
        <f>""</f>
        <v/>
      </c>
      <c r="Q2432" s="7"/>
      <c r="R2432" s="1"/>
      <c r="S2432" s="1" t="str">
        <f>"NOS-89/18"</f>
        <v>NOS-89/18</v>
      </c>
      <c r="T2432" s="2" t="s">
        <v>33</v>
      </c>
    </row>
    <row r="2433" spans="1:20" ht="25.5" x14ac:dyDescent="0.25">
      <c r="A2433" s="1">
        <v>2429</v>
      </c>
      <c r="B2433" s="1" t="str">
        <f t="shared" si="241"/>
        <v>2018-2812</v>
      </c>
      <c r="C2433" s="2" t="s">
        <v>1231</v>
      </c>
      <c r="D2433" s="1" t="s">
        <v>1232</v>
      </c>
      <c r="E2433" s="3" t="str">
        <f>""</f>
        <v/>
      </c>
      <c r="F2433" s="2" t="s">
        <v>27</v>
      </c>
      <c r="G2433" s="2" t="str">
        <f t="shared" si="242"/>
        <v>ARBORI CULTURA D.O.O., POKUPSKO 86, 10414 POKUPSKO, OIB: 16690651659</v>
      </c>
      <c r="H2433" s="4"/>
      <c r="I2433" s="1" t="s">
        <v>322</v>
      </c>
      <c r="J2433" s="1" t="s">
        <v>492</v>
      </c>
      <c r="K2433" s="6" t="str">
        <f>"91.129,00"</f>
        <v>91.129,00</v>
      </c>
      <c r="L2433" s="6" t="str">
        <f>"22.771,21"</f>
        <v>22.771,21</v>
      </c>
      <c r="M2433" s="6" t="str">
        <f>"113.856,05"</f>
        <v>113.856,05</v>
      </c>
      <c r="N2433" s="5">
        <v>43566</v>
      </c>
      <c r="O2433" s="7"/>
      <c r="P2433" s="6" t="str">
        <f>"113.856,05"</f>
        <v>113.856,05</v>
      </c>
      <c r="Q2433" s="7"/>
      <c r="R2433" s="1"/>
      <c r="S2433" s="1" t="str">
        <f>"1-19/NOS-89/18"</f>
        <v>1-19/NOS-89/18</v>
      </c>
      <c r="T2433" s="2" t="s">
        <v>33</v>
      </c>
    </row>
    <row r="2434" spans="1:20" ht="25.5" x14ac:dyDescent="0.25">
      <c r="A2434" s="1">
        <v>2430</v>
      </c>
      <c r="B2434" s="1" t="str">
        <f t="shared" si="241"/>
        <v>2018-2812</v>
      </c>
      <c r="C2434" s="2" t="s">
        <v>1231</v>
      </c>
      <c r="D2434" s="1" t="s">
        <v>1232</v>
      </c>
      <c r="E2434" s="3" t="str">
        <f>""</f>
        <v/>
      </c>
      <c r="F2434" s="2" t="s">
        <v>27</v>
      </c>
      <c r="G2434" s="2" t="str">
        <f t="shared" si="242"/>
        <v>ARBORI CULTURA D.O.O., POKUPSKO 86, 10414 POKUPSKO, OIB: 16690651659</v>
      </c>
      <c r="H2434" s="4"/>
      <c r="I2434" s="1" t="s">
        <v>343</v>
      </c>
      <c r="J2434" s="1" t="s">
        <v>492</v>
      </c>
      <c r="K2434" s="6" t="str">
        <f>"30.910,00"</f>
        <v>30.910,00</v>
      </c>
      <c r="L2434" s="6" t="str">
        <f>"7.673,78"</f>
        <v>7.673,78</v>
      </c>
      <c r="M2434" s="6" t="str">
        <f>"38.368,90"</f>
        <v>38.368,90</v>
      </c>
      <c r="N2434" s="5">
        <v>43566</v>
      </c>
      <c r="O2434" s="7"/>
      <c r="P2434" s="6" t="str">
        <f>"38.368,90"</f>
        <v>38.368,90</v>
      </c>
      <c r="Q2434" s="7"/>
      <c r="R2434" s="1"/>
      <c r="S2434" s="1" t="str">
        <f>"2-19/NOS-89/18"</f>
        <v>2-19/NOS-89/18</v>
      </c>
      <c r="T2434" s="2" t="s">
        <v>33</v>
      </c>
    </row>
    <row r="2435" spans="1:20" ht="25.5" x14ac:dyDescent="0.25">
      <c r="A2435" s="1">
        <v>2431</v>
      </c>
      <c r="B2435" s="1" t="str">
        <f t="shared" si="241"/>
        <v>2018-2812</v>
      </c>
      <c r="C2435" s="2" t="s">
        <v>1231</v>
      </c>
      <c r="D2435" s="1" t="s">
        <v>1232</v>
      </c>
      <c r="E2435" s="3" t="str">
        <f>""</f>
        <v/>
      </c>
      <c r="F2435" s="2" t="s">
        <v>27</v>
      </c>
      <c r="G2435" s="2" t="str">
        <f t="shared" si="242"/>
        <v>ARBORI CULTURA D.O.O., POKUPSKO 86, 10414 POKUPSKO, OIB: 16690651659</v>
      </c>
      <c r="H2435" s="4"/>
      <c r="I2435" s="1" t="s">
        <v>64</v>
      </c>
      <c r="J2435" s="1" t="s">
        <v>492</v>
      </c>
      <c r="K2435" s="6" t="str">
        <f>"98.565,00"</f>
        <v>98.565,00</v>
      </c>
      <c r="L2435" s="6" t="str">
        <f>"27.125,75"</f>
        <v>27.125,75</v>
      </c>
      <c r="M2435" s="6" t="str">
        <f>"135.628,75"</f>
        <v>135.628,75</v>
      </c>
      <c r="N2435" s="5">
        <v>43588</v>
      </c>
      <c r="O2435" s="7"/>
      <c r="P2435" s="6" t="str">
        <f>"135.628,75"</f>
        <v>135.628,75</v>
      </c>
      <c r="Q2435" s="7"/>
      <c r="R2435" s="1"/>
      <c r="S2435" s="1" t="str">
        <f>"3-19/NOS-89/18"</f>
        <v>3-19/NOS-89/18</v>
      </c>
      <c r="T2435" s="2" t="s">
        <v>33</v>
      </c>
    </row>
    <row r="2436" spans="1:20" ht="25.5" x14ac:dyDescent="0.25">
      <c r="A2436" s="1">
        <v>2432</v>
      </c>
      <c r="B2436" s="1" t="str">
        <f t="shared" si="241"/>
        <v>2018-2812</v>
      </c>
      <c r="C2436" s="2" t="s">
        <v>1231</v>
      </c>
      <c r="D2436" s="1" t="s">
        <v>1232</v>
      </c>
      <c r="E2436" s="3" t="str">
        <f>""</f>
        <v/>
      </c>
      <c r="F2436" s="2" t="s">
        <v>27</v>
      </c>
      <c r="G2436" s="2" t="str">
        <f t="shared" si="242"/>
        <v>ARBORI CULTURA D.O.O., POKUPSKO 86, 10414 POKUPSKO, OIB: 16690651659</v>
      </c>
      <c r="H2436" s="4"/>
      <c r="I2436" s="1" t="s">
        <v>321</v>
      </c>
      <c r="J2436" s="1" t="s">
        <v>492</v>
      </c>
      <c r="K2436" s="6" t="str">
        <f>"25.475,00"</f>
        <v>25.475,00</v>
      </c>
      <c r="L2436" s="6" t="str">
        <f>"1.663,25"</f>
        <v>1.663,25</v>
      </c>
      <c r="M2436" s="6" t="str">
        <f>"8.316,25"</f>
        <v>8.316,25</v>
      </c>
      <c r="N2436" s="5">
        <v>43585</v>
      </c>
      <c r="O2436" s="7"/>
      <c r="P2436" s="6" t="str">
        <f>"8.316,25"</f>
        <v>8.316,25</v>
      </c>
      <c r="Q2436" s="7"/>
      <c r="R2436" s="1"/>
      <c r="S2436" s="1" t="str">
        <f>"4-19/NOS-89/18"</f>
        <v>4-19/NOS-89/18</v>
      </c>
      <c r="T2436" s="2" t="s">
        <v>33</v>
      </c>
    </row>
    <row r="2437" spans="1:20" ht="25.5" x14ac:dyDescent="0.25">
      <c r="A2437" s="1">
        <v>2433</v>
      </c>
      <c r="B2437" s="1" t="str">
        <f t="shared" si="241"/>
        <v>2018-2812</v>
      </c>
      <c r="C2437" s="2" t="s">
        <v>1231</v>
      </c>
      <c r="D2437" s="1" t="s">
        <v>1232</v>
      </c>
      <c r="E2437" s="3" t="str">
        <f>""</f>
        <v/>
      </c>
      <c r="F2437" s="2" t="s">
        <v>27</v>
      </c>
      <c r="G2437" s="2" t="str">
        <f t="shared" si="242"/>
        <v>ARBORI CULTURA D.O.O., POKUPSKO 86, 10414 POKUPSKO, OIB: 16690651659</v>
      </c>
      <c r="H2437" s="4"/>
      <c r="I2437" s="1" t="s">
        <v>355</v>
      </c>
      <c r="J2437" s="1" t="s">
        <v>492</v>
      </c>
      <c r="K2437" s="6" t="str">
        <f>"4.812,50"</f>
        <v>4.812,50</v>
      </c>
      <c r="L2437" s="6" t="str">
        <f>"1.203,13"</f>
        <v>1.203,13</v>
      </c>
      <c r="M2437" s="6" t="str">
        <f>"6.015,63"</f>
        <v>6.015,63</v>
      </c>
      <c r="N2437" s="5">
        <v>43601</v>
      </c>
      <c r="O2437" s="7"/>
      <c r="P2437" s="6" t="str">
        <f>"6.015,62"</f>
        <v>6.015,62</v>
      </c>
      <c r="Q2437" s="7"/>
      <c r="R2437" s="1"/>
      <c r="S2437" s="1" t="str">
        <f>"5-19/NOS-89/18"</f>
        <v>5-19/NOS-89/18</v>
      </c>
      <c r="T2437" s="2" t="s">
        <v>33</v>
      </c>
    </row>
    <row r="2438" spans="1:20" ht="25.5" x14ac:dyDescent="0.25">
      <c r="A2438" s="1">
        <v>2434</v>
      </c>
      <c r="B2438" s="1" t="str">
        <f t="shared" si="241"/>
        <v>2018-2812</v>
      </c>
      <c r="C2438" s="2" t="s">
        <v>1231</v>
      </c>
      <c r="D2438" s="1" t="s">
        <v>1232</v>
      </c>
      <c r="E2438" s="3" t="str">
        <f>""</f>
        <v/>
      </c>
      <c r="F2438" s="2" t="s">
        <v>27</v>
      </c>
      <c r="G2438" s="2" t="str">
        <f t="shared" si="242"/>
        <v>ARBORI CULTURA D.O.O., POKUPSKO 86, 10414 POKUPSKO, OIB: 16690651659</v>
      </c>
      <c r="H2438" s="4"/>
      <c r="I2438" s="1" t="s">
        <v>579</v>
      </c>
      <c r="J2438" s="1" t="s">
        <v>492</v>
      </c>
      <c r="K2438" s="6" t="str">
        <f>"16.200,00"</f>
        <v>16.200,00</v>
      </c>
      <c r="L2438" s="6" t="str">
        <f>"1.080,00"</f>
        <v>1.080,00</v>
      </c>
      <c r="M2438" s="6" t="str">
        <f>"5.400,00"</f>
        <v>5.400,00</v>
      </c>
      <c r="N2438" s="5">
        <v>43642</v>
      </c>
      <c r="O2438" s="7"/>
      <c r="P2438" s="6" t="str">
        <f>"5.400,00"</f>
        <v>5.400,00</v>
      </c>
      <c r="Q2438" s="7"/>
      <c r="R2438" s="1"/>
      <c r="S2438" s="1" t="str">
        <f>"6-19/NOS-89/18"</f>
        <v>6-19/NOS-89/18</v>
      </c>
      <c r="T2438" s="2" t="s">
        <v>33</v>
      </c>
    </row>
    <row r="2439" spans="1:20" ht="114.75" x14ac:dyDescent="0.25">
      <c r="A2439" s="1">
        <v>2435</v>
      </c>
      <c r="B2439" s="1" t="str">
        <f t="shared" ref="B2439:B2445" si="243">"2018-2828"</f>
        <v>2018-2828</v>
      </c>
      <c r="C2439" s="2" t="s">
        <v>127</v>
      </c>
      <c r="D2439" s="1" t="s">
        <v>128</v>
      </c>
      <c r="E2439" s="3" t="str">
        <f>"2018/S 0F2-0021687"</f>
        <v>2018/S 0F2-0021687</v>
      </c>
      <c r="F2439" s="2" t="s">
        <v>23</v>
      </c>
      <c r="G2439" s="2" t="str">
        <f>CONCATENATE("NARODNE NOVINE D.D.,"," OIB: 64546066176",CHAR(10),"BIRODOM D.O.O.,"," UL. HOJNIKOVA 19,"," 10250 LUČKO,"," OIB: 47794513055",CHAR(10),"ALCA ZAGREB D.O.O.,"," KOLEDOVČINA 2,"," 10000 ZAGREB,"," OIB: 58353015102")</f>
        <v>NARODNE NOVINE D.D., OIB: 64546066176
BIRODOM D.O.O., UL. HOJNIKOVA 19, 10250 LUČKO, OIB: 47794513055
ALCA ZAGREB D.O.O., KOLEDOVČINA 2, 10000 ZAGREB, OIB: 58353015102</v>
      </c>
      <c r="H2439" s="4"/>
      <c r="I2439" s="1" t="s">
        <v>1156</v>
      </c>
      <c r="J2439" s="1" t="s">
        <v>1157</v>
      </c>
      <c r="K2439" s="6" t="str">
        <f>"2.101.000,00"</f>
        <v>2.101.000,00</v>
      </c>
      <c r="L2439" s="6" t="str">
        <f>"525.250,00"</f>
        <v>525.250,00</v>
      </c>
      <c r="M2439" s="6" t="str">
        <f>"2.626.250,00"</f>
        <v>2.626.250,00</v>
      </c>
      <c r="N2439" s="7"/>
      <c r="O2439" s="7"/>
      <c r="P2439" s="6" t="str">
        <f>""</f>
        <v/>
      </c>
      <c r="Q2439" s="7"/>
      <c r="R2439" s="1"/>
      <c r="S2439" s="1" t="str">
        <f>"NOS-90-ZGH/18"</f>
        <v>NOS-90-ZGH/18</v>
      </c>
      <c r="T2439" s="2" t="s">
        <v>58</v>
      </c>
    </row>
    <row r="2440" spans="1:20" ht="25.5" x14ac:dyDescent="0.25">
      <c r="A2440" s="1">
        <v>2436</v>
      </c>
      <c r="B2440" s="1" t="str">
        <f t="shared" si="243"/>
        <v>2018-2828</v>
      </c>
      <c r="C2440" s="2" t="s">
        <v>127</v>
      </c>
      <c r="D2440" s="4"/>
      <c r="E2440" s="3" t="str">
        <f>""</f>
        <v/>
      </c>
      <c r="F2440" s="2" t="s">
        <v>27</v>
      </c>
      <c r="G2440" s="2" t="str">
        <f>CONCATENATE("NARODNE NOVINE D.D.,"," OIB: 64546066176")</f>
        <v>NARODNE NOVINE D.D., OIB: 64546066176</v>
      </c>
      <c r="H2440" s="4"/>
      <c r="I2440" s="1" t="s">
        <v>339</v>
      </c>
      <c r="J2440" s="1" t="s">
        <v>114</v>
      </c>
      <c r="K2440" s="6" t="str">
        <f>"33.510,80"</f>
        <v>33.510,80</v>
      </c>
      <c r="L2440" s="6" t="str">
        <f>"8.377,70"</f>
        <v>8.377,70</v>
      </c>
      <c r="M2440" s="6" t="str">
        <f>"41.888,50"</f>
        <v>41.888,50</v>
      </c>
      <c r="N2440" s="5">
        <v>43566</v>
      </c>
      <c r="O2440" s="7"/>
      <c r="P2440" s="6" t="str">
        <f>"23.677,50"</f>
        <v>23.677,50</v>
      </c>
      <c r="Q2440" s="7"/>
      <c r="R2440" s="1"/>
      <c r="S2440" s="1" t="str">
        <f>"1-19/NOS-90-ZGH/18"</f>
        <v>1-19/NOS-90-ZGH/18</v>
      </c>
      <c r="T2440" s="2" t="s">
        <v>33</v>
      </c>
    </row>
    <row r="2441" spans="1:20" ht="38.25" x14ac:dyDescent="0.25">
      <c r="A2441" s="1">
        <v>2437</v>
      </c>
      <c r="B2441" s="1" t="str">
        <f t="shared" si="243"/>
        <v>2018-2828</v>
      </c>
      <c r="C2441" s="2" t="s">
        <v>127</v>
      </c>
      <c r="D2441" s="4"/>
      <c r="E2441" s="3" t="str">
        <f>""</f>
        <v/>
      </c>
      <c r="F2441" s="2" t="s">
        <v>27</v>
      </c>
      <c r="G2441" s="2" t="str">
        <f>CONCATENATE("NARODNE NOVINE D.D.,"," OIB: 64546066176")</f>
        <v>NARODNE NOVINE D.D., OIB: 64546066176</v>
      </c>
      <c r="H2441" s="4"/>
      <c r="I2441" s="1" t="s">
        <v>463</v>
      </c>
      <c r="J2441" s="1" t="s">
        <v>817</v>
      </c>
      <c r="K2441" s="6" t="str">
        <f>"40.800,00"</f>
        <v>40.800,00</v>
      </c>
      <c r="L2441" s="6" t="str">
        <f>"10.200,00"</f>
        <v>10.200,00</v>
      </c>
      <c r="M2441" s="6" t="str">
        <f>"51.000,00"</f>
        <v>51.000,00</v>
      </c>
      <c r="N2441" s="5">
        <v>43671</v>
      </c>
      <c r="O2441" s="7"/>
      <c r="P2441" s="6" t="str">
        <f>"7.837,50"</f>
        <v>7.837,50</v>
      </c>
      <c r="Q2441" s="7"/>
      <c r="R2441" s="1"/>
      <c r="S2441" s="1" t="str">
        <f>"2-19/NOS-90-ZGH/18"</f>
        <v>2-19/NOS-90-ZGH/18</v>
      </c>
      <c r="T2441" s="2" t="s">
        <v>65</v>
      </c>
    </row>
    <row r="2442" spans="1:20" ht="51" x14ac:dyDescent="0.25">
      <c r="A2442" s="1">
        <v>2438</v>
      </c>
      <c r="B2442" s="1" t="str">
        <f t="shared" si="243"/>
        <v>2018-2828</v>
      </c>
      <c r="C2442" s="2" t="s">
        <v>127</v>
      </c>
      <c r="D2442" s="1" t="s">
        <v>128</v>
      </c>
      <c r="E2442" s="3" t="str">
        <f>""</f>
        <v/>
      </c>
      <c r="F2442" s="2" t="s">
        <v>27</v>
      </c>
      <c r="G2442" s="2" t="str">
        <f>CONCATENATE("ALCA ZAGREB D.O.O.,"," KOLEDOVČINA 2,"," 10000 ZAGREB,"," OIB: 58353015102")</f>
        <v>ALCA ZAGREB D.O.O., KOLEDOVČINA 2, 10000 ZAGREB, OIB: 58353015102</v>
      </c>
      <c r="H2442" s="4"/>
      <c r="I2442" s="1" t="s">
        <v>220</v>
      </c>
      <c r="J2442" s="1" t="s">
        <v>455</v>
      </c>
      <c r="K2442" s="6" t="str">
        <f>"7.240,00"</f>
        <v>7.240,00</v>
      </c>
      <c r="L2442" s="6" t="str">
        <f>"1.810,00"</f>
        <v>1.810,00</v>
      </c>
      <c r="M2442" s="6" t="str">
        <f>"9.050,00"</f>
        <v>9.050,00</v>
      </c>
      <c r="N2442" s="5">
        <v>43581</v>
      </c>
      <c r="O2442" s="7"/>
      <c r="P2442" s="6" t="str">
        <f>"9.044,20"</f>
        <v>9.044,20</v>
      </c>
      <c r="Q2442" s="7"/>
      <c r="R2442" s="1"/>
      <c r="S2442" s="1" t="str">
        <f>"4-19/NOS-90-ZGH/18"</f>
        <v>4-19/NOS-90-ZGH/18</v>
      </c>
      <c r="T2442" s="2" t="s">
        <v>458</v>
      </c>
    </row>
    <row r="2443" spans="1:20" ht="25.5" x14ac:dyDescent="0.25">
      <c r="A2443" s="1">
        <v>2439</v>
      </c>
      <c r="B2443" s="1" t="str">
        <f t="shared" si="243"/>
        <v>2018-2828</v>
      </c>
      <c r="C2443" s="2" t="s">
        <v>127</v>
      </c>
      <c r="D2443" s="1" t="s">
        <v>128</v>
      </c>
      <c r="E2443" s="3" t="str">
        <f>""</f>
        <v/>
      </c>
      <c r="F2443" s="2" t="s">
        <v>27</v>
      </c>
      <c r="G2443" s="2" t="str">
        <f>CONCATENATE("NARODNE NOVINE D.D.,"," OIB: 64546066176")</f>
        <v>NARODNE NOVINE D.D., OIB: 64546066176</v>
      </c>
      <c r="H2443" s="4"/>
      <c r="I2443" s="1" t="s">
        <v>494</v>
      </c>
      <c r="J2443" s="1" t="s">
        <v>456</v>
      </c>
      <c r="K2443" s="6" t="str">
        <f>"34.444,00"</f>
        <v>34.444,00</v>
      </c>
      <c r="L2443" s="6" t="str">
        <f>"8.611,00"</f>
        <v>8.611,00</v>
      </c>
      <c r="M2443" s="6" t="str">
        <f>"43.055,00"</f>
        <v>43.055,00</v>
      </c>
      <c r="N2443" s="5">
        <v>43606</v>
      </c>
      <c r="O2443" s="7"/>
      <c r="P2443" s="6" t="str">
        <f>"16.926,25"</f>
        <v>16.926,25</v>
      </c>
      <c r="Q2443" s="7"/>
      <c r="R2443" s="1"/>
      <c r="S2443" s="1" t="str">
        <f>"5-19/NOS-90-ZGH/18"</f>
        <v>5-19/NOS-90-ZGH/18</v>
      </c>
      <c r="T2443" s="2" t="s">
        <v>1234</v>
      </c>
    </row>
    <row r="2444" spans="1:20" ht="25.5" x14ac:dyDescent="0.25">
      <c r="A2444" s="1">
        <v>2440</v>
      </c>
      <c r="B2444" s="1" t="str">
        <f t="shared" si="243"/>
        <v>2018-2828</v>
      </c>
      <c r="C2444" s="2" t="s">
        <v>127</v>
      </c>
      <c r="D2444" s="1" t="s">
        <v>128</v>
      </c>
      <c r="E2444" s="3" t="str">
        <f>""</f>
        <v/>
      </c>
      <c r="F2444" s="2" t="s">
        <v>27</v>
      </c>
      <c r="G2444" s="2" t="str">
        <f>CONCATENATE("NARODNE NOVINE D.D.,"," OIB: 64546066176")</f>
        <v>NARODNE NOVINE D.D., OIB: 64546066176</v>
      </c>
      <c r="H2444" s="4"/>
      <c r="I2444" s="1" t="s">
        <v>642</v>
      </c>
      <c r="J2444" s="1" t="s">
        <v>457</v>
      </c>
      <c r="K2444" s="6" t="str">
        <f>"131.658,22"</f>
        <v>131.658,22</v>
      </c>
      <c r="L2444" s="6" t="str">
        <f>"32.914,56"</f>
        <v>32.914,56</v>
      </c>
      <c r="M2444" s="6" t="str">
        <f>"164.572,78"</f>
        <v>164.572,78</v>
      </c>
      <c r="N2444" s="5">
        <v>43654</v>
      </c>
      <c r="O2444" s="7"/>
      <c r="P2444" s="6" t="str">
        <f>"75.935,28"</f>
        <v>75.935,28</v>
      </c>
      <c r="Q2444" s="7"/>
      <c r="R2444" s="1"/>
      <c r="S2444" s="1" t="str">
        <f>"6-19/NOS-90-ZGH/18"</f>
        <v>6-19/NOS-90-ZGH/18</v>
      </c>
      <c r="T2444" s="2" t="s">
        <v>33</v>
      </c>
    </row>
    <row r="2445" spans="1:20" ht="38.25" x14ac:dyDescent="0.25">
      <c r="A2445" s="1">
        <v>2441</v>
      </c>
      <c r="B2445" s="1" t="str">
        <f t="shared" si="243"/>
        <v>2018-2828</v>
      </c>
      <c r="C2445" s="2" t="s">
        <v>127</v>
      </c>
      <c r="D2445" s="1" t="s">
        <v>128</v>
      </c>
      <c r="E2445" s="3" t="str">
        <f>""</f>
        <v/>
      </c>
      <c r="F2445" s="2" t="s">
        <v>27</v>
      </c>
      <c r="G2445" s="2" t="str">
        <f>CONCATENATE("NARODNE NOVINE D.D.,"," OIB: 64546066176")</f>
        <v>NARODNE NOVINE D.D., OIB: 64546066176</v>
      </c>
      <c r="H2445" s="4"/>
      <c r="I2445" s="1" t="s">
        <v>403</v>
      </c>
      <c r="J2445" s="1" t="s">
        <v>404</v>
      </c>
      <c r="K2445" s="6" t="str">
        <f>"95.464,82"</f>
        <v>95.464,82</v>
      </c>
      <c r="L2445" s="6" t="str">
        <f>"23.866,21"</f>
        <v>23.866,21</v>
      </c>
      <c r="M2445" s="6" t="str">
        <f>"119.331,03"</f>
        <v>119.331,03</v>
      </c>
      <c r="N2445" s="5">
        <v>43679</v>
      </c>
      <c r="O2445" s="7"/>
      <c r="P2445" s="6" t="str">
        <f>"103.689,79"</f>
        <v>103.689,79</v>
      </c>
      <c r="Q2445" s="7"/>
      <c r="R2445" s="1"/>
      <c r="S2445" s="1" t="str">
        <f>"7-19/NOS-90-ZGH/18"</f>
        <v>7-19/NOS-90-ZGH/18</v>
      </c>
      <c r="T2445" s="2" t="s">
        <v>26</v>
      </c>
    </row>
    <row r="2446" spans="1:20" ht="38.25" x14ac:dyDescent="0.25">
      <c r="A2446" s="1">
        <v>2442</v>
      </c>
      <c r="B2446" s="1" t="str">
        <f t="shared" ref="B2446:B2459" si="244">"2018-2784"</f>
        <v>2018-2784</v>
      </c>
      <c r="C2446" s="2" t="s">
        <v>1235</v>
      </c>
      <c r="D2446" s="1" t="s">
        <v>603</v>
      </c>
      <c r="E2446" s="3" t="str">
        <f>"2018/S 0F2-0025289"</f>
        <v>2018/S 0F2-0025289</v>
      </c>
      <c r="F2446" s="2" t="s">
        <v>23</v>
      </c>
      <c r="G2446" s="2" t="str">
        <f t="shared" ref="G2446:G2451" si="245">CONCATENATE("PEEK PROMET D.O.O.,"," SPREČKA 8,"," 10000 ZAGREB,"," OIB: 79421023865")</f>
        <v>PEEK PROMET D.O.O., SPREČKA 8, 10000 ZAGREB, OIB: 79421023865</v>
      </c>
      <c r="H2446" s="4"/>
      <c r="I2446" s="1" t="s">
        <v>474</v>
      </c>
      <c r="J2446" s="1" t="s">
        <v>1210</v>
      </c>
      <c r="K2446" s="6" t="str">
        <f>"400.000,00"</f>
        <v>400.000,00</v>
      </c>
      <c r="L2446" s="6" t="str">
        <f>"100.000,00"</f>
        <v>100.000,00</v>
      </c>
      <c r="M2446" s="6" t="str">
        <f>"500.000,00"</f>
        <v>500.000,00</v>
      </c>
      <c r="N2446" s="7"/>
      <c r="O2446" s="7"/>
      <c r="P2446" s="6" t="str">
        <f>""</f>
        <v/>
      </c>
      <c r="Q2446" s="7"/>
      <c r="R2446" s="1"/>
      <c r="S2446" s="1" t="str">
        <f>"NOS-91-B/18"</f>
        <v>NOS-91-B/18</v>
      </c>
      <c r="T2446" s="2" t="s">
        <v>33</v>
      </c>
    </row>
    <row r="2447" spans="1:20" ht="25.5" x14ac:dyDescent="0.25">
      <c r="A2447" s="1">
        <v>2443</v>
      </c>
      <c r="B2447" s="1" t="str">
        <f t="shared" si="244"/>
        <v>2018-2784</v>
      </c>
      <c r="C2447" s="2" t="s">
        <v>1235</v>
      </c>
      <c r="D2447" s="1" t="s">
        <v>603</v>
      </c>
      <c r="E2447" s="3" t="str">
        <f>""</f>
        <v/>
      </c>
      <c r="F2447" s="2" t="s">
        <v>27</v>
      </c>
      <c r="G2447" s="2" t="str">
        <f t="shared" si="245"/>
        <v>PEEK PROMET D.O.O., SPREČKA 8, 10000 ZAGREB, OIB: 79421023865</v>
      </c>
      <c r="H2447" s="4"/>
      <c r="I2447" s="1" t="s">
        <v>344</v>
      </c>
      <c r="J2447" s="1" t="s">
        <v>469</v>
      </c>
      <c r="K2447" s="6" t="str">
        <f>"186.924,00"</f>
        <v>186.924,00</v>
      </c>
      <c r="L2447" s="6" t="str">
        <f>"46.731,00"</f>
        <v>46.731,00</v>
      </c>
      <c r="M2447" s="6" t="str">
        <f>"233.655,00"</f>
        <v>233.655,00</v>
      </c>
      <c r="N2447" s="5">
        <v>43574</v>
      </c>
      <c r="O2447" s="7"/>
      <c r="P2447" s="6" t="str">
        <f>"233.655,00"</f>
        <v>233.655,00</v>
      </c>
      <c r="Q2447" s="7"/>
      <c r="R2447" s="1"/>
      <c r="S2447" s="1" t="str">
        <f>"1-19/NOS-91-B/18"</f>
        <v>1-19/NOS-91-B/18</v>
      </c>
      <c r="T2447" s="2" t="s">
        <v>33</v>
      </c>
    </row>
    <row r="2448" spans="1:20" ht="25.5" x14ac:dyDescent="0.25">
      <c r="A2448" s="1">
        <v>2444</v>
      </c>
      <c r="B2448" s="1" t="str">
        <f t="shared" si="244"/>
        <v>2018-2784</v>
      </c>
      <c r="C2448" s="2" t="s">
        <v>1235</v>
      </c>
      <c r="D2448" s="1" t="s">
        <v>603</v>
      </c>
      <c r="E2448" s="3" t="str">
        <f>""</f>
        <v/>
      </c>
      <c r="F2448" s="2" t="s">
        <v>27</v>
      </c>
      <c r="G2448" s="2" t="str">
        <f t="shared" si="245"/>
        <v>PEEK PROMET D.O.O., SPREČKA 8, 10000 ZAGREB, OIB: 79421023865</v>
      </c>
      <c r="H2448" s="4"/>
      <c r="I2448" s="1" t="s">
        <v>334</v>
      </c>
      <c r="J2448" s="1" t="s">
        <v>242</v>
      </c>
      <c r="K2448" s="6" t="str">
        <f>"2.660,00"</f>
        <v>2.660,00</v>
      </c>
      <c r="L2448" s="6" t="str">
        <f>"665,00"</f>
        <v>665,00</v>
      </c>
      <c r="M2448" s="6" t="str">
        <f>"3.325,00"</f>
        <v>3.325,00</v>
      </c>
      <c r="N2448" s="5">
        <v>43606</v>
      </c>
      <c r="O2448" s="7"/>
      <c r="P2448" s="6" t="str">
        <f>"3.325,00"</f>
        <v>3.325,00</v>
      </c>
      <c r="Q2448" s="7"/>
      <c r="R2448" s="1"/>
      <c r="S2448" s="1" t="str">
        <f>"2-19/NOS-91-B/18"</f>
        <v>2-19/NOS-91-B/18</v>
      </c>
      <c r="T2448" s="2" t="s">
        <v>33</v>
      </c>
    </row>
    <row r="2449" spans="1:20" ht="25.5" x14ac:dyDescent="0.25">
      <c r="A2449" s="1">
        <v>2445</v>
      </c>
      <c r="B2449" s="1" t="str">
        <f t="shared" si="244"/>
        <v>2018-2784</v>
      </c>
      <c r="C2449" s="2" t="s">
        <v>1235</v>
      </c>
      <c r="D2449" s="1" t="s">
        <v>603</v>
      </c>
      <c r="E2449" s="3" t="str">
        <f>""</f>
        <v/>
      </c>
      <c r="F2449" s="2" t="s">
        <v>27</v>
      </c>
      <c r="G2449" s="2" t="str">
        <f t="shared" si="245"/>
        <v>PEEK PROMET D.O.O., SPREČKA 8, 10000 ZAGREB, OIB: 79421023865</v>
      </c>
      <c r="H2449" s="4"/>
      <c r="I2449" s="1" t="s">
        <v>25</v>
      </c>
      <c r="J2449" s="1" t="s">
        <v>242</v>
      </c>
      <c r="K2449" s="6" t="str">
        <f>"1.330,00"</f>
        <v>1.330,00</v>
      </c>
      <c r="L2449" s="6" t="str">
        <f>"332,50"</f>
        <v>332,50</v>
      </c>
      <c r="M2449" s="6" t="str">
        <f>"1.662,50"</f>
        <v>1.662,50</v>
      </c>
      <c r="N2449" s="5">
        <v>43607</v>
      </c>
      <c r="O2449" s="7"/>
      <c r="P2449" s="6" t="str">
        <f>"1.662,50"</f>
        <v>1.662,50</v>
      </c>
      <c r="Q2449" s="7"/>
      <c r="R2449" s="1"/>
      <c r="S2449" s="1" t="str">
        <f>"8-19/NOS-91-B/18"</f>
        <v>8-19/NOS-91-B/18</v>
      </c>
      <c r="T2449" s="2" t="s">
        <v>33</v>
      </c>
    </row>
    <row r="2450" spans="1:20" ht="25.5" x14ac:dyDescent="0.25">
      <c r="A2450" s="1">
        <v>2446</v>
      </c>
      <c r="B2450" s="1" t="str">
        <f t="shared" si="244"/>
        <v>2018-2784</v>
      </c>
      <c r="C2450" s="2" t="s">
        <v>1235</v>
      </c>
      <c r="D2450" s="1" t="s">
        <v>603</v>
      </c>
      <c r="E2450" s="3" t="str">
        <f>""</f>
        <v/>
      </c>
      <c r="F2450" s="2" t="s">
        <v>27</v>
      </c>
      <c r="G2450" s="2" t="str">
        <f t="shared" si="245"/>
        <v>PEEK PROMET D.O.O., SPREČKA 8, 10000 ZAGREB, OIB: 79421023865</v>
      </c>
      <c r="H2450" s="4"/>
      <c r="I2450" s="1" t="s">
        <v>930</v>
      </c>
      <c r="J2450" s="1" t="s">
        <v>242</v>
      </c>
      <c r="K2450" s="6" t="str">
        <f>"193.664,00"</f>
        <v>193.664,00</v>
      </c>
      <c r="L2450" s="6" t="str">
        <f>"48.416,00"</f>
        <v>48.416,00</v>
      </c>
      <c r="M2450" s="6" t="str">
        <f>"242.080,00"</f>
        <v>242.080,00</v>
      </c>
      <c r="N2450" s="5">
        <v>43672</v>
      </c>
      <c r="O2450" s="7"/>
      <c r="P2450" s="6" t="str">
        <f>"242.080,00"</f>
        <v>242.080,00</v>
      </c>
      <c r="Q2450" s="7"/>
      <c r="R2450" s="1"/>
      <c r="S2450" s="1" t="str">
        <f>"9-19/NOS-91-B/18"</f>
        <v>9-19/NOS-91-B/18</v>
      </c>
      <c r="T2450" s="2" t="s">
        <v>33</v>
      </c>
    </row>
    <row r="2451" spans="1:20" ht="25.5" x14ac:dyDescent="0.25">
      <c r="A2451" s="1">
        <v>2447</v>
      </c>
      <c r="B2451" s="1" t="str">
        <f t="shared" si="244"/>
        <v>2018-2784</v>
      </c>
      <c r="C2451" s="2" t="s">
        <v>1235</v>
      </c>
      <c r="D2451" s="1" t="s">
        <v>603</v>
      </c>
      <c r="E2451" s="3" t="str">
        <f>""</f>
        <v/>
      </c>
      <c r="F2451" s="2" t="s">
        <v>27</v>
      </c>
      <c r="G2451" s="2" t="str">
        <f t="shared" si="245"/>
        <v>PEEK PROMET D.O.O., SPREČKA 8, 10000 ZAGREB, OIB: 79421023865</v>
      </c>
      <c r="H2451" s="4"/>
      <c r="I2451" s="1" t="s">
        <v>25</v>
      </c>
      <c r="J2451" s="1" t="s">
        <v>242</v>
      </c>
      <c r="K2451" s="6" t="str">
        <f>"11.616,00"</f>
        <v>11.616,00</v>
      </c>
      <c r="L2451" s="6" t="str">
        <f>"2.904,00"</f>
        <v>2.904,00</v>
      </c>
      <c r="M2451" s="6" t="str">
        <f>"14.520,00"</f>
        <v>14.520,00</v>
      </c>
      <c r="N2451" s="5">
        <v>43605</v>
      </c>
      <c r="O2451" s="7"/>
      <c r="P2451" s="6" t="str">
        <f>"14.520,00"</f>
        <v>14.520,00</v>
      </c>
      <c r="Q2451" s="7"/>
      <c r="R2451" s="1"/>
      <c r="S2451" s="1" t="str">
        <f>"10-19/NOS-91-B/18"</f>
        <v>10-19/NOS-91-B/18</v>
      </c>
      <c r="T2451" s="2" t="s">
        <v>33</v>
      </c>
    </row>
    <row r="2452" spans="1:20" ht="38.25" x14ac:dyDescent="0.25">
      <c r="A2452" s="1">
        <v>2448</v>
      </c>
      <c r="B2452" s="1" t="str">
        <f t="shared" si="244"/>
        <v>2018-2784</v>
      </c>
      <c r="C2452" s="2" t="s">
        <v>1235</v>
      </c>
      <c r="D2452" s="1" t="s">
        <v>603</v>
      </c>
      <c r="E2452" s="3" t="str">
        <f>"2018/S 0F2-0025289"</f>
        <v>2018/S 0F2-0025289</v>
      </c>
      <c r="F2452" s="2" t="s">
        <v>23</v>
      </c>
      <c r="G2452" s="2" t="str">
        <f>CONCATENATE("FANOS D.O.O.,"," KRANJČEVIĆEVA 48,"," 10000 ZAGREB,"," OIB: 68945711747")</f>
        <v>FANOS D.O.O., KRANJČEVIĆEVA 48, 10000 ZAGREB, OIB: 68945711747</v>
      </c>
      <c r="H2452" s="4"/>
      <c r="I2452" s="1" t="s">
        <v>474</v>
      </c>
      <c r="J2452" s="1" t="s">
        <v>1210</v>
      </c>
      <c r="K2452" s="6" t="str">
        <f>"400.000,00"</f>
        <v>400.000,00</v>
      </c>
      <c r="L2452" s="6" t="str">
        <f>"100.000,00"</f>
        <v>100.000,00</v>
      </c>
      <c r="M2452" s="6" t="str">
        <f>"500.000,00"</f>
        <v>500.000,00</v>
      </c>
      <c r="N2452" s="7"/>
      <c r="O2452" s="7"/>
      <c r="P2452" s="6" t="str">
        <f>""</f>
        <v/>
      </c>
      <c r="Q2452" s="7"/>
      <c r="R2452" s="1"/>
      <c r="S2452" s="1" t="str">
        <f>"NOS-91-C/18"</f>
        <v>NOS-91-C/18</v>
      </c>
      <c r="T2452" s="2" t="s">
        <v>33</v>
      </c>
    </row>
    <row r="2453" spans="1:20" ht="25.5" x14ac:dyDescent="0.25">
      <c r="A2453" s="1">
        <v>2449</v>
      </c>
      <c r="B2453" s="1" t="str">
        <f t="shared" si="244"/>
        <v>2018-2784</v>
      </c>
      <c r="C2453" s="2" t="s">
        <v>1235</v>
      </c>
      <c r="D2453" s="1" t="s">
        <v>603</v>
      </c>
      <c r="E2453" s="3" t="str">
        <f>""</f>
        <v/>
      </c>
      <c r="F2453" s="2" t="s">
        <v>27</v>
      </c>
      <c r="G2453" s="2" t="str">
        <f>CONCATENATE("FANOS D.O.O.,"," KRANJČEVIĆEVA 48,"," 10000 ZAGREB,"," OIB: 68945711747")</f>
        <v>FANOS D.O.O., KRANJČEVIĆEVA 48, 10000 ZAGREB, OIB: 68945711747</v>
      </c>
      <c r="H2453" s="4"/>
      <c r="I2453" s="1" t="s">
        <v>334</v>
      </c>
      <c r="J2453" s="1" t="s">
        <v>242</v>
      </c>
      <c r="K2453" s="6" t="str">
        <f>"5.200,00"</f>
        <v>5.200,00</v>
      </c>
      <c r="L2453" s="6" t="str">
        <f>"1.300,00"</f>
        <v>1.300,00</v>
      </c>
      <c r="M2453" s="6" t="str">
        <f>"6.500,00"</f>
        <v>6.500,00</v>
      </c>
      <c r="N2453" s="5">
        <v>43602</v>
      </c>
      <c r="O2453" s="7"/>
      <c r="P2453" s="6" t="str">
        <f>"6.500,00"</f>
        <v>6.500,00</v>
      </c>
      <c r="Q2453" s="7"/>
      <c r="R2453" s="1"/>
      <c r="S2453" s="1" t="str">
        <f>"1-19/NOS-91-C/18"</f>
        <v>1-19/NOS-91-C/18</v>
      </c>
      <c r="T2453" s="2" t="s">
        <v>33</v>
      </c>
    </row>
    <row r="2454" spans="1:20" ht="25.5" x14ac:dyDescent="0.25">
      <c r="A2454" s="1">
        <v>2450</v>
      </c>
      <c r="B2454" s="1" t="str">
        <f t="shared" si="244"/>
        <v>2018-2784</v>
      </c>
      <c r="C2454" s="2" t="s">
        <v>1235</v>
      </c>
      <c r="D2454" s="1" t="s">
        <v>603</v>
      </c>
      <c r="E2454" s="3" t="str">
        <f>""</f>
        <v/>
      </c>
      <c r="F2454" s="2" t="s">
        <v>27</v>
      </c>
      <c r="G2454" s="2" t="str">
        <f>CONCATENATE("FANOS D.O.O.,"," KRANJČEVIĆEVA 48,"," 10000 ZAGREB,"," OIB: 68945711747")</f>
        <v>FANOS D.O.O., KRANJČEVIĆEVA 48, 10000 ZAGREB, OIB: 68945711747</v>
      </c>
      <c r="H2454" s="4"/>
      <c r="I2454" s="1" t="s">
        <v>25</v>
      </c>
      <c r="J2454" s="1" t="s">
        <v>242</v>
      </c>
      <c r="K2454" s="6" t="str">
        <f>"71.400,00"</f>
        <v>71.400,00</v>
      </c>
      <c r="L2454" s="6" t="str">
        <f>"17.850,00"</f>
        <v>17.850,00</v>
      </c>
      <c r="M2454" s="6" t="str">
        <f>"89.250,00"</f>
        <v>89.250,00</v>
      </c>
      <c r="N2454" s="5">
        <v>43608</v>
      </c>
      <c r="O2454" s="7"/>
      <c r="P2454" s="6" t="str">
        <f>"89.250,00"</f>
        <v>89.250,00</v>
      </c>
      <c r="Q2454" s="7"/>
      <c r="R2454" s="1"/>
      <c r="S2454" s="1" t="str">
        <f>"2-19/NOS-91-C/18"</f>
        <v>2-19/NOS-91-C/18</v>
      </c>
      <c r="T2454" s="2" t="s">
        <v>33</v>
      </c>
    </row>
    <row r="2455" spans="1:20" ht="38.25" x14ac:dyDescent="0.25">
      <c r="A2455" s="1">
        <v>2451</v>
      </c>
      <c r="B2455" s="1" t="str">
        <f t="shared" si="244"/>
        <v>2018-2784</v>
      </c>
      <c r="C2455" s="2" t="s">
        <v>1235</v>
      </c>
      <c r="D2455" s="1" t="s">
        <v>603</v>
      </c>
      <c r="E2455" s="3" t="str">
        <f>"2018/S 0F2-0025289"</f>
        <v>2018/S 0F2-0025289</v>
      </c>
      <c r="F2455" s="2" t="s">
        <v>23</v>
      </c>
      <c r="G2455" s="2" t="str">
        <f>CONCATENATE("SEMAFOR D.O.O.,"," ANTE TOPIĆ MIMARE 24,"," 10000 ZAGREB,"," OIB: 57464039766")</f>
        <v>SEMAFOR D.O.O., ANTE TOPIĆ MIMARE 24, 10000 ZAGREB, OIB: 57464039766</v>
      </c>
      <c r="H2455" s="4"/>
      <c r="I2455" s="1" t="s">
        <v>474</v>
      </c>
      <c r="J2455" s="1" t="s">
        <v>1210</v>
      </c>
      <c r="K2455" s="6" t="str">
        <f>"400.000,00"</f>
        <v>400.000,00</v>
      </c>
      <c r="L2455" s="6" t="str">
        <f>"100.000,00"</f>
        <v>100.000,00</v>
      </c>
      <c r="M2455" s="6" t="str">
        <f>"500.000,00"</f>
        <v>500.000,00</v>
      </c>
      <c r="N2455" s="7"/>
      <c r="O2455" s="7"/>
      <c r="P2455" s="6" t="str">
        <f>""</f>
        <v/>
      </c>
      <c r="Q2455" s="7"/>
      <c r="R2455" s="1"/>
      <c r="S2455" s="1" t="str">
        <f>"NOS-91-D/18"</f>
        <v>NOS-91-D/18</v>
      </c>
      <c r="T2455" s="2" t="s">
        <v>33</v>
      </c>
    </row>
    <row r="2456" spans="1:20" ht="25.5" x14ac:dyDescent="0.25">
      <c r="A2456" s="1">
        <v>2452</v>
      </c>
      <c r="B2456" s="1" t="str">
        <f t="shared" si="244"/>
        <v>2018-2784</v>
      </c>
      <c r="C2456" s="2" t="s">
        <v>1235</v>
      </c>
      <c r="D2456" s="1" t="s">
        <v>603</v>
      </c>
      <c r="E2456" s="3" t="str">
        <f>""</f>
        <v/>
      </c>
      <c r="F2456" s="2" t="s">
        <v>27</v>
      </c>
      <c r="G2456" s="2" t="str">
        <f>CONCATENATE("SEMAFOR D.O.O.,"," ANTE TOPIĆ MIMARE 24,"," 10000 ZAGREB,"," OIB: 57464039766")</f>
        <v>SEMAFOR D.O.O., ANTE TOPIĆ MIMARE 24, 10000 ZAGREB, OIB: 57464039766</v>
      </c>
      <c r="H2456" s="4"/>
      <c r="I2456" s="1" t="s">
        <v>301</v>
      </c>
      <c r="J2456" s="1" t="s">
        <v>492</v>
      </c>
      <c r="K2456" s="6" t="str">
        <f>"114.800,00"</f>
        <v>114.800,00</v>
      </c>
      <c r="L2456" s="6" t="str">
        <f>"28.700,00"</f>
        <v>28.700,00</v>
      </c>
      <c r="M2456" s="6" t="str">
        <f>"143.500,00"</f>
        <v>143.500,00</v>
      </c>
      <c r="N2456" s="5">
        <v>43551</v>
      </c>
      <c r="O2456" s="7"/>
      <c r="P2456" s="6" t="str">
        <f>"143.500,00"</f>
        <v>143.500,00</v>
      </c>
      <c r="Q2456" s="7"/>
      <c r="R2456" s="1"/>
      <c r="S2456" s="1" t="str">
        <f>"1-19/NOS-91-D/18"</f>
        <v>1-19/NOS-91-D/18</v>
      </c>
      <c r="T2456" s="2" t="s">
        <v>33</v>
      </c>
    </row>
    <row r="2457" spans="1:20" ht="25.5" x14ac:dyDescent="0.25">
      <c r="A2457" s="1">
        <v>2453</v>
      </c>
      <c r="B2457" s="1" t="str">
        <f t="shared" si="244"/>
        <v>2018-2784</v>
      </c>
      <c r="C2457" s="2" t="s">
        <v>1235</v>
      </c>
      <c r="D2457" s="1" t="s">
        <v>603</v>
      </c>
      <c r="E2457" s="3" t="str">
        <f>""</f>
        <v/>
      </c>
      <c r="F2457" s="2" t="s">
        <v>27</v>
      </c>
      <c r="G2457" s="2" t="str">
        <f>CONCATENATE("SEMAFOR D.O.O.,"," ANTE TOPIĆ MIMARE 24,"," 10000 ZAGREB,"," OIB: 57464039766")</f>
        <v>SEMAFOR D.O.O., ANTE TOPIĆ MIMARE 24, 10000 ZAGREB, OIB: 57464039766</v>
      </c>
      <c r="H2457" s="4"/>
      <c r="I2457" s="1" t="s">
        <v>440</v>
      </c>
      <c r="J2457" s="1" t="s">
        <v>492</v>
      </c>
      <c r="K2457" s="6" t="str">
        <f>"153.600,00"</f>
        <v>153.600,00</v>
      </c>
      <c r="L2457" s="6" t="str">
        <f>"38.400,00"</f>
        <v>38.400,00</v>
      </c>
      <c r="M2457" s="6" t="str">
        <f>"192.000,00"</f>
        <v>192.000,00</v>
      </c>
      <c r="N2457" s="5">
        <v>43644</v>
      </c>
      <c r="O2457" s="7"/>
      <c r="P2457" s="6" t="str">
        <f>"192.000,00"</f>
        <v>192.000,00</v>
      </c>
      <c r="Q2457" s="7"/>
      <c r="R2457" s="1"/>
      <c r="S2457" s="1" t="str">
        <f>"2-19/NOS-91-D/18"</f>
        <v>2-19/NOS-91-D/18</v>
      </c>
      <c r="T2457" s="2" t="s">
        <v>33</v>
      </c>
    </row>
    <row r="2458" spans="1:20" ht="38.25" x14ac:dyDescent="0.25">
      <c r="A2458" s="1">
        <v>2454</v>
      </c>
      <c r="B2458" s="1" t="str">
        <f t="shared" si="244"/>
        <v>2018-2784</v>
      </c>
      <c r="C2458" s="2" t="s">
        <v>1235</v>
      </c>
      <c r="D2458" s="1" t="s">
        <v>603</v>
      </c>
      <c r="E2458" s="3" t="str">
        <f>"2018/S 0F2-0025289"</f>
        <v>2018/S 0F2-0025289</v>
      </c>
      <c r="F2458" s="2" t="s">
        <v>23</v>
      </c>
      <c r="G2458" s="2" t="str">
        <f>CONCATENATE("TRAF SIGNAL D.O.O.,"," POHORSKA 20,"," 10090 ZAGREB,"," OIB: 15702256936")</f>
        <v>TRAF SIGNAL D.O.O., POHORSKA 20, 10090 ZAGREB, OIB: 15702256936</v>
      </c>
      <c r="H2458" s="4"/>
      <c r="I2458" s="1" t="s">
        <v>474</v>
      </c>
      <c r="J2458" s="1" t="s">
        <v>1210</v>
      </c>
      <c r="K2458" s="6" t="str">
        <f>"300.000,00"</f>
        <v>300.000,00</v>
      </c>
      <c r="L2458" s="6" t="str">
        <f>"75.000,00"</f>
        <v>75.000,00</v>
      </c>
      <c r="M2458" s="6" t="str">
        <f>"375.000,00"</f>
        <v>375.000,00</v>
      </c>
      <c r="N2458" s="7"/>
      <c r="O2458" s="7"/>
      <c r="P2458" s="6" t="str">
        <f>""</f>
        <v/>
      </c>
      <c r="Q2458" s="7"/>
      <c r="R2458" s="1"/>
      <c r="S2458" s="1" t="str">
        <f>"NOS-91-E/18"</f>
        <v>NOS-91-E/18</v>
      </c>
      <c r="T2458" s="2" t="s">
        <v>33</v>
      </c>
    </row>
    <row r="2459" spans="1:20" ht="25.5" x14ac:dyDescent="0.25">
      <c r="A2459" s="1">
        <v>2455</v>
      </c>
      <c r="B2459" s="1" t="str">
        <f t="shared" si="244"/>
        <v>2018-2784</v>
      </c>
      <c r="C2459" s="2" t="s">
        <v>1235</v>
      </c>
      <c r="D2459" s="1" t="s">
        <v>603</v>
      </c>
      <c r="E2459" s="3" t="str">
        <f>""</f>
        <v/>
      </c>
      <c r="F2459" s="2" t="s">
        <v>27</v>
      </c>
      <c r="G2459" s="2" t="str">
        <f>CONCATENATE("TRAF SIGNAL D.O.O.,"," POHORSKA 20,"," 10090 ZAGREB,"," OIB: 15702256936")</f>
        <v>TRAF SIGNAL D.O.O., POHORSKA 20, 10090 ZAGREB, OIB: 15702256936</v>
      </c>
      <c r="H2459" s="4"/>
      <c r="I2459" s="1" t="s">
        <v>46</v>
      </c>
      <c r="J2459" s="1" t="s">
        <v>492</v>
      </c>
      <c r="K2459" s="6" t="str">
        <f>"88.000,00"</f>
        <v>88.000,00</v>
      </c>
      <c r="L2459" s="6" t="str">
        <f>"0,00"</f>
        <v>0,00</v>
      </c>
      <c r="M2459" s="6" t="str">
        <f>"0,00"</f>
        <v>0,00</v>
      </c>
      <c r="N2459" s="1" t="s">
        <v>117</v>
      </c>
      <c r="O2459" s="7"/>
      <c r="P2459" s="6" t="str">
        <f>"0,00"</f>
        <v>0,00</v>
      </c>
      <c r="Q2459" s="7"/>
      <c r="R2459" s="1"/>
      <c r="S2459" s="1" t="str">
        <f>"1-19/NOS-91-E/18"</f>
        <v>1-19/NOS-91-E/18</v>
      </c>
      <c r="T2459" s="2" t="s">
        <v>33</v>
      </c>
    </row>
    <row r="2460" spans="1:20" ht="38.25" x14ac:dyDescent="0.25">
      <c r="A2460" s="1">
        <v>2456</v>
      </c>
      <c r="B2460" s="1" t="str">
        <f>"2018-2918"</f>
        <v>2018-2918</v>
      </c>
      <c r="C2460" s="2" t="s">
        <v>1236</v>
      </c>
      <c r="D2460" s="1" t="s">
        <v>1237</v>
      </c>
      <c r="E2460" s="3" t="str">
        <f>"2018/S 0F2-0029745"</f>
        <v>2018/S 0F2-0029745</v>
      </c>
      <c r="F2460" s="2" t="s">
        <v>23</v>
      </c>
      <c r="G2460" s="2" t="str">
        <f>CONCATENATE("DRVNA BIOMASA D.O.O.,"," LOVAČKA 22,"," 53260 BRINJE,"," OIB: 64425469834")</f>
        <v>DRVNA BIOMASA D.O.O., LOVAČKA 22, 53260 BRINJE, OIB: 64425469834</v>
      </c>
      <c r="H2460" s="4"/>
      <c r="I2460" s="1" t="s">
        <v>824</v>
      </c>
      <c r="J2460" s="1" t="s">
        <v>1238</v>
      </c>
      <c r="K2460" s="6" t="str">
        <f>"800.000,00"</f>
        <v>800.000,00</v>
      </c>
      <c r="L2460" s="6" t="str">
        <f>"200.000,00"</f>
        <v>200.000,00</v>
      </c>
      <c r="M2460" s="6" t="str">
        <f>"1.000.000,00"</f>
        <v>1.000.000,00</v>
      </c>
      <c r="N2460" s="7"/>
      <c r="O2460" s="7"/>
      <c r="P2460" s="6" t="str">
        <f>""</f>
        <v/>
      </c>
      <c r="Q2460" s="7"/>
      <c r="R2460" s="1"/>
      <c r="S2460" s="1" t="str">
        <f>"NOS-92/18"</f>
        <v>NOS-92/18</v>
      </c>
      <c r="T2460" s="2" t="s">
        <v>33</v>
      </c>
    </row>
    <row r="2461" spans="1:20" ht="25.5" x14ac:dyDescent="0.25">
      <c r="A2461" s="1">
        <v>2457</v>
      </c>
      <c r="B2461" s="1" t="str">
        <f>"2018-2918"</f>
        <v>2018-2918</v>
      </c>
      <c r="C2461" s="2" t="s">
        <v>1236</v>
      </c>
      <c r="D2461" s="1" t="s">
        <v>1237</v>
      </c>
      <c r="E2461" s="3" t="str">
        <f>""</f>
        <v/>
      </c>
      <c r="F2461" s="2" t="s">
        <v>27</v>
      </c>
      <c r="G2461" s="2" t="str">
        <f>CONCATENATE("DRVNA BIOMASA D.O.O.,"," LOVAČKA 22,"," 53260 BRINJE,"," OIB: 64425469834")</f>
        <v>DRVNA BIOMASA D.O.O., LOVAČKA 22, 53260 BRINJE, OIB: 64425469834</v>
      </c>
      <c r="H2461" s="4"/>
      <c r="I2461" s="1" t="s">
        <v>374</v>
      </c>
      <c r="J2461" s="1" t="s">
        <v>121</v>
      </c>
      <c r="K2461" s="6" t="str">
        <f>"292.300,00"</f>
        <v>292.300,00</v>
      </c>
      <c r="L2461" s="6" t="str">
        <f>"56.287,50"</f>
        <v>56.287,50</v>
      </c>
      <c r="M2461" s="6" t="str">
        <f>"281.437,50"</f>
        <v>281.437,50</v>
      </c>
      <c r="N2461" s="5">
        <v>43676</v>
      </c>
      <c r="O2461" s="7"/>
      <c r="P2461" s="6" t="str">
        <f>"281.437,50"</f>
        <v>281.437,50</v>
      </c>
      <c r="Q2461" s="7"/>
      <c r="R2461" s="1"/>
      <c r="S2461" s="1" t="str">
        <f>"1-19/NOS-92/18"</f>
        <v>1-19/NOS-92/18</v>
      </c>
      <c r="T2461" s="2" t="s">
        <v>33</v>
      </c>
    </row>
    <row r="2462" spans="1:20" ht="38.25" x14ac:dyDescent="0.25">
      <c r="A2462" s="1">
        <v>2458</v>
      </c>
      <c r="B2462" s="1" t="str">
        <f t="shared" ref="B2462:B2506" si="246">"2018-2859"</f>
        <v>2018-2859</v>
      </c>
      <c r="C2462" s="2" t="s">
        <v>1239</v>
      </c>
      <c r="D2462" s="1" t="s">
        <v>192</v>
      </c>
      <c r="E2462" s="3" t="str">
        <f>"2018/S 0F2-0019406"</f>
        <v>2018/S 0F2-0019406</v>
      </c>
      <c r="F2462" s="2" t="s">
        <v>23</v>
      </c>
      <c r="G2462" s="2" t="str">
        <f t="shared" ref="G2462:G2478" si="247">CONCATENATE("TERRA JASKA D.O.O.,"," ULICA KRALJA TOMISLAVA 20,"," 10434 STRMEC SAMOBORSKI,"," OIB: 8118447057")</f>
        <v>TERRA JASKA D.O.O., ULICA KRALJA TOMISLAVA 20, 10434 STRMEC SAMOBORSKI, OIB: 8118447057</v>
      </c>
      <c r="H2462" s="4"/>
      <c r="I2462" s="1" t="s">
        <v>695</v>
      </c>
      <c r="J2462" s="1" t="s">
        <v>1240</v>
      </c>
      <c r="K2462" s="6" t="str">
        <f>"800.000,00"</f>
        <v>800.000,00</v>
      </c>
      <c r="L2462" s="6" t="str">
        <f>"200.000,00"</f>
        <v>200.000,00</v>
      </c>
      <c r="M2462" s="6" t="str">
        <f>"1.000.000,00"</f>
        <v>1.000.000,00</v>
      </c>
      <c r="N2462" s="7"/>
      <c r="O2462" s="7"/>
      <c r="P2462" s="6" t="str">
        <f>""</f>
        <v/>
      </c>
      <c r="Q2462" s="7"/>
      <c r="R2462" s="1"/>
      <c r="S2462" s="1" t="str">
        <f>"NOS-93-A/18"</f>
        <v>NOS-93-A/18</v>
      </c>
      <c r="T2462" s="2" t="s">
        <v>33</v>
      </c>
    </row>
    <row r="2463" spans="1:20" ht="38.25" x14ac:dyDescent="0.25">
      <c r="A2463" s="1">
        <v>2459</v>
      </c>
      <c r="B2463" s="1" t="str">
        <f t="shared" si="246"/>
        <v>2018-2859</v>
      </c>
      <c r="C2463" s="2" t="s">
        <v>1239</v>
      </c>
      <c r="D2463" s="1" t="s">
        <v>192</v>
      </c>
      <c r="E2463" s="3" t="str">
        <f>""</f>
        <v/>
      </c>
      <c r="F2463" s="2" t="s">
        <v>27</v>
      </c>
      <c r="G2463" s="2" t="str">
        <f t="shared" si="247"/>
        <v>TERRA JASKA D.O.O., ULICA KRALJA TOMISLAVA 20, 10434 STRMEC SAMOBORSKI, OIB: 8118447057</v>
      </c>
      <c r="H2463" s="4"/>
      <c r="I2463" s="1" t="s">
        <v>44</v>
      </c>
      <c r="J2463" s="1" t="s">
        <v>436</v>
      </c>
      <c r="K2463" s="6" t="str">
        <f>"66.352,15"</f>
        <v>66.352,15</v>
      </c>
      <c r="L2463" s="6" t="str">
        <f>"16.588,04"</f>
        <v>16.588,04</v>
      </c>
      <c r="M2463" s="6" t="str">
        <f>"82.940,19"</f>
        <v>82.940,19</v>
      </c>
      <c r="N2463" s="5">
        <v>43633</v>
      </c>
      <c r="O2463" s="7"/>
      <c r="P2463" s="6" t="str">
        <f>"82.940,19"</f>
        <v>82.940,19</v>
      </c>
      <c r="Q2463" s="7"/>
      <c r="R2463" s="1"/>
      <c r="S2463" s="1" t="str">
        <f>"1-19/NOS-93-A/18"</f>
        <v>1-19/NOS-93-A/18</v>
      </c>
      <c r="T2463" s="2" t="s">
        <v>33</v>
      </c>
    </row>
    <row r="2464" spans="1:20" ht="38.25" x14ac:dyDescent="0.25">
      <c r="A2464" s="1">
        <v>2460</v>
      </c>
      <c r="B2464" s="1" t="str">
        <f t="shared" si="246"/>
        <v>2018-2859</v>
      </c>
      <c r="C2464" s="2" t="s">
        <v>1239</v>
      </c>
      <c r="D2464" s="1" t="s">
        <v>192</v>
      </c>
      <c r="E2464" s="3" t="str">
        <f>""</f>
        <v/>
      </c>
      <c r="F2464" s="2" t="s">
        <v>27</v>
      </c>
      <c r="G2464" s="2" t="str">
        <f t="shared" si="247"/>
        <v>TERRA JASKA D.O.O., ULICA KRALJA TOMISLAVA 20, 10434 STRMEC SAMOBORSKI, OIB: 8118447057</v>
      </c>
      <c r="H2464" s="4"/>
      <c r="I2464" s="1" t="s">
        <v>329</v>
      </c>
      <c r="J2464" s="1" t="s">
        <v>436</v>
      </c>
      <c r="K2464" s="6" t="str">
        <f>"460,71"</f>
        <v>460,71</v>
      </c>
      <c r="L2464" s="6" t="str">
        <f>"115,18"</f>
        <v>115,18</v>
      </c>
      <c r="M2464" s="6" t="str">
        <f>"575,88"</f>
        <v>575,88</v>
      </c>
      <c r="N2464" s="5">
        <v>43574</v>
      </c>
      <c r="O2464" s="7"/>
      <c r="P2464" s="6" t="str">
        <f>"575,88"</f>
        <v>575,88</v>
      </c>
      <c r="Q2464" s="7"/>
      <c r="R2464" s="1"/>
      <c r="S2464" s="1" t="str">
        <f>"3-19/NOS-93-A/18"</f>
        <v>3-19/NOS-93-A/18</v>
      </c>
      <c r="T2464" s="2" t="s">
        <v>33</v>
      </c>
    </row>
    <row r="2465" spans="1:20" ht="38.25" x14ac:dyDescent="0.25">
      <c r="A2465" s="1">
        <v>2461</v>
      </c>
      <c r="B2465" s="1" t="str">
        <f t="shared" si="246"/>
        <v>2018-2859</v>
      </c>
      <c r="C2465" s="2" t="s">
        <v>1239</v>
      </c>
      <c r="D2465" s="1" t="s">
        <v>192</v>
      </c>
      <c r="E2465" s="3" t="str">
        <f>""</f>
        <v/>
      </c>
      <c r="F2465" s="2" t="s">
        <v>27</v>
      </c>
      <c r="G2465" s="2" t="str">
        <f t="shared" si="247"/>
        <v>TERRA JASKA D.O.O., ULICA KRALJA TOMISLAVA 20, 10434 STRMEC SAMOBORSKI, OIB: 8118447057</v>
      </c>
      <c r="H2465" s="4"/>
      <c r="I2465" s="1" t="s">
        <v>64</v>
      </c>
      <c r="J2465" s="1" t="s">
        <v>436</v>
      </c>
      <c r="K2465" s="6" t="str">
        <f>"2.180,27"</f>
        <v>2.180,27</v>
      </c>
      <c r="L2465" s="6" t="str">
        <f>"545,07"</f>
        <v>545,07</v>
      </c>
      <c r="M2465" s="6" t="str">
        <f>"2.725,34"</f>
        <v>2.725,34</v>
      </c>
      <c r="N2465" s="5">
        <v>43588</v>
      </c>
      <c r="O2465" s="7"/>
      <c r="P2465" s="6" t="str">
        <f>"2.725,34"</f>
        <v>2.725,34</v>
      </c>
      <c r="Q2465" s="7"/>
      <c r="R2465" s="1"/>
      <c r="S2465" s="1" t="str">
        <f>"4-19/NOS-93-A/18"</f>
        <v>4-19/NOS-93-A/18</v>
      </c>
      <c r="T2465" s="2" t="s">
        <v>33</v>
      </c>
    </row>
    <row r="2466" spans="1:20" ht="38.25" x14ac:dyDescent="0.25">
      <c r="A2466" s="1">
        <v>2462</v>
      </c>
      <c r="B2466" s="1" t="str">
        <f t="shared" si="246"/>
        <v>2018-2859</v>
      </c>
      <c r="C2466" s="2" t="s">
        <v>1239</v>
      </c>
      <c r="D2466" s="1" t="s">
        <v>192</v>
      </c>
      <c r="E2466" s="3" t="str">
        <f>""</f>
        <v/>
      </c>
      <c r="F2466" s="2" t="s">
        <v>27</v>
      </c>
      <c r="G2466" s="2" t="str">
        <f t="shared" si="247"/>
        <v>TERRA JASKA D.O.O., ULICA KRALJA TOMISLAVA 20, 10434 STRMEC SAMOBORSKI, OIB: 8118447057</v>
      </c>
      <c r="H2466" s="4"/>
      <c r="I2466" s="1" t="s">
        <v>355</v>
      </c>
      <c r="J2466" s="1" t="s">
        <v>436</v>
      </c>
      <c r="K2466" s="6" t="str">
        <f>"1.492,26"</f>
        <v>1.492,26</v>
      </c>
      <c r="L2466" s="6" t="str">
        <f>"373,07"</f>
        <v>373,07</v>
      </c>
      <c r="M2466" s="6" t="str">
        <f>"1.865,33"</f>
        <v>1.865,33</v>
      </c>
      <c r="N2466" s="5">
        <v>43602</v>
      </c>
      <c r="O2466" s="7"/>
      <c r="P2466" s="6" t="str">
        <f>"1.865,32"</f>
        <v>1.865,32</v>
      </c>
      <c r="Q2466" s="7"/>
      <c r="R2466" s="1"/>
      <c r="S2466" s="1" t="str">
        <f>"5-19/NOS-93-A/18"</f>
        <v>5-19/NOS-93-A/18</v>
      </c>
      <c r="T2466" s="2" t="s">
        <v>33</v>
      </c>
    </row>
    <row r="2467" spans="1:20" ht="38.25" x14ac:dyDescent="0.25">
      <c r="A2467" s="1">
        <v>2463</v>
      </c>
      <c r="B2467" s="1" t="str">
        <f t="shared" si="246"/>
        <v>2018-2859</v>
      </c>
      <c r="C2467" s="2" t="s">
        <v>1239</v>
      </c>
      <c r="D2467" s="1" t="s">
        <v>192</v>
      </c>
      <c r="E2467" s="3" t="str">
        <f>""</f>
        <v/>
      </c>
      <c r="F2467" s="2" t="s">
        <v>27</v>
      </c>
      <c r="G2467" s="2" t="str">
        <f t="shared" si="247"/>
        <v>TERRA JASKA D.O.O., ULICA KRALJA TOMISLAVA 20, 10434 STRMEC SAMOBORSKI, OIB: 8118447057</v>
      </c>
      <c r="H2467" s="4"/>
      <c r="I2467" s="1" t="s">
        <v>521</v>
      </c>
      <c r="J2467" s="1" t="s">
        <v>242</v>
      </c>
      <c r="K2467" s="6" t="str">
        <f>"25.385,22"</f>
        <v>25.385,22</v>
      </c>
      <c r="L2467" s="6" t="str">
        <f>"6.346,30"</f>
        <v>6.346,30</v>
      </c>
      <c r="M2467" s="6" t="str">
        <f>"31.731,50"</f>
        <v>31.731,50</v>
      </c>
      <c r="N2467" s="5">
        <v>43609</v>
      </c>
      <c r="O2467" s="7"/>
      <c r="P2467" s="6" t="str">
        <f>"31.731,50"</f>
        <v>31.731,50</v>
      </c>
      <c r="Q2467" s="7"/>
      <c r="R2467" s="1"/>
      <c r="S2467" s="1" t="str">
        <f>"6-19/NOS-93-A/18"</f>
        <v>6-19/NOS-93-A/18</v>
      </c>
      <c r="T2467" s="2" t="s">
        <v>33</v>
      </c>
    </row>
    <row r="2468" spans="1:20" ht="38.25" x14ac:dyDescent="0.25">
      <c r="A2468" s="1">
        <v>2464</v>
      </c>
      <c r="B2468" s="1" t="str">
        <f t="shared" si="246"/>
        <v>2018-2859</v>
      </c>
      <c r="C2468" s="2" t="s">
        <v>1239</v>
      </c>
      <c r="D2468" s="1" t="s">
        <v>192</v>
      </c>
      <c r="E2468" s="3" t="str">
        <f>""</f>
        <v/>
      </c>
      <c r="F2468" s="2" t="s">
        <v>27</v>
      </c>
      <c r="G2468" s="2" t="str">
        <f t="shared" si="247"/>
        <v>TERRA JASKA D.O.O., ULICA KRALJA TOMISLAVA 20, 10434 STRMEC SAMOBORSKI, OIB: 8118447057</v>
      </c>
      <c r="H2468" s="4"/>
      <c r="I2468" s="1" t="s">
        <v>25</v>
      </c>
      <c r="J2468" s="1" t="s">
        <v>436</v>
      </c>
      <c r="K2468" s="6" t="str">
        <f>"5.943,80"</f>
        <v>5.943,80</v>
      </c>
      <c r="L2468" s="6" t="str">
        <f>"1.485,95"</f>
        <v>1.485,95</v>
      </c>
      <c r="M2468" s="6" t="str">
        <f>"7.429,74"</f>
        <v>7.429,74</v>
      </c>
      <c r="N2468" s="5">
        <v>43606</v>
      </c>
      <c r="O2468" s="7"/>
      <c r="P2468" s="6" t="str">
        <f>"7.429,74"</f>
        <v>7.429,74</v>
      </c>
      <c r="Q2468" s="7"/>
      <c r="R2468" s="1"/>
      <c r="S2468" s="1" t="str">
        <f>"7-19/NOS-93-A/18"</f>
        <v>7-19/NOS-93-A/18</v>
      </c>
      <c r="T2468" s="2" t="s">
        <v>33</v>
      </c>
    </row>
    <row r="2469" spans="1:20" ht="38.25" x14ac:dyDescent="0.25">
      <c r="A2469" s="1">
        <v>2465</v>
      </c>
      <c r="B2469" s="1" t="str">
        <f t="shared" si="246"/>
        <v>2018-2859</v>
      </c>
      <c r="C2469" s="2" t="s">
        <v>1239</v>
      </c>
      <c r="D2469" s="1" t="s">
        <v>192</v>
      </c>
      <c r="E2469" s="3" t="str">
        <f>""</f>
        <v/>
      </c>
      <c r="F2469" s="2" t="s">
        <v>27</v>
      </c>
      <c r="G2469" s="2" t="str">
        <f t="shared" si="247"/>
        <v>TERRA JASKA D.O.O., ULICA KRALJA TOMISLAVA 20, 10434 STRMEC SAMOBORSKI, OIB: 8118447057</v>
      </c>
      <c r="H2469" s="4"/>
      <c r="I2469" s="1" t="s">
        <v>475</v>
      </c>
      <c r="J2469" s="1" t="s">
        <v>436</v>
      </c>
      <c r="K2469" s="6" t="str">
        <f>"3.141,46"</f>
        <v>3.141,46</v>
      </c>
      <c r="L2469" s="6" t="str">
        <f>"785,37"</f>
        <v>785,37</v>
      </c>
      <c r="M2469" s="6" t="str">
        <f>"3.926,83"</f>
        <v>3.926,83</v>
      </c>
      <c r="N2469" s="5">
        <v>43609</v>
      </c>
      <c r="O2469" s="7"/>
      <c r="P2469" s="6" t="str">
        <f>"3.926,82"</f>
        <v>3.926,82</v>
      </c>
      <c r="Q2469" s="7"/>
      <c r="R2469" s="1"/>
      <c r="S2469" s="1" t="str">
        <f>"8-19/NOS-93-A/18"</f>
        <v>8-19/NOS-93-A/18</v>
      </c>
      <c r="T2469" s="2" t="s">
        <v>33</v>
      </c>
    </row>
    <row r="2470" spans="1:20" ht="38.25" x14ac:dyDescent="0.25">
      <c r="A2470" s="1">
        <v>2466</v>
      </c>
      <c r="B2470" s="1" t="str">
        <f t="shared" si="246"/>
        <v>2018-2859</v>
      </c>
      <c r="C2470" s="2" t="s">
        <v>1239</v>
      </c>
      <c r="D2470" s="1" t="s">
        <v>192</v>
      </c>
      <c r="E2470" s="3" t="str">
        <f>""</f>
        <v/>
      </c>
      <c r="F2470" s="2" t="s">
        <v>27</v>
      </c>
      <c r="G2470" s="2" t="str">
        <f t="shared" si="247"/>
        <v>TERRA JASKA D.O.O., ULICA KRALJA TOMISLAVA 20, 10434 STRMEC SAMOBORSKI, OIB: 8118447057</v>
      </c>
      <c r="H2470" s="4"/>
      <c r="I2470" s="1" t="s">
        <v>317</v>
      </c>
      <c r="J2470" s="1" t="s">
        <v>436</v>
      </c>
      <c r="K2470" s="6" t="str">
        <f>"12.588,06"</f>
        <v>12.588,06</v>
      </c>
      <c r="L2470" s="6" t="str">
        <f>"3.147,01"</f>
        <v>3.147,01</v>
      </c>
      <c r="M2470" s="6" t="str">
        <f>"15.735,07"</f>
        <v>15.735,07</v>
      </c>
      <c r="N2470" s="5">
        <v>43608</v>
      </c>
      <c r="O2470" s="7"/>
      <c r="P2470" s="6" t="str">
        <f>"15.735,08"</f>
        <v>15.735,08</v>
      </c>
      <c r="Q2470" s="7"/>
      <c r="R2470" s="1"/>
      <c r="S2470" s="1" t="str">
        <f>"9-19/NOS-93-A/18"</f>
        <v>9-19/NOS-93-A/18</v>
      </c>
      <c r="T2470" s="2" t="s">
        <v>33</v>
      </c>
    </row>
    <row r="2471" spans="1:20" ht="38.25" x14ac:dyDescent="0.25">
      <c r="A2471" s="1">
        <v>2467</v>
      </c>
      <c r="B2471" s="1" t="str">
        <f t="shared" si="246"/>
        <v>2018-2859</v>
      </c>
      <c r="C2471" s="2" t="s">
        <v>1239</v>
      </c>
      <c r="D2471" s="1" t="s">
        <v>192</v>
      </c>
      <c r="E2471" s="3" t="str">
        <f>""</f>
        <v/>
      </c>
      <c r="F2471" s="2" t="s">
        <v>27</v>
      </c>
      <c r="G2471" s="2" t="str">
        <f t="shared" si="247"/>
        <v>TERRA JASKA D.O.O., ULICA KRALJA TOMISLAVA 20, 10434 STRMEC SAMOBORSKI, OIB: 8118447057</v>
      </c>
      <c r="H2471" s="4"/>
      <c r="I2471" s="1" t="s">
        <v>317</v>
      </c>
      <c r="J2471" s="1" t="s">
        <v>436</v>
      </c>
      <c r="K2471" s="6" t="str">
        <f>"4.198,62"</f>
        <v>4.198,62</v>
      </c>
      <c r="L2471" s="6" t="str">
        <f>"1.049,65"</f>
        <v>1.049,65</v>
      </c>
      <c r="M2471" s="6" t="str">
        <f>"5.248,25"</f>
        <v>5.248,25</v>
      </c>
      <c r="N2471" s="5">
        <v>43613</v>
      </c>
      <c r="O2471" s="7"/>
      <c r="P2471" s="6" t="str">
        <f>"5.248,25"</f>
        <v>5.248,25</v>
      </c>
      <c r="Q2471" s="7"/>
      <c r="R2471" s="1"/>
      <c r="S2471" s="1" t="str">
        <f>"10-19/NOS-93-A/18"</f>
        <v>10-19/NOS-93-A/18</v>
      </c>
      <c r="T2471" s="2" t="s">
        <v>33</v>
      </c>
    </row>
    <row r="2472" spans="1:20" ht="38.25" x14ac:dyDescent="0.25">
      <c r="A2472" s="1">
        <v>2468</v>
      </c>
      <c r="B2472" s="1" t="str">
        <f t="shared" si="246"/>
        <v>2018-2859</v>
      </c>
      <c r="C2472" s="2" t="s">
        <v>1239</v>
      </c>
      <c r="D2472" s="1" t="s">
        <v>192</v>
      </c>
      <c r="E2472" s="3" t="str">
        <f>""</f>
        <v/>
      </c>
      <c r="F2472" s="2" t="s">
        <v>27</v>
      </c>
      <c r="G2472" s="2" t="str">
        <f t="shared" si="247"/>
        <v>TERRA JASKA D.O.O., ULICA KRALJA TOMISLAVA 20, 10434 STRMEC SAMOBORSKI, OIB: 8118447057</v>
      </c>
      <c r="H2472" s="4"/>
      <c r="I2472" s="1" t="s">
        <v>642</v>
      </c>
      <c r="J2472" s="1" t="s">
        <v>436</v>
      </c>
      <c r="K2472" s="6" t="str">
        <f>"1.768,04"</f>
        <v>1.768,04</v>
      </c>
      <c r="L2472" s="6" t="str">
        <f>"442,01"</f>
        <v>442,01</v>
      </c>
      <c r="M2472" s="6" t="str">
        <f>"2.210,06"</f>
        <v>2.210,06</v>
      </c>
      <c r="N2472" s="5">
        <v>43634</v>
      </c>
      <c r="O2472" s="7"/>
      <c r="P2472" s="6" t="str">
        <f>"2.210,05"</f>
        <v>2.210,05</v>
      </c>
      <c r="Q2472" s="7"/>
      <c r="R2472" s="1"/>
      <c r="S2472" s="1" t="str">
        <f>"11-19/NOS-93-A/18"</f>
        <v>11-19/NOS-93-A/18</v>
      </c>
      <c r="T2472" s="2" t="s">
        <v>33</v>
      </c>
    </row>
    <row r="2473" spans="1:20" ht="38.25" x14ac:dyDescent="0.25">
      <c r="A2473" s="1">
        <v>2469</v>
      </c>
      <c r="B2473" s="1" t="str">
        <f t="shared" si="246"/>
        <v>2018-2859</v>
      </c>
      <c r="C2473" s="2" t="s">
        <v>1239</v>
      </c>
      <c r="D2473" s="1" t="s">
        <v>192</v>
      </c>
      <c r="E2473" s="3" t="str">
        <f>""</f>
        <v/>
      </c>
      <c r="F2473" s="2" t="s">
        <v>27</v>
      </c>
      <c r="G2473" s="2" t="str">
        <f t="shared" si="247"/>
        <v>TERRA JASKA D.O.O., ULICA KRALJA TOMISLAVA 20, 10434 STRMEC SAMOBORSKI, OIB: 8118447057</v>
      </c>
      <c r="H2473" s="4"/>
      <c r="I2473" s="1" t="s">
        <v>320</v>
      </c>
      <c r="J2473" s="1" t="s">
        <v>436</v>
      </c>
      <c r="K2473" s="6" t="str">
        <f>"2.403,64"</f>
        <v>2.403,64</v>
      </c>
      <c r="L2473" s="6" t="str">
        <f>"600,91"</f>
        <v>600,91</v>
      </c>
      <c r="M2473" s="6" t="str">
        <f>"3.004,55"</f>
        <v>3.004,55</v>
      </c>
      <c r="N2473" s="5">
        <v>43623</v>
      </c>
      <c r="O2473" s="7"/>
      <c r="P2473" s="6" t="str">
        <f>"3.004,55"</f>
        <v>3.004,55</v>
      </c>
      <c r="Q2473" s="7"/>
      <c r="R2473" s="1"/>
      <c r="S2473" s="1" t="str">
        <f>"12-19/NOS-93-A/18"</f>
        <v>12-19/NOS-93-A/18</v>
      </c>
      <c r="T2473" s="2" t="s">
        <v>33</v>
      </c>
    </row>
    <row r="2474" spans="1:20" ht="38.25" x14ac:dyDescent="0.25">
      <c r="A2474" s="1">
        <v>2470</v>
      </c>
      <c r="B2474" s="1" t="str">
        <f t="shared" si="246"/>
        <v>2018-2859</v>
      </c>
      <c r="C2474" s="2" t="s">
        <v>1239</v>
      </c>
      <c r="D2474" s="1" t="s">
        <v>192</v>
      </c>
      <c r="E2474" s="3" t="str">
        <f>""</f>
        <v/>
      </c>
      <c r="F2474" s="2" t="s">
        <v>27</v>
      </c>
      <c r="G2474" s="2" t="str">
        <f t="shared" si="247"/>
        <v>TERRA JASKA D.O.O., ULICA KRALJA TOMISLAVA 20, 10434 STRMEC SAMOBORSKI, OIB: 8118447057</v>
      </c>
      <c r="H2474" s="4"/>
      <c r="I2474" s="1" t="s">
        <v>639</v>
      </c>
      <c r="J2474" s="1" t="s">
        <v>436</v>
      </c>
      <c r="K2474" s="6" t="str">
        <f>"979,02"</f>
        <v>979,02</v>
      </c>
      <c r="L2474" s="6" t="str">
        <f>"244,75"</f>
        <v>244,75</v>
      </c>
      <c r="M2474" s="6" t="str">
        <f>"1.223,77"</f>
        <v>1.223,77</v>
      </c>
      <c r="N2474" s="5">
        <v>43623</v>
      </c>
      <c r="O2474" s="7"/>
      <c r="P2474" s="6" t="str">
        <f>"1.223,78"</f>
        <v>1.223,78</v>
      </c>
      <c r="Q2474" s="7"/>
      <c r="R2474" s="1"/>
      <c r="S2474" s="1" t="str">
        <f>"13-19/NOS-93-A/18"</f>
        <v>13-19/NOS-93-A/18</v>
      </c>
      <c r="T2474" s="2" t="s">
        <v>33</v>
      </c>
    </row>
    <row r="2475" spans="1:20" ht="38.25" x14ac:dyDescent="0.25">
      <c r="A2475" s="1">
        <v>2471</v>
      </c>
      <c r="B2475" s="1" t="str">
        <f t="shared" si="246"/>
        <v>2018-2859</v>
      </c>
      <c r="C2475" s="2" t="s">
        <v>1239</v>
      </c>
      <c r="D2475" s="1" t="s">
        <v>192</v>
      </c>
      <c r="E2475" s="3" t="str">
        <f>""</f>
        <v/>
      </c>
      <c r="F2475" s="2" t="s">
        <v>27</v>
      </c>
      <c r="G2475" s="2" t="str">
        <f t="shared" si="247"/>
        <v>TERRA JASKA D.O.O., ULICA KRALJA TOMISLAVA 20, 10434 STRMEC SAMOBORSKI, OIB: 8118447057</v>
      </c>
      <c r="H2475" s="4"/>
      <c r="I2475" s="1" t="s">
        <v>162</v>
      </c>
      <c r="J2475" s="1" t="s">
        <v>436</v>
      </c>
      <c r="K2475" s="6" t="str">
        <f>"4.822,87"</f>
        <v>4.822,87</v>
      </c>
      <c r="L2475" s="6" t="str">
        <f>"1.205,72"</f>
        <v>1.205,72</v>
      </c>
      <c r="M2475" s="6" t="str">
        <f>"6.028,58"</f>
        <v>6.028,58</v>
      </c>
      <c r="N2475" s="5">
        <v>43623</v>
      </c>
      <c r="O2475" s="7"/>
      <c r="P2475" s="6" t="str">
        <f>"6.028,59"</f>
        <v>6.028,59</v>
      </c>
      <c r="Q2475" s="7"/>
      <c r="R2475" s="1"/>
      <c r="S2475" s="1" t="str">
        <f>"14-19/NOS-93-A/18"</f>
        <v>14-19/NOS-93-A/18</v>
      </c>
      <c r="T2475" s="2" t="s">
        <v>33</v>
      </c>
    </row>
    <row r="2476" spans="1:20" ht="38.25" x14ac:dyDescent="0.25">
      <c r="A2476" s="1">
        <v>2472</v>
      </c>
      <c r="B2476" s="1" t="str">
        <f t="shared" si="246"/>
        <v>2018-2859</v>
      </c>
      <c r="C2476" s="2" t="s">
        <v>1239</v>
      </c>
      <c r="D2476" s="1" t="s">
        <v>192</v>
      </c>
      <c r="E2476" s="3" t="str">
        <f>""</f>
        <v/>
      </c>
      <c r="F2476" s="2" t="s">
        <v>27</v>
      </c>
      <c r="G2476" s="2" t="str">
        <f t="shared" si="247"/>
        <v>TERRA JASKA D.O.O., ULICA KRALJA TOMISLAVA 20, 10434 STRMEC SAMOBORSKI, OIB: 8118447057</v>
      </c>
      <c r="H2476" s="4"/>
      <c r="I2476" s="1" t="s">
        <v>597</v>
      </c>
      <c r="J2476" s="1" t="s">
        <v>436</v>
      </c>
      <c r="K2476" s="6" t="str">
        <f>"400,00"</f>
        <v>400,00</v>
      </c>
      <c r="L2476" s="6" t="str">
        <f>"100,00"</f>
        <v>100,00</v>
      </c>
      <c r="M2476" s="6" t="str">
        <f>"500,00"</f>
        <v>500,00</v>
      </c>
      <c r="N2476" s="5">
        <v>43675</v>
      </c>
      <c r="O2476" s="7"/>
      <c r="P2476" s="6" t="str">
        <f>"500,00"</f>
        <v>500,00</v>
      </c>
      <c r="Q2476" s="7"/>
      <c r="R2476" s="1"/>
      <c r="S2476" s="1" t="str">
        <f>"15-19/NOS-93-A/18"</f>
        <v>15-19/NOS-93-A/18</v>
      </c>
      <c r="T2476" s="2" t="s">
        <v>33</v>
      </c>
    </row>
    <row r="2477" spans="1:20" ht="38.25" x14ac:dyDescent="0.25">
      <c r="A2477" s="1">
        <v>2473</v>
      </c>
      <c r="B2477" s="1" t="str">
        <f t="shared" si="246"/>
        <v>2018-2859</v>
      </c>
      <c r="C2477" s="2" t="s">
        <v>1239</v>
      </c>
      <c r="D2477" s="1" t="s">
        <v>192</v>
      </c>
      <c r="E2477" s="3" t="str">
        <f>""</f>
        <v/>
      </c>
      <c r="F2477" s="2" t="s">
        <v>27</v>
      </c>
      <c r="G2477" s="2" t="str">
        <f t="shared" si="247"/>
        <v>TERRA JASKA D.O.O., ULICA KRALJA TOMISLAVA 20, 10434 STRMEC SAMOBORSKI, OIB: 8118447057</v>
      </c>
      <c r="H2477" s="4"/>
      <c r="I2477" s="1" t="s">
        <v>597</v>
      </c>
      <c r="J2477" s="1" t="s">
        <v>436</v>
      </c>
      <c r="K2477" s="6" t="str">
        <f>"6.407,33"</f>
        <v>6.407,33</v>
      </c>
      <c r="L2477" s="6" t="str">
        <f>"1.601,83"</f>
        <v>1.601,83</v>
      </c>
      <c r="M2477" s="6" t="str">
        <f>"8.009,16"</f>
        <v>8.009,16</v>
      </c>
      <c r="N2477" s="5">
        <v>43635</v>
      </c>
      <c r="O2477" s="7"/>
      <c r="P2477" s="6" t="str">
        <f>"8.009,16"</f>
        <v>8.009,16</v>
      </c>
      <c r="Q2477" s="7"/>
      <c r="R2477" s="1"/>
      <c r="S2477" s="1" t="str">
        <f>"17-19/NOS-93-A/18"</f>
        <v>17-19/NOS-93-A/18</v>
      </c>
      <c r="T2477" s="2" t="s">
        <v>33</v>
      </c>
    </row>
    <row r="2478" spans="1:20" ht="38.25" x14ac:dyDescent="0.25">
      <c r="A2478" s="1">
        <v>2474</v>
      </c>
      <c r="B2478" s="1" t="str">
        <f t="shared" si="246"/>
        <v>2018-2859</v>
      </c>
      <c r="C2478" s="2" t="s">
        <v>1239</v>
      </c>
      <c r="D2478" s="1" t="s">
        <v>192</v>
      </c>
      <c r="E2478" s="3" t="str">
        <f>""</f>
        <v/>
      </c>
      <c r="F2478" s="2" t="s">
        <v>27</v>
      </c>
      <c r="G2478" s="2" t="str">
        <f t="shared" si="247"/>
        <v>TERRA JASKA D.O.O., ULICA KRALJA TOMISLAVA 20, 10434 STRMEC SAMOBORSKI, OIB: 8118447057</v>
      </c>
      <c r="H2478" s="4"/>
      <c r="I2478" s="1" t="s">
        <v>579</v>
      </c>
      <c r="J2478" s="1" t="s">
        <v>436</v>
      </c>
      <c r="K2478" s="6" t="str">
        <f>"350,77"</f>
        <v>350,77</v>
      </c>
      <c r="L2478" s="6" t="str">
        <f>"87,69"</f>
        <v>87,69</v>
      </c>
      <c r="M2478" s="6" t="str">
        <f>"438,46"</f>
        <v>438,46</v>
      </c>
      <c r="N2478" s="5">
        <v>43634</v>
      </c>
      <c r="O2478" s="7"/>
      <c r="P2478" s="6" t="str">
        <f>"438,46"</f>
        <v>438,46</v>
      </c>
      <c r="Q2478" s="7"/>
      <c r="R2478" s="1"/>
      <c r="S2478" s="1" t="str">
        <f>"18-19/NOS-93-A/18"</f>
        <v>18-19/NOS-93-A/18</v>
      </c>
      <c r="T2478" s="2" t="s">
        <v>33</v>
      </c>
    </row>
    <row r="2479" spans="1:20" ht="38.25" x14ac:dyDescent="0.25">
      <c r="A2479" s="1">
        <v>2475</v>
      </c>
      <c r="B2479" s="1" t="str">
        <f t="shared" si="246"/>
        <v>2018-2859</v>
      </c>
      <c r="C2479" s="2" t="s">
        <v>1239</v>
      </c>
      <c r="D2479" s="1" t="s">
        <v>192</v>
      </c>
      <c r="E2479" s="3" t="str">
        <f>"2018/S 0F2-0019406"</f>
        <v>2018/S 0F2-0019406</v>
      </c>
      <c r="F2479" s="2" t="s">
        <v>23</v>
      </c>
      <c r="G2479" s="2" t="str">
        <f>CONCATENATE("O-K-TEH d.o.o.,"," VUČAK 16A,"," 10000 ZAGREB,"," OIB: 37322381288")</f>
        <v>O-K-TEH d.o.o., VUČAK 16A, 10000 ZAGREB, OIB: 37322381288</v>
      </c>
      <c r="H2479" s="4"/>
      <c r="I2479" s="1" t="s">
        <v>695</v>
      </c>
      <c r="J2479" s="1" t="s">
        <v>1240</v>
      </c>
      <c r="K2479" s="6" t="str">
        <f>"350.000,00"</f>
        <v>350.000,00</v>
      </c>
      <c r="L2479" s="6" t="str">
        <f>"87.500,00"</f>
        <v>87.500,00</v>
      </c>
      <c r="M2479" s="6" t="str">
        <f>"437.500,00"</f>
        <v>437.500,00</v>
      </c>
      <c r="N2479" s="7"/>
      <c r="O2479" s="7"/>
      <c r="P2479" s="6" t="str">
        <f>""</f>
        <v/>
      </c>
      <c r="Q2479" s="7"/>
      <c r="R2479" s="1"/>
      <c r="S2479" s="1" t="str">
        <f>"NOS-93-B/18"</f>
        <v>NOS-93-B/18</v>
      </c>
      <c r="T2479" s="2" t="s">
        <v>33</v>
      </c>
    </row>
    <row r="2480" spans="1:20" ht="38.25" x14ac:dyDescent="0.25">
      <c r="A2480" s="1">
        <v>2476</v>
      </c>
      <c r="B2480" s="1" t="str">
        <f t="shared" si="246"/>
        <v>2018-2859</v>
      </c>
      <c r="C2480" s="2" t="s">
        <v>1239</v>
      </c>
      <c r="D2480" s="1" t="s">
        <v>192</v>
      </c>
      <c r="E2480" s="3" t="str">
        <f>""</f>
        <v/>
      </c>
      <c r="F2480" s="2" t="s">
        <v>27</v>
      </c>
      <c r="G2480" s="2" t="str">
        <f>CONCATENATE("O-K-TEH d.o.o.,"," VUČAK 16A,"," 10000 ZAGREB,"," OIB: 37322381288")</f>
        <v>O-K-TEH d.o.o., VUČAK 16A, 10000 ZAGREB, OIB: 37322381288</v>
      </c>
      <c r="H2480" s="4"/>
      <c r="I2480" s="1" t="s">
        <v>463</v>
      </c>
      <c r="J2480" s="1" t="s">
        <v>436</v>
      </c>
      <c r="K2480" s="6" t="str">
        <f>"586,24"</f>
        <v>586,24</v>
      </c>
      <c r="L2480" s="6" t="str">
        <f>"146,56"</f>
        <v>146,56</v>
      </c>
      <c r="M2480" s="6" t="str">
        <f>"732,80"</f>
        <v>732,80</v>
      </c>
      <c r="N2480" s="5">
        <v>43616</v>
      </c>
      <c r="O2480" s="7"/>
      <c r="P2480" s="6" t="str">
        <f>"732,80"</f>
        <v>732,80</v>
      </c>
      <c r="Q2480" s="7"/>
      <c r="R2480" s="1"/>
      <c r="S2480" s="1" t="str">
        <f>"1-19/NOS-93-B/18"</f>
        <v>1-19/NOS-93-B/18</v>
      </c>
      <c r="T2480" s="2" t="s">
        <v>33</v>
      </c>
    </row>
    <row r="2481" spans="1:20" ht="38.25" x14ac:dyDescent="0.25">
      <c r="A2481" s="1">
        <v>2477</v>
      </c>
      <c r="B2481" s="1" t="str">
        <f t="shared" si="246"/>
        <v>2018-2859</v>
      </c>
      <c r="C2481" s="2" t="s">
        <v>1239</v>
      </c>
      <c r="D2481" s="1" t="s">
        <v>192</v>
      </c>
      <c r="E2481" s="3" t="str">
        <f>""</f>
        <v/>
      </c>
      <c r="F2481" s="2" t="s">
        <v>27</v>
      </c>
      <c r="G2481" s="2" t="str">
        <f>CONCATENATE("O-K-TEH d.o.o.,"," VUČAK 16A,"," 10000 ZAGREB,"," OIB: 37322381288")</f>
        <v>O-K-TEH d.o.o., VUČAK 16A, 10000 ZAGREB, OIB: 37322381288</v>
      </c>
      <c r="H2481" s="4"/>
      <c r="I2481" s="1" t="s">
        <v>322</v>
      </c>
      <c r="J2481" s="1" t="s">
        <v>436</v>
      </c>
      <c r="K2481" s="6" t="str">
        <f>"7.009,11"</f>
        <v>7.009,11</v>
      </c>
      <c r="L2481" s="6" t="str">
        <f>"1.752,28"</f>
        <v>1.752,28</v>
      </c>
      <c r="M2481" s="6" t="str">
        <f>"8.761,38"</f>
        <v>8.761,38</v>
      </c>
      <c r="N2481" s="5">
        <v>43612</v>
      </c>
      <c r="O2481" s="7"/>
      <c r="P2481" s="6" t="str">
        <f>"8.761,39"</f>
        <v>8.761,39</v>
      </c>
      <c r="Q2481" s="7"/>
      <c r="R2481" s="1"/>
      <c r="S2481" s="1" t="str">
        <f>"2-19/NOS-93-B/18"</f>
        <v>2-19/NOS-93-B/18</v>
      </c>
      <c r="T2481" s="2" t="s">
        <v>33</v>
      </c>
    </row>
    <row r="2482" spans="1:20" ht="38.25" x14ac:dyDescent="0.25">
      <c r="A2482" s="1">
        <v>2478</v>
      </c>
      <c r="B2482" s="1" t="str">
        <f t="shared" si="246"/>
        <v>2018-2859</v>
      </c>
      <c r="C2482" s="2" t="s">
        <v>1239</v>
      </c>
      <c r="D2482" s="1" t="s">
        <v>192</v>
      </c>
      <c r="E2482" s="3" t="str">
        <f>""</f>
        <v/>
      </c>
      <c r="F2482" s="2" t="s">
        <v>27</v>
      </c>
      <c r="G2482" s="2" t="str">
        <f>CONCATENATE("O-K-TEH d.o.o.,"," VUČAK 16A,"," 10000 ZAGREB,"," OIB: 37322381288")</f>
        <v>O-K-TEH d.o.o., VUČAK 16A, 10000 ZAGREB, OIB: 37322381288</v>
      </c>
      <c r="H2482" s="4"/>
      <c r="I2482" s="1" t="s">
        <v>317</v>
      </c>
      <c r="J2482" s="1" t="s">
        <v>436</v>
      </c>
      <c r="K2482" s="6" t="str">
        <f>"9.395,07"</f>
        <v>9.395,07</v>
      </c>
      <c r="L2482" s="6" t="str">
        <f>"2.348,77"</f>
        <v>2.348,77</v>
      </c>
      <c r="M2482" s="6" t="str">
        <f>"11.743,84"</f>
        <v>11.743,84</v>
      </c>
      <c r="N2482" s="5">
        <v>43668</v>
      </c>
      <c r="O2482" s="7"/>
      <c r="P2482" s="6" t="str">
        <f>"11.743,84"</f>
        <v>11.743,84</v>
      </c>
      <c r="Q2482" s="7"/>
      <c r="R2482" s="1"/>
      <c r="S2482" s="1" t="str">
        <f>"3-19/NOS-93-B/18"</f>
        <v>3-19/NOS-93-B/18</v>
      </c>
      <c r="T2482" s="2" t="s">
        <v>33</v>
      </c>
    </row>
    <row r="2483" spans="1:20" ht="38.25" x14ac:dyDescent="0.25">
      <c r="A2483" s="1">
        <v>2479</v>
      </c>
      <c r="B2483" s="1" t="str">
        <f t="shared" si="246"/>
        <v>2018-2859</v>
      </c>
      <c r="C2483" s="2" t="s">
        <v>1239</v>
      </c>
      <c r="D2483" s="1" t="s">
        <v>192</v>
      </c>
      <c r="E2483" s="3" t="str">
        <f>""</f>
        <v/>
      </c>
      <c r="F2483" s="2" t="s">
        <v>27</v>
      </c>
      <c r="G2483" s="2" t="str">
        <f>CONCATENATE("O-K-TEH d.o.o.,"," VUČAK 16A,"," 10000 ZAGREB,"," OIB: 37322381288")</f>
        <v>O-K-TEH d.o.o., VUČAK 16A, 10000 ZAGREB, OIB: 37322381288</v>
      </c>
      <c r="H2483" s="4"/>
      <c r="I2483" s="1" t="s">
        <v>424</v>
      </c>
      <c r="J2483" s="1" t="s">
        <v>436</v>
      </c>
      <c r="K2483" s="6" t="str">
        <f>"4.800,00"</f>
        <v>4.800,00</v>
      </c>
      <c r="L2483" s="6" t="str">
        <f>"1.200,00"</f>
        <v>1.200,00</v>
      </c>
      <c r="M2483" s="6" t="str">
        <f>"6.000,00"</f>
        <v>6.000,00</v>
      </c>
      <c r="N2483" s="5">
        <v>43664</v>
      </c>
      <c r="O2483" s="7"/>
      <c r="P2483" s="6" t="str">
        <f>"6.000,00"</f>
        <v>6.000,00</v>
      </c>
      <c r="Q2483" s="7"/>
      <c r="R2483" s="1"/>
      <c r="S2483" s="1" t="str">
        <f>"4-19/NOS-93-B/18"</f>
        <v>4-19/NOS-93-B/18</v>
      </c>
      <c r="T2483" s="2" t="s">
        <v>33</v>
      </c>
    </row>
    <row r="2484" spans="1:20" ht="38.25" x14ac:dyDescent="0.25">
      <c r="A2484" s="1">
        <v>2480</v>
      </c>
      <c r="B2484" s="1" t="str">
        <f t="shared" si="246"/>
        <v>2018-2859</v>
      </c>
      <c r="C2484" s="2" t="s">
        <v>1239</v>
      </c>
      <c r="D2484" s="1" t="s">
        <v>192</v>
      </c>
      <c r="E2484" s="3" t="str">
        <f>"2018/S 0F2-0019406"</f>
        <v>2018/S 0F2-0019406</v>
      </c>
      <c r="F2484" s="2" t="s">
        <v>23</v>
      </c>
      <c r="G2484" s="2" t="str">
        <f t="shared" ref="G2484:G2493" si="248">CONCATENATE("RO-TEHNOLOGIJA D.O.O.,"," NOVA CESTA 86,"," 51410 OPATIJA,"," OIB: 94757004774")</f>
        <v>RO-TEHNOLOGIJA D.O.O., NOVA CESTA 86, 51410 OPATIJA, OIB: 94757004774</v>
      </c>
      <c r="H2484" s="4"/>
      <c r="I2484" s="1" t="s">
        <v>695</v>
      </c>
      <c r="J2484" s="1" t="s">
        <v>1240</v>
      </c>
      <c r="K2484" s="6" t="str">
        <f>"450.000,00"</f>
        <v>450.000,00</v>
      </c>
      <c r="L2484" s="6" t="str">
        <f>"112.500,00"</f>
        <v>112.500,00</v>
      </c>
      <c r="M2484" s="6" t="str">
        <f>"562.500,00"</f>
        <v>562.500,00</v>
      </c>
      <c r="N2484" s="7"/>
      <c r="O2484" s="7"/>
      <c r="P2484" s="6" t="str">
        <f>""</f>
        <v/>
      </c>
      <c r="Q2484" s="7"/>
      <c r="R2484" s="1"/>
      <c r="S2484" s="1" t="str">
        <f>"NOS-93-C/18"</f>
        <v>NOS-93-C/18</v>
      </c>
      <c r="T2484" s="2" t="s">
        <v>33</v>
      </c>
    </row>
    <row r="2485" spans="1:20" ht="38.25" x14ac:dyDescent="0.25">
      <c r="A2485" s="1">
        <v>2481</v>
      </c>
      <c r="B2485" s="1" t="str">
        <f t="shared" si="246"/>
        <v>2018-2859</v>
      </c>
      <c r="C2485" s="2" t="s">
        <v>1239</v>
      </c>
      <c r="D2485" s="1" t="s">
        <v>192</v>
      </c>
      <c r="E2485" s="3" t="str">
        <f>""</f>
        <v/>
      </c>
      <c r="F2485" s="2" t="s">
        <v>27</v>
      </c>
      <c r="G2485" s="2" t="str">
        <f t="shared" si="248"/>
        <v>RO-TEHNOLOGIJA D.O.O., NOVA CESTA 86, 51410 OPATIJA, OIB: 94757004774</v>
      </c>
      <c r="H2485" s="4"/>
      <c r="I2485" s="1" t="s">
        <v>463</v>
      </c>
      <c r="J2485" s="1" t="s">
        <v>436</v>
      </c>
      <c r="K2485" s="6" t="str">
        <f>"24.048,80"</f>
        <v>24.048,80</v>
      </c>
      <c r="L2485" s="6" t="str">
        <f>"6.012,20"</f>
        <v>6.012,20</v>
      </c>
      <c r="M2485" s="6" t="str">
        <f>"30.061,00"</f>
        <v>30.061,00</v>
      </c>
      <c r="N2485" s="5">
        <v>43585</v>
      </c>
      <c r="O2485" s="7"/>
      <c r="P2485" s="6" t="str">
        <f>"30.061,00"</f>
        <v>30.061,00</v>
      </c>
      <c r="Q2485" s="7"/>
      <c r="R2485" s="1"/>
      <c r="S2485" s="1" t="str">
        <f>"1-19/NOS-93-C/18"</f>
        <v>1-19/NOS-93-C/18</v>
      </c>
      <c r="T2485" s="2" t="s">
        <v>33</v>
      </c>
    </row>
    <row r="2486" spans="1:20" ht="38.25" x14ac:dyDescent="0.25">
      <c r="A2486" s="1">
        <v>2482</v>
      </c>
      <c r="B2486" s="1" t="str">
        <f t="shared" si="246"/>
        <v>2018-2859</v>
      </c>
      <c r="C2486" s="2" t="s">
        <v>1239</v>
      </c>
      <c r="D2486" s="1" t="s">
        <v>192</v>
      </c>
      <c r="E2486" s="3" t="str">
        <f>""</f>
        <v/>
      </c>
      <c r="F2486" s="2" t="s">
        <v>27</v>
      </c>
      <c r="G2486" s="2" t="str">
        <f t="shared" si="248"/>
        <v>RO-TEHNOLOGIJA D.O.O., NOVA CESTA 86, 51410 OPATIJA, OIB: 94757004774</v>
      </c>
      <c r="H2486" s="4"/>
      <c r="I2486" s="1" t="s">
        <v>302</v>
      </c>
      <c r="J2486" s="1" t="s">
        <v>436</v>
      </c>
      <c r="K2486" s="6" t="str">
        <f>"851,50"</f>
        <v>851,50</v>
      </c>
      <c r="L2486" s="6" t="str">
        <f>"212,88"</f>
        <v>212,88</v>
      </c>
      <c r="M2486" s="6" t="str">
        <f>"1.064,38"</f>
        <v>1.064,38</v>
      </c>
      <c r="N2486" s="5">
        <v>43567</v>
      </c>
      <c r="O2486" s="7"/>
      <c r="P2486" s="6" t="str">
        <f>"1.064,38"</f>
        <v>1.064,38</v>
      </c>
      <c r="Q2486" s="7"/>
      <c r="R2486" s="1"/>
      <c r="S2486" s="1" t="str">
        <f>"2-19/NOS-93-C/18"</f>
        <v>2-19/NOS-93-C/18</v>
      </c>
      <c r="T2486" s="2" t="s">
        <v>33</v>
      </c>
    </row>
    <row r="2487" spans="1:20" ht="38.25" x14ac:dyDescent="0.25">
      <c r="A2487" s="1">
        <v>2483</v>
      </c>
      <c r="B2487" s="1" t="str">
        <f t="shared" si="246"/>
        <v>2018-2859</v>
      </c>
      <c r="C2487" s="2" t="s">
        <v>1239</v>
      </c>
      <c r="D2487" s="1" t="s">
        <v>192</v>
      </c>
      <c r="E2487" s="3" t="str">
        <f>""</f>
        <v/>
      </c>
      <c r="F2487" s="2" t="s">
        <v>27</v>
      </c>
      <c r="G2487" s="2" t="str">
        <f t="shared" si="248"/>
        <v>RO-TEHNOLOGIJA D.O.O., NOVA CESTA 86, 51410 OPATIJA, OIB: 94757004774</v>
      </c>
      <c r="H2487" s="4"/>
      <c r="I2487" s="1" t="s">
        <v>340</v>
      </c>
      <c r="J2487" s="1" t="s">
        <v>436</v>
      </c>
      <c r="K2487" s="6" t="str">
        <f>"1.054,80"</f>
        <v>1.054,80</v>
      </c>
      <c r="L2487" s="6" t="str">
        <f>"263,70"</f>
        <v>263,70</v>
      </c>
      <c r="M2487" s="6" t="str">
        <f>"1.318,50"</f>
        <v>1.318,50</v>
      </c>
      <c r="N2487" s="5">
        <v>43585</v>
      </c>
      <c r="O2487" s="7"/>
      <c r="P2487" s="6" t="str">
        <f>"1.318,50"</f>
        <v>1.318,50</v>
      </c>
      <c r="Q2487" s="7"/>
      <c r="R2487" s="1"/>
      <c r="S2487" s="1" t="str">
        <f>"3-19/NOS-93-C/18"</f>
        <v>3-19/NOS-93-C/18</v>
      </c>
      <c r="T2487" s="2" t="s">
        <v>33</v>
      </c>
    </row>
    <row r="2488" spans="1:20" ht="38.25" x14ac:dyDescent="0.25">
      <c r="A2488" s="1">
        <v>2484</v>
      </c>
      <c r="B2488" s="1" t="str">
        <f t="shared" si="246"/>
        <v>2018-2859</v>
      </c>
      <c r="C2488" s="2" t="s">
        <v>1239</v>
      </c>
      <c r="D2488" s="1" t="s">
        <v>192</v>
      </c>
      <c r="E2488" s="3" t="str">
        <f>""</f>
        <v/>
      </c>
      <c r="F2488" s="2" t="s">
        <v>27</v>
      </c>
      <c r="G2488" s="2" t="str">
        <f t="shared" si="248"/>
        <v>RO-TEHNOLOGIJA D.O.O., NOVA CESTA 86, 51410 OPATIJA, OIB: 94757004774</v>
      </c>
      <c r="H2488" s="4"/>
      <c r="I2488" s="1" t="s">
        <v>332</v>
      </c>
      <c r="J2488" s="1" t="s">
        <v>436</v>
      </c>
      <c r="K2488" s="6" t="str">
        <f>"12.040,30"</f>
        <v>12.040,30</v>
      </c>
      <c r="L2488" s="6" t="str">
        <f>"3.010,08"</f>
        <v>3.010,08</v>
      </c>
      <c r="M2488" s="6" t="str">
        <f>"15.050,38"</f>
        <v>15.050,38</v>
      </c>
      <c r="N2488" s="5">
        <v>43601</v>
      </c>
      <c r="O2488" s="7"/>
      <c r="P2488" s="6" t="str">
        <f>"15.050,38"</f>
        <v>15.050,38</v>
      </c>
      <c r="Q2488" s="7"/>
      <c r="R2488" s="1"/>
      <c r="S2488" s="1" t="str">
        <f>"4-19/NOS-93-C/18"</f>
        <v>4-19/NOS-93-C/18</v>
      </c>
      <c r="T2488" s="2" t="s">
        <v>33</v>
      </c>
    </row>
    <row r="2489" spans="1:20" ht="38.25" x14ac:dyDescent="0.25">
      <c r="A2489" s="1">
        <v>2485</v>
      </c>
      <c r="B2489" s="1" t="str">
        <f t="shared" si="246"/>
        <v>2018-2859</v>
      </c>
      <c r="C2489" s="2" t="s">
        <v>1239</v>
      </c>
      <c r="D2489" s="1" t="s">
        <v>192</v>
      </c>
      <c r="E2489" s="3" t="str">
        <f>""</f>
        <v/>
      </c>
      <c r="F2489" s="2" t="s">
        <v>27</v>
      </c>
      <c r="G2489" s="2" t="str">
        <f t="shared" si="248"/>
        <v>RO-TEHNOLOGIJA D.O.O., NOVA CESTA 86, 51410 OPATIJA, OIB: 94757004774</v>
      </c>
      <c r="H2489" s="4"/>
      <c r="I2489" s="1" t="s">
        <v>521</v>
      </c>
      <c r="J2489" s="1" t="s">
        <v>436</v>
      </c>
      <c r="K2489" s="6" t="str">
        <f>"6.416,60"</f>
        <v>6.416,60</v>
      </c>
      <c r="L2489" s="6" t="str">
        <f>"1.604,15"</f>
        <v>1.604,15</v>
      </c>
      <c r="M2489" s="6" t="str">
        <f>"8.020,75"</f>
        <v>8.020,75</v>
      </c>
      <c r="N2489" s="5">
        <v>43616</v>
      </c>
      <c r="O2489" s="7"/>
      <c r="P2489" s="6" t="str">
        <f>"8.020,75"</f>
        <v>8.020,75</v>
      </c>
      <c r="Q2489" s="7"/>
      <c r="R2489" s="1"/>
      <c r="S2489" s="1" t="str">
        <f>"5-19/NOS-93-C/18"</f>
        <v>5-19/NOS-93-C/18</v>
      </c>
      <c r="T2489" s="2" t="s">
        <v>33</v>
      </c>
    </row>
    <row r="2490" spans="1:20" ht="38.25" x14ac:dyDescent="0.25">
      <c r="A2490" s="1">
        <v>2486</v>
      </c>
      <c r="B2490" s="1" t="str">
        <f t="shared" si="246"/>
        <v>2018-2859</v>
      </c>
      <c r="C2490" s="2" t="s">
        <v>1239</v>
      </c>
      <c r="D2490" s="1" t="s">
        <v>192</v>
      </c>
      <c r="E2490" s="3" t="str">
        <f>""</f>
        <v/>
      </c>
      <c r="F2490" s="2" t="s">
        <v>27</v>
      </c>
      <c r="G2490" s="2" t="str">
        <f t="shared" si="248"/>
        <v>RO-TEHNOLOGIJA D.O.O., NOVA CESTA 86, 51410 OPATIJA, OIB: 94757004774</v>
      </c>
      <c r="H2490" s="4"/>
      <c r="I2490" s="1" t="s">
        <v>642</v>
      </c>
      <c r="J2490" s="1" t="s">
        <v>436</v>
      </c>
      <c r="K2490" s="6" t="str">
        <f>"10.598,80"</f>
        <v>10.598,80</v>
      </c>
      <c r="L2490" s="6" t="str">
        <f>"2.649,70"</f>
        <v>2.649,70</v>
      </c>
      <c r="M2490" s="6" t="str">
        <f>"13.248,50"</f>
        <v>13.248,50</v>
      </c>
      <c r="N2490" s="5">
        <v>43637</v>
      </c>
      <c r="O2490" s="7"/>
      <c r="P2490" s="6" t="str">
        <f>"13.248,50"</f>
        <v>13.248,50</v>
      </c>
      <c r="Q2490" s="7"/>
      <c r="R2490" s="1"/>
      <c r="S2490" s="1" t="str">
        <f>"6-19/NOS-93-C/18"</f>
        <v>6-19/NOS-93-C/18</v>
      </c>
      <c r="T2490" s="2" t="s">
        <v>33</v>
      </c>
    </row>
    <row r="2491" spans="1:20" ht="38.25" x14ac:dyDescent="0.25">
      <c r="A2491" s="1">
        <v>2487</v>
      </c>
      <c r="B2491" s="1" t="str">
        <f t="shared" si="246"/>
        <v>2018-2859</v>
      </c>
      <c r="C2491" s="2" t="s">
        <v>1239</v>
      </c>
      <c r="D2491" s="1" t="s">
        <v>192</v>
      </c>
      <c r="E2491" s="3" t="str">
        <f>""</f>
        <v/>
      </c>
      <c r="F2491" s="2" t="s">
        <v>27</v>
      </c>
      <c r="G2491" s="2" t="str">
        <f t="shared" si="248"/>
        <v>RO-TEHNOLOGIJA D.O.O., NOVA CESTA 86, 51410 OPATIJA, OIB: 94757004774</v>
      </c>
      <c r="H2491" s="4"/>
      <c r="I2491" s="1" t="s">
        <v>162</v>
      </c>
      <c r="J2491" s="1" t="s">
        <v>436</v>
      </c>
      <c r="K2491" s="6" t="str">
        <f>"17.652,60"</f>
        <v>17.652,60</v>
      </c>
      <c r="L2491" s="6" t="str">
        <f>"4.413,15"</f>
        <v>4.413,15</v>
      </c>
      <c r="M2491" s="6" t="str">
        <f>"22.065,75"</f>
        <v>22.065,75</v>
      </c>
      <c r="N2491" s="5">
        <v>43637</v>
      </c>
      <c r="O2491" s="7"/>
      <c r="P2491" s="6" t="str">
        <f>"22.065,75"</f>
        <v>22.065,75</v>
      </c>
      <c r="Q2491" s="7"/>
      <c r="R2491" s="1"/>
      <c r="S2491" s="1" t="str">
        <f>"7-19/NOS-93-C/18"</f>
        <v>7-19/NOS-93-C/18</v>
      </c>
      <c r="T2491" s="2" t="s">
        <v>33</v>
      </c>
    </row>
    <row r="2492" spans="1:20" ht="38.25" x14ac:dyDescent="0.25">
      <c r="A2492" s="1">
        <v>2488</v>
      </c>
      <c r="B2492" s="1" t="str">
        <f t="shared" si="246"/>
        <v>2018-2859</v>
      </c>
      <c r="C2492" s="2" t="s">
        <v>1239</v>
      </c>
      <c r="D2492" s="1" t="s">
        <v>192</v>
      </c>
      <c r="E2492" s="3" t="str">
        <f>""</f>
        <v/>
      </c>
      <c r="F2492" s="2" t="s">
        <v>27</v>
      </c>
      <c r="G2492" s="2" t="str">
        <f t="shared" si="248"/>
        <v>RO-TEHNOLOGIJA D.O.O., NOVA CESTA 86, 51410 OPATIJA, OIB: 94757004774</v>
      </c>
      <c r="H2492" s="4"/>
      <c r="I2492" s="1" t="s">
        <v>579</v>
      </c>
      <c r="J2492" s="1" t="s">
        <v>436</v>
      </c>
      <c r="K2492" s="6" t="str">
        <f>"2.022,00"</f>
        <v>2.022,00</v>
      </c>
      <c r="L2492" s="6" t="str">
        <f>"505,50"</f>
        <v>505,50</v>
      </c>
      <c r="M2492" s="6" t="str">
        <f>"2.527,50"</f>
        <v>2.527,50</v>
      </c>
      <c r="N2492" s="5">
        <v>43635</v>
      </c>
      <c r="O2492" s="7"/>
      <c r="P2492" s="6" t="str">
        <f>"2.527,50"</f>
        <v>2.527,50</v>
      </c>
      <c r="Q2492" s="7"/>
      <c r="R2492" s="1"/>
      <c r="S2492" s="1" t="str">
        <f>"8-19/NOS-93-C/18"</f>
        <v>8-19/NOS-93-C/18</v>
      </c>
      <c r="T2492" s="2" t="s">
        <v>33</v>
      </c>
    </row>
    <row r="2493" spans="1:20" ht="38.25" x14ac:dyDescent="0.25">
      <c r="A2493" s="1">
        <v>2489</v>
      </c>
      <c r="B2493" s="1" t="str">
        <f t="shared" si="246"/>
        <v>2018-2859</v>
      </c>
      <c r="C2493" s="2" t="s">
        <v>1239</v>
      </c>
      <c r="D2493" s="1" t="s">
        <v>192</v>
      </c>
      <c r="E2493" s="3" t="str">
        <f>""</f>
        <v/>
      </c>
      <c r="F2493" s="2" t="s">
        <v>27</v>
      </c>
      <c r="G2493" s="2" t="str">
        <f t="shared" si="248"/>
        <v>RO-TEHNOLOGIJA D.O.O., NOVA CESTA 86, 51410 OPATIJA, OIB: 94757004774</v>
      </c>
      <c r="H2493" s="4"/>
      <c r="I2493" s="1" t="s">
        <v>638</v>
      </c>
      <c r="J2493" s="1" t="s">
        <v>436</v>
      </c>
      <c r="K2493" s="6" t="str">
        <f>"9.343,20"</f>
        <v>9.343,20</v>
      </c>
      <c r="L2493" s="6" t="str">
        <f>"2.335,80"</f>
        <v>2.335,80</v>
      </c>
      <c r="M2493" s="6" t="str">
        <f>"11.679,00"</f>
        <v>11.679,00</v>
      </c>
      <c r="N2493" s="5">
        <v>43668</v>
      </c>
      <c r="O2493" s="7"/>
      <c r="P2493" s="6" t="str">
        <f>"11.679,00"</f>
        <v>11.679,00</v>
      </c>
      <c r="Q2493" s="7"/>
      <c r="R2493" s="1"/>
      <c r="S2493" s="1" t="str">
        <f>"9-19/NOS-93-C/18"</f>
        <v>9-19/NOS-93-C/18</v>
      </c>
      <c r="T2493" s="2" t="s">
        <v>33</v>
      </c>
    </row>
    <row r="2494" spans="1:20" ht="38.25" x14ac:dyDescent="0.25">
      <c r="A2494" s="1">
        <v>2490</v>
      </c>
      <c r="B2494" s="1" t="str">
        <f t="shared" si="246"/>
        <v>2018-2859</v>
      </c>
      <c r="C2494" s="2" t="s">
        <v>1239</v>
      </c>
      <c r="D2494" s="1" t="s">
        <v>192</v>
      </c>
      <c r="E2494" s="3" t="str">
        <f>"2018/S 0F2-0019406"</f>
        <v>2018/S 0F2-0019406</v>
      </c>
      <c r="F2494" s="2" t="s">
        <v>23</v>
      </c>
      <c r="G2494" s="2" t="str">
        <f t="shared" ref="G2494:G2502" si="249">CONCATENATE("RASCO D.O.O.,"," KOLODVORSKA 120B,"," 48361 KALINOVAC,"," OIB: 12710048305")</f>
        <v>RASCO D.O.O., KOLODVORSKA 120B, 48361 KALINOVAC, OIB: 12710048305</v>
      </c>
      <c r="H2494" s="4"/>
      <c r="I2494" s="1" t="s">
        <v>695</v>
      </c>
      <c r="J2494" s="1" t="s">
        <v>1240</v>
      </c>
      <c r="K2494" s="6" t="str">
        <f>"450.000,00"</f>
        <v>450.000,00</v>
      </c>
      <c r="L2494" s="6" t="str">
        <f>"112.500,00"</f>
        <v>112.500,00</v>
      </c>
      <c r="M2494" s="6" t="str">
        <f>"562.500,00"</f>
        <v>562.500,00</v>
      </c>
      <c r="N2494" s="7"/>
      <c r="O2494" s="7"/>
      <c r="P2494" s="6" t="str">
        <f>""</f>
        <v/>
      </c>
      <c r="Q2494" s="7"/>
      <c r="R2494" s="1"/>
      <c r="S2494" s="1" t="str">
        <f>"NOS-93-D/18"</f>
        <v>NOS-93-D/18</v>
      </c>
      <c r="T2494" s="2" t="s">
        <v>33</v>
      </c>
    </row>
    <row r="2495" spans="1:20" ht="38.25" x14ac:dyDescent="0.25">
      <c r="A2495" s="1">
        <v>2491</v>
      </c>
      <c r="B2495" s="1" t="str">
        <f t="shared" si="246"/>
        <v>2018-2859</v>
      </c>
      <c r="C2495" s="2" t="s">
        <v>1239</v>
      </c>
      <c r="D2495" s="1" t="s">
        <v>192</v>
      </c>
      <c r="E2495" s="3" t="str">
        <f>""</f>
        <v/>
      </c>
      <c r="F2495" s="2" t="s">
        <v>27</v>
      </c>
      <c r="G2495" s="2" t="str">
        <f t="shared" si="249"/>
        <v>RASCO D.O.O., KOLODVORSKA 120B, 48361 KALINOVAC, OIB: 12710048305</v>
      </c>
      <c r="H2495" s="4"/>
      <c r="I2495" s="1" t="s">
        <v>566</v>
      </c>
      <c r="J2495" s="1" t="s">
        <v>469</v>
      </c>
      <c r="K2495" s="6" t="str">
        <f>"6.750,00"</f>
        <v>6.750,00</v>
      </c>
      <c r="L2495" s="6" t="str">
        <f>"1.687,50"</f>
        <v>1.687,50</v>
      </c>
      <c r="M2495" s="6" t="str">
        <f>"8.437,50"</f>
        <v>8.437,50</v>
      </c>
      <c r="N2495" s="5">
        <v>43556</v>
      </c>
      <c r="O2495" s="7"/>
      <c r="P2495" s="6" t="str">
        <f>"8.437,50"</f>
        <v>8.437,50</v>
      </c>
      <c r="Q2495" s="7"/>
      <c r="R2495" s="1"/>
      <c r="S2495" s="1" t="str">
        <f>"1-19/NOS-93-D/18"</f>
        <v>1-19/NOS-93-D/18</v>
      </c>
      <c r="T2495" s="2" t="s">
        <v>33</v>
      </c>
    </row>
    <row r="2496" spans="1:20" ht="38.25" x14ac:dyDescent="0.25">
      <c r="A2496" s="1">
        <v>2492</v>
      </c>
      <c r="B2496" s="1" t="str">
        <f t="shared" si="246"/>
        <v>2018-2859</v>
      </c>
      <c r="C2496" s="2" t="s">
        <v>1239</v>
      </c>
      <c r="D2496" s="1" t="s">
        <v>192</v>
      </c>
      <c r="E2496" s="3" t="str">
        <f>""</f>
        <v/>
      </c>
      <c r="F2496" s="2" t="s">
        <v>27</v>
      </c>
      <c r="G2496" s="2" t="str">
        <f t="shared" si="249"/>
        <v>RASCO D.O.O., KOLODVORSKA 120B, 48361 KALINOVAC, OIB: 12710048305</v>
      </c>
      <c r="H2496" s="4"/>
      <c r="I2496" s="1" t="s">
        <v>343</v>
      </c>
      <c r="J2496" s="1" t="s">
        <v>469</v>
      </c>
      <c r="K2496" s="6" t="str">
        <f>"17.784,00"</f>
        <v>17.784,00</v>
      </c>
      <c r="L2496" s="6" t="str">
        <f>"4.446,00"</f>
        <v>4.446,00</v>
      </c>
      <c r="M2496" s="6" t="str">
        <f>"22.230,00"</f>
        <v>22.230,00</v>
      </c>
      <c r="N2496" s="5">
        <v>43579</v>
      </c>
      <c r="O2496" s="7"/>
      <c r="P2496" s="6" t="str">
        <f>"22.230,00"</f>
        <v>22.230,00</v>
      </c>
      <c r="Q2496" s="7"/>
      <c r="R2496" s="1"/>
      <c r="S2496" s="1" t="str">
        <f>"2-19/NOS-93-D/18"</f>
        <v>2-19/NOS-93-D/18</v>
      </c>
      <c r="T2496" s="2" t="s">
        <v>33</v>
      </c>
    </row>
    <row r="2497" spans="1:20" ht="38.25" x14ac:dyDescent="0.25">
      <c r="A2497" s="1">
        <v>2493</v>
      </c>
      <c r="B2497" s="1" t="str">
        <f t="shared" si="246"/>
        <v>2018-2859</v>
      </c>
      <c r="C2497" s="2" t="s">
        <v>1239</v>
      </c>
      <c r="D2497" s="1" t="s">
        <v>192</v>
      </c>
      <c r="E2497" s="3" t="str">
        <f>""</f>
        <v/>
      </c>
      <c r="F2497" s="2" t="s">
        <v>27</v>
      </c>
      <c r="G2497" s="2" t="str">
        <f t="shared" si="249"/>
        <v>RASCO D.O.O., KOLODVORSKA 120B, 48361 KALINOVAC, OIB: 12710048305</v>
      </c>
      <c r="H2497" s="4"/>
      <c r="I2497" s="1" t="s">
        <v>344</v>
      </c>
      <c r="J2497" s="1" t="s">
        <v>469</v>
      </c>
      <c r="K2497" s="6" t="str">
        <f>"17.532,00"</f>
        <v>17.532,00</v>
      </c>
      <c r="L2497" s="6" t="str">
        <f>"4.383,00"</f>
        <v>4.383,00</v>
      </c>
      <c r="M2497" s="6" t="str">
        <f>"21.915,00"</f>
        <v>21.915,00</v>
      </c>
      <c r="N2497" s="5">
        <v>43623</v>
      </c>
      <c r="O2497" s="7"/>
      <c r="P2497" s="6" t="str">
        <f>"21.915,00"</f>
        <v>21.915,00</v>
      </c>
      <c r="Q2497" s="7"/>
      <c r="R2497" s="1"/>
      <c r="S2497" s="1" t="str">
        <f>"3-19/NOS-93-D/18"</f>
        <v>3-19/NOS-93-D/18</v>
      </c>
      <c r="T2497" s="2" t="s">
        <v>33</v>
      </c>
    </row>
    <row r="2498" spans="1:20" ht="38.25" x14ac:dyDescent="0.25">
      <c r="A2498" s="1">
        <v>2494</v>
      </c>
      <c r="B2498" s="1" t="str">
        <f t="shared" si="246"/>
        <v>2018-2859</v>
      </c>
      <c r="C2498" s="2" t="s">
        <v>1239</v>
      </c>
      <c r="D2498" s="1" t="s">
        <v>192</v>
      </c>
      <c r="E2498" s="3" t="str">
        <f>""</f>
        <v/>
      </c>
      <c r="F2498" s="2" t="s">
        <v>27</v>
      </c>
      <c r="G2498" s="2" t="str">
        <f t="shared" si="249"/>
        <v>RASCO D.O.O., KOLODVORSKA 120B, 48361 KALINOVAC, OIB: 12710048305</v>
      </c>
      <c r="H2498" s="4"/>
      <c r="I2498" s="1" t="s">
        <v>641</v>
      </c>
      <c r="J2498" s="1" t="s">
        <v>469</v>
      </c>
      <c r="K2498" s="6" t="str">
        <f>"1.353,00"</f>
        <v>1.353,00</v>
      </c>
      <c r="L2498" s="6" t="str">
        <f>"338,25"</f>
        <v>338,25</v>
      </c>
      <c r="M2498" s="6" t="str">
        <f>"1.691,25"</f>
        <v>1.691,25</v>
      </c>
      <c r="N2498" s="5">
        <v>43600</v>
      </c>
      <c r="O2498" s="7"/>
      <c r="P2498" s="6" t="str">
        <f>"1.691,25"</f>
        <v>1.691,25</v>
      </c>
      <c r="Q2498" s="7"/>
      <c r="R2498" s="1"/>
      <c r="S2498" s="1" t="str">
        <f>"4-19/NOS-93-D/18"</f>
        <v>4-19/NOS-93-D/18</v>
      </c>
      <c r="T2498" s="2" t="s">
        <v>33</v>
      </c>
    </row>
    <row r="2499" spans="1:20" ht="38.25" x14ac:dyDescent="0.25">
      <c r="A2499" s="1">
        <v>2495</v>
      </c>
      <c r="B2499" s="1" t="str">
        <f t="shared" si="246"/>
        <v>2018-2859</v>
      </c>
      <c r="C2499" s="2" t="s">
        <v>1239</v>
      </c>
      <c r="D2499" s="1" t="s">
        <v>192</v>
      </c>
      <c r="E2499" s="3" t="str">
        <f>""</f>
        <v/>
      </c>
      <c r="F2499" s="2" t="s">
        <v>27</v>
      </c>
      <c r="G2499" s="2" t="str">
        <f t="shared" si="249"/>
        <v>RASCO D.O.O., KOLODVORSKA 120B, 48361 KALINOVAC, OIB: 12710048305</v>
      </c>
      <c r="H2499" s="4"/>
      <c r="I2499" s="1" t="s">
        <v>521</v>
      </c>
      <c r="J2499" s="1" t="s">
        <v>469</v>
      </c>
      <c r="K2499" s="6" t="str">
        <f>"30.276,78"</f>
        <v>30.276,78</v>
      </c>
      <c r="L2499" s="6" t="str">
        <f>"7.569,19"</f>
        <v>7.569,19</v>
      </c>
      <c r="M2499" s="6" t="str">
        <f>"37.845,97"</f>
        <v>37.845,97</v>
      </c>
      <c r="N2499" s="5">
        <v>43670</v>
      </c>
      <c r="O2499" s="7"/>
      <c r="P2499" s="6" t="str">
        <f>"37.845,98"</f>
        <v>37.845,98</v>
      </c>
      <c r="Q2499" s="7"/>
      <c r="R2499" s="1"/>
      <c r="S2499" s="1" t="str">
        <f>"5-19/NOS-93-D/18"</f>
        <v>5-19/NOS-93-D/18</v>
      </c>
      <c r="T2499" s="2" t="s">
        <v>33</v>
      </c>
    </row>
    <row r="2500" spans="1:20" ht="38.25" x14ac:dyDescent="0.25">
      <c r="A2500" s="1">
        <v>2496</v>
      </c>
      <c r="B2500" s="1" t="str">
        <f t="shared" si="246"/>
        <v>2018-2859</v>
      </c>
      <c r="C2500" s="2" t="s">
        <v>1239</v>
      </c>
      <c r="D2500" s="1" t="s">
        <v>192</v>
      </c>
      <c r="E2500" s="3" t="str">
        <f>""</f>
        <v/>
      </c>
      <c r="F2500" s="2" t="s">
        <v>27</v>
      </c>
      <c r="G2500" s="2" t="str">
        <f t="shared" si="249"/>
        <v>RASCO D.O.O., KOLODVORSKA 120B, 48361 KALINOVAC, OIB: 12710048305</v>
      </c>
      <c r="H2500" s="4"/>
      <c r="I2500" s="1" t="s">
        <v>334</v>
      </c>
      <c r="J2500" s="1" t="s">
        <v>469</v>
      </c>
      <c r="K2500" s="6" t="str">
        <f>"28.854,00"</f>
        <v>28.854,00</v>
      </c>
      <c r="L2500" s="6" t="str">
        <f>"7.213,50"</f>
        <v>7.213,50</v>
      </c>
      <c r="M2500" s="6" t="str">
        <f>"36.067,50"</f>
        <v>36.067,50</v>
      </c>
      <c r="N2500" s="5">
        <v>43615</v>
      </c>
      <c r="O2500" s="7"/>
      <c r="P2500" s="6" t="str">
        <f>"36.067,50"</f>
        <v>36.067,50</v>
      </c>
      <c r="Q2500" s="7"/>
      <c r="R2500" s="1"/>
      <c r="S2500" s="1" t="str">
        <f>"7-19/NOS-93-D/18"</f>
        <v>7-19/NOS-93-D/18</v>
      </c>
      <c r="T2500" s="2" t="s">
        <v>33</v>
      </c>
    </row>
    <row r="2501" spans="1:20" ht="38.25" x14ac:dyDescent="0.25">
      <c r="A2501" s="1">
        <v>2497</v>
      </c>
      <c r="B2501" s="1" t="str">
        <f t="shared" si="246"/>
        <v>2018-2859</v>
      </c>
      <c r="C2501" s="2" t="s">
        <v>1239</v>
      </c>
      <c r="D2501" s="1" t="s">
        <v>192</v>
      </c>
      <c r="E2501" s="3" t="str">
        <f>""</f>
        <v/>
      </c>
      <c r="F2501" s="2" t="s">
        <v>27</v>
      </c>
      <c r="G2501" s="2" t="str">
        <f t="shared" si="249"/>
        <v>RASCO D.O.O., KOLODVORSKA 120B, 48361 KALINOVAC, OIB: 12710048305</v>
      </c>
      <c r="H2501" s="4"/>
      <c r="I2501" s="1" t="s">
        <v>642</v>
      </c>
      <c r="J2501" s="1" t="s">
        <v>469</v>
      </c>
      <c r="K2501" s="6" t="str">
        <f>"16.111,20"</f>
        <v>16.111,20</v>
      </c>
      <c r="L2501" s="6" t="str">
        <f>"4.027,80"</f>
        <v>4.027,80</v>
      </c>
      <c r="M2501" s="6" t="str">
        <f>"20.139,00"</f>
        <v>20.139,00</v>
      </c>
      <c r="N2501" s="5">
        <v>43615</v>
      </c>
      <c r="O2501" s="7"/>
      <c r="P2501" s="6" t="str">
        <f>"20.139,00"</f>
        <v>20.139,00</v>
      </c>
      <c r="Q2501" s="7"/>
      <c r="R2501" s="1"/>
      <c r="S2501" s="1" t="str">
        <f>"8-19/NOS-93-D/18"</f>
        <v>8-19/NOS-93-D/18</v>
      </c>
      <c r="T2501" s="2" t="s">
        <v>33</v>
      </c>
    </row>
    <row r="2502" spans="1:20" ht="38.25" x14ac:dyDescent="0.25">
      <c r="A2502" s="1">
        <v>2498</v>
      </c>
      <c r="B2502" s="1" t="str">
        <f t="shared" si="246"/>
        <v>2018-2859</v>
      </c>
      <c r="C2502" s="2" t="s">
        <v>1239</v>
      </c>
      <c r="D2502" s="1" t="s">
        <v>192</v>
      </c>
      <c r="E2502" s="3" t="str">
        <f>""</f>
        <v/>
      </c>
      <c r="F2502" s="2" t="s">
        <v>27</v>
      </c>
      <c r="G2502" s="2" t="str">
        <f t="shared" si="249"/>
        <v>RASCO D.O.O., KOLODVORSKA 120B, 48361 KALINOVAC, OIB: 12710048305</v>
      </c>
      <c r="H2502" s="4"/>
      <c r="I2502" s="1" t="s">
        <v>74</v>
      </c>
      <c r="J2502" s="1" t="s">
        <v>469</v>
      </c>
      <c r="K2502" s="6" t="str">
        <f>"1.652,28"</f>
        <v>1.652,28</v>
      </c>
      <c r="L2502" s="6" t="str">
        <f>"413,07"</f>
        <v>413,07</v>
      </c>
      <c r="M2502" s="6" t="str">
        <f>"2.065,35"</f>
        <v>2.065,35</v>
      </c>
      <c r="N2502" s="5">
        <v>43633</v>
      </c>
      <c r="O2502" s="7"/>
      <c r="P2502" s="6" t="str">
        <f>"2.065,35"</f>
        <v>2.065,35</v>
      </c>
      <c r="Q2502" s="7"/>
      <c r="R2502" s="1"/>
      <c r="S2502" s="1" t="str">
        <f>"9-19/NOS-93-D/18"</f>
        <v>9-19/NOS-93-D/18</v>
      </c>
      <c r="T2502" s="2" t="s">
        <v>33</v>
      </c>
    </row>
    <row r="2503" spans="1:20" ht="38.25" x14ac:dyDescent="0.25">
      <c r="A2503" s="1">
        <v>2499</v>
      </c>
      <c r="B2503" s="1" t="str">
        <f t="shared" si="246"/>
        <v>2018-2859</v>
      </c>
      <c r="C2503" s="2" t="s">
        <v>1239</v>
      </c>
      <c r="D2503" s="1" t="s">
        <v>192</v>
      </c>
      <c r="E2503" s="3" t="str">
        <f>"2018/S 0F2-0019406"</f>
        <v>2018/S 0F2-0019406</v>
      </c>
      <c r="F2503" s="2" t="s">
        <v>23</v>
      </c>
      <c r="G2503" s="2" t="str">
        <f>CONCATENATE("AUTO-MAG D.O.O.,"," GORNJOSTUPNIČKA 1/d,"," 10255 GORNJI STUPNIK,"," OIB: 99940897955")</f>
        <v>AUTO-MAG D.O.O., GORNJOSTUPNIČKA 1/d, 10255 GORNJI STUPNIK, OIB: 99940897955</v>
      </c>
      <c r="H2503" s="4"/>
      <c r="I2503" s="1" t="s">
        <v>695</v>
      </c>
      <c r="J2503" s="1" t="s">
        <v>1240</v>
      </c>
      <c r="K2503" s="6" t="str">
        <f>"600.000,00"</f>
        <v>600.000,00</v>
      </c>
      <c r="L2503" s="6" t="str">
        <f>"150.000,00"</f>
        <v>150.000,00</v>
      </c>
      <c r="M2503" s="6" t="str">
        <f>"750.000,00"</f>
        <v>750.000,00</v>
      </c>
      <c r="N2503" s="7"/>
      <c r="O2503" s="7"/>
      <c r="P2503" s="6" t="str">
        <f>""</f>
        <v/>
      </c>
      <c r="Q2503" s="7"/>
      <c r="R2503" s="1"/>
      <c r="S2503" s="1" t="str">
        <f>"NOS-93-F/18"</f>
        <v>NOS-93-F/18</v>
      </c>
      <c r="T2503" s="2" t="s">
        <v>33</v>
      </c>
    </row>
    <row r="2504" spans="1:20" ht="38.25" x14ac:dyDescent="0.25">
      <c r="A2504" s="1">
        <v>2500</v>
      </c>
      <c r="B2504" s="1" t="str">
        <f t="shared" si="246"/>
        <v>2018-2859</v>
      </c>
      <c r="C2504" s="2" t="s">
        <v>1239</v>
      </c>
      <c r="D2504" s="1" t="s">
        <v>192</v>
      </c>
      <c r="E2504" s="3" t="str">
        <f>""</f>
        <v/>
      </c>
      <c r="F2504" s="2" t="s">
        <v>27</v>
      </c>
      <c r="G2504" s="2" t="str">
        <f>CONCATENATE("AUTO-MAG D.O.O.,"," GORNJOSTUPNIČKA 1/d,"," 10255 GORNJI STUPNIK,"," OIB: 99940897955")</f>
        <v>AUTO-MAG D.O.O., GORNJOSTUPNIČKA 1/d, 10255 GORNJI STUPNIK, OIB: 99940897955</v>
      </c>
      <c r="H2504" s="4"/>
      <c r="I2504" s="1" t="s">
        <v>301</v>
      </c>
      <c r="J2504" s="1" t="s">
        <v>469</v>
      </c>
      <c r="K2504" s="6" t="str">
        <f>"158.418,45"</f>
        <v>158.418,45</v>
      </c>
      <c r="L2504" s="6" t="str">
        <f>"39.604,61"</f>
        <v>39.604,61</v>
      </c>
      <c r="M2504" s="6" t="str">
        <f>"198.023,06"</f>
        <v>198.023,06</v>
      </c>
      <c r="N2504" s="5">
        <v>43608</v>
      </c>
      <c r="O2504" s="7"/>
      <c r="P2504" s="6" t="str">
        <f>"198.023,06"</f>
        <v>198.023,06</v>
      </c>
      <c r="Q2504" s="7"/>
      <c r="R2504" s="1"/>
      <c r="S2504" s="1" t="str">
        <f>"1-19/NOS-93-F/18"</f>
        <v>1-19/NOS-93-F/18</v>
      </c>
      <c r="T2504" s="2" t="s">
        <v>33</v>
      </c>
    </row>
    <row r="2505" spans="1:20" ht="38.25" x14ac:dyDescent="0.25">
      <c r="A2505" s="1">
        <v>2501</v>
      </c>
      <c r="B2505" s="1" t="str">
        <f t="shared" si="246"/>
        <v>2018-2859</v>
      </c>
      <c r="C2505" s="2" t="s">
        <v>1239</v>
      </c>
      <c r="D2505" s="1" t="s">
        <v>192</v>
      </c>
      <c r="E2505" s="3" t="str">
        <f>"2018/S 0F2-0019406"</f>
        <v>2018/S 0F2-0019406</v>
      </c>
      <c r="F2505" s="2" t="s">
        <v>23</v>
      </c>
      <c r="G2505" s="2" t="str">
        <f>CONCATENATE("AUTO-MAG D.O.O.,"," GORNJOSTUPNIČKA 1/d,"," 10255 GORNJI STUPNIK,"," OIB: 99940897955")</f>
        <v>AUTO-MAG D.O.O., GORNJOSTUPNIČKA 1/d, 10255 GORNJI STUPNIK, OIB: 99940897955</v>
      </c>
      <c r="H2505" s="4"/>
      <c r="I2505" s="1" t="s">
        <v>695</v>
      </c>
      <c r="J2505" s="1" t="s">
        <v>1240</v>
      </c>
      <c r="K2505" s="6" t="str">
        <f>"300.000,00"</f>
        <v>300.000,00</v>
      </c>
      <c r="L2505" s="6" t="str">
        <f>"75.000,00"</f>
        <v>75.000,00</v>
      </c>
      <c r="M2505" s="6" t="str">
        <f>"375.000,00"</f>
        <v>375.000,00</v>
      </c>
      <c r="N2505" s="7"/>
      <c r="O2505" s="7"/>
      <c r="P2505" s="6" t="str">
        <f>""</f>
        <v/>
      </c>
      <c r="Q2505" s="7"/>
      <c r="R2505" s="1"/>
      <c r="S2505" s="1" t="str">
        <f>"NOS-93-G/18"</f>
        <v>NOS-93-G/18</v>
      </c>
      <c r="T2505" s="2" t="s">
        <v>33</v>
      </c>
    </row>
    <row r="2506" spans="1:20" ht="38.25" x14ac:dyDescent="0.25">
      <c r="A2506" s="1">
        <v>2502</v>
      </c>
      <c r="B2506" s="1" t="str">
        <f t="shared" si="246"/>
        <v>2018-2859</v>
      </c>
      <c r="C2506" s="2" t="s">
        <v>1239</v>
      </c>
      <c r="D2506" s="1" t="s">
        <v>192</v>
      </c>
      <c r="E2506" s="3" t="str">
        <f>""</f>
        <v/>
      </c>
      <c r="F2506" s="2" t="s">
        <v>27</v>
      </c>
      <c r="G2506" s="2" t="str">
        <f>CONCATENATE("AUTO-MAG D.O.O.,"," GORNJOSTUPNIČKA 1/d,"," 10255 GORNJI STUPNIK,"," OIB: 99940897955")</f>
        <v>AUTO-MAG D.O.O., GORNJOSTUPNIČKA 1/d, 10255 GORNJI STUPNIK, OIB: 99940897955</v>
      </c>
      <c r="H2506" s="4"/>
      <c r="I2506" s="1" t="s">
        <v>301</v>
      </c>
      <c r="J2506" s="1" t="s">
        <v>469</v>
      </c>
      <c r="K2506" s="6" t="str">
        <f>"56.280,00"</f>
        <v>56.280,00</v>
      </c>
      <c r="L2506" s="6" t="str">
        <f>"14.070,00"</f>
        <v>14.070,00</v>
      </c>
      <c r="M2506" s="6" t="str">
        <f>"70.350,00"</f>
        <v>70.350,00</v>
      </c>
      <c r="N2506" s="5">
        <v>43564</v>
      </c>
      <c r="O2506" s="7"/>
      <c r="P2506" s="6" t="str">
        <f>"70.350,00"</f>
        <v>70.350,00</v>
      </c>
      <c r="Q2506" s="7"/>
      <c r="R2506" s="1"/>
      <c r="S2506" s="1" t="str">
        <f>"1-19/NOS-93-G/18"</f>
        <v>1-19/NOS-93-G/18</v>
      </c>
      <c r="T2506" s="2" t="s">
        <v>33</v>
      </c>
    </row>
    <row r="2507" spans="1:20" ht="38.25" x14ac:dyDescent="0.25">
      <c r="A2507" s="1">
        <v>2503</v>
      </c>
      <c r="B2507" s="1" t="str">
        <f>"2018-3095"</f>
        <v>2018-3095</v>
      </c>
      <c r="C2507" s="2" t="s">
        <v>1241</v>
      </c>
      <c r="D2507" s="1" t="s">
        <v>1242</v>
      </c>
      <c r="E2507" s="3" t="str">
        <f>"2018/S 0F2-0032602"</f>
        <v>2018/S 0F2-0032602</v>
      </c>
      <c r="F2507" s="2" t="s">
        <v>23</v>
      </c>
      <c r="G2507" s="2" t="str">
        <f>CONCATENATE("KUPOLE BOLJE OD ŠATORA D.O.O.,"," OIB: 77581043464")</f>
        <v>KUPOLE BOLJE OD ŠATORA D.O.O., OIB: 77581043464</v>
      </c>
      <c r="H2507" s="4"/>
      <c r="I2507" s="1" t="s">
        <v>229</v>
      </c>
      <c r="J2507" s="1" t="s">
        <v>1243</v>
      </c>
      <c r="K2507" s="6" t="str">
        <f>"2.000.000,00"</f>
        <v>2.000.000,00</v>
      </c>
      <c r="L2507" s="6" t="str">
        <f>"500.000,00"</f>
        <v>500.000,00</v>
      </c>
      <c r="M2507" s="6" t="str">
        <f>"2.500.000,00"</f>
        <v>2.500.000,00</v>
      </c>
      <c r="N2507" s="7"/>
      <c r="O2507" s="7"/>
      <c r="P2507" s="6" t="str">
        <f>""</f>
        <v/>
      </c>
      <c r="Q2507" s="7"/>
      <c r="R2507" s="1"/>
      <c r="S2507" s="1" t="str">
        <f>"NOS-94/18"</f>
        <v>NOS-94/18</v>
      </c>
      <c r="T2507" s="2" t="s">
        <v>33</v>
      </c>
    </row>
    <row r="2508" spans="1:20" ht="25.5" x14ac:dyDescent="0.25">
      <c r="A2508" s="1">
        <v>2504</v>
      </c>
      <c r="B2508" s="1" t="str">
        <f>"2018-3095"</f>
        <v>2018-3095</v>
      </c>
      <c r="C2508" s="2" t="s">
        <v>1241</v>
      </c>
      <c r="D2508" s="1" t="s">
        <v>1242</v>
      </c>
      <c r="E2508" s="3" t="str">
        <f>""</f>
        <v/>
      </c>
      <c r="F2508" s="2" t="s">
        <v>27</v>
      </c>
      <c r="G2508" s="2" t="str">
        <f>CONCATENATE("KUPOLE BOLJE OD ŠATORA D.O.O.,"," OIB: 77581043464")</f>
        <v>KUPOLE BOLJE OD ŠATORA D.O.O., OIB: 77581043464</v>
      </c>
      <c r="H2508" s="4"/>
      <c r="I2508" s="1" t="s">
        <v>266</v>
      </c>
      <c r="J2508" s="1" t="s">
        <v>469</v>
      </c>
      <c r="K2508" s="6" t="str">
        <f>"751.320,00"</f>
        <v>751.320,00</v>
      </c>
      <c r="L2508" s="6" t="str">
        <f>"187.830,00"</f>
        <v>187.830,00</v>
      </c>
      <c r="M2508" s="6" t="str">
        <f>"939.150,00"</f>
        <v>939.150,00</v>
      </c>
      <c r="N2508" s="5">
        <v>43609</v>
      </c>
      <c r="O2508" s="7"/>
      <c r="P2508" s="6" t="str">
        <f>"939.150,00"</f>
        <v>939.150,00</v>
      </c>
      <c r="Q2508" s="7"/>
      <c r="R2508" s="1"/>
      <c r="S2508" s="1" t="str">
        <f>"1-19/NOS-94/18"</f>
        <v>1-19/NOS-94/18</v>
      </c>
      <c r="T2508" s="2" t="s">
        <v>33</v>
      </c>
    </row>
    <row r="2509" spans="1:20" ht="38.25" x14ac:dyDescent="0.25">
      <c r="A2509" s="1">
        <v>2505</v>
      </c>
      <c r="B2509" s="1" t="str">
        <f>"2018-2832"</f>
        <v>2018-2832</v>
      </c>
      <c r="C2509" s="2" t="s">
        <v>156</v>
      </c>
      <c r="D2509" s="1" t="s">
        <v>157</v>
      </c>
      <c r="E2509" s="3" t="str">
        <f>"2018/S 0F2-0031544"</f>
        <v>2018/S 0F2-0031544</v>
      </c>
      <c r="F2509" s="2" t="s">
        <v>23</v>
      </c>
      <c r="G2509" s="2" t="str">
        <f>CONCATENATE("EKONERG D.O.O.,"," KORANSKA ULICA 5,"," 10000 ZAGREB,"," OIB: 71690188016")</f>
        <v>EKONERG D.O.O., KORANSKA ULICA 5, 10000 ZAGREB, OIB: 71690188016</v>
      </c>
      <c r="H2509" s="4"/>
      <c r="I2509" s="1" t="s">
        <v>229</v>
      </c>
      <c r="J2509" s="1" t="s">
        <v>1244</v>
      </c>
      <c r="K2509" s="6" t="str">
        <f>"1.500.000,00"</f>
        <v>1.500.000,00</v>
      </c>
      <c r="L2509" s="6" t="str">
        <f>"375.000,00"</f>
        <v>375.000,00</v>
      </c>
      <c r="M2509" s="6" t="str">
        <f>"1.875.000,00"</f>
        <v>1.875.000,00</v>
      </c>
      <c r="N2509" s="7"/>
      <c r="O2509" s="7"/>
      <c r="P2509" s="6" t="str">
        <f>""</f>
        <v/>
      </c>
      <c r="Q2509" s="7"/>
      <c r="R2509" s="1"/>
      <c r="S2509" s="1" t="str">
        <f>"NOS-95/18"</f>
        <v>NOS-95/18</v>
      </c>
      <c r="T2509" s="2" t="s">
        <v>33</v>
      </c>
    </row>
    <row r="2510" spans="1:20" ht="25.5" x14ac:dyDescent="0.25">
      <c r="A2510" s="1">
        <v>2506</v>
      </c>
      <c r="B2510" s="1" t="str">
        <f>"2018-2832"</f>
        <v>2018-2832</v>
      </c>
      <c r="C2510" s="2" t="s">
        <v>156</v>
      </c>
      <c r="D2510" s="4"/>
      <c r="E2510" s="3" t="str">
        <f>""</f>
        <v/>
      </c>
      <c r="F2510" s="2" t="s">
        <v>27</v>
      </c>
      <c r="G2510" s="2" t="str">
        <f>CONCATENATE("EKONERG D.O.O.,"," KORANSKA ULICA 5,"," 10000 ZAGREB,"," OIB: 71690188016")</f>
        <v>EKONERG D.O.O., KORANSKA ULICA 5, 10000 ZAGREB, OIB: 71690188016</v>
      </c>
      <c r="H2510" s="4"/>
      <c r="I2510" s="1" t="s">
        <v>642</v>
      </c>
      <c r="J2510" s="1" t="s">
        <v>516</v>
      </c>
      <c r="K2510" s="6" t="str">
        <f>"369.885,00"</f>
        <v>369.885,00</v>
      </c>
      <c r="L2510" s="6" t="str">
        <f>"92.471,25"</f>
        <v>92.471,25</v>
      </c>
      <c r="M2510" s="6" t="str">
        <f>"462.356,25"</f>
        <v>462.356,25</v>
      </c>
      <c r="N2510" s="5">
        <v>43677</v>
      </c>
      <c r="O2510" s="7"/>
      <c r="P2510" s="6" t="str">
        <f>"32.931,25"</f>
        <v>32.931,25</v>
      </c>
      <c r="Q2510" s="7"/>
      <c r="R2510" s="1"/>
      <c r="S2510" s="1" t="str">
        <f>"1-19/NOS-95/18"</f>
        <v>1-19/NOS-95/18</v>
      </c>
      <c r="T2510" s="2" t="s">
        <v>33</v>
      </c>
    </row>
    <row r="2511" spans="1:20" ht="38.25" x14ac:dyDescent="0.25">
      <c r="A2511" s="1">
        <v>2507</v>
      </c>
      <c r="B2511" s="1" t="str">
        <f t="shared" ref="B2511:B2516" si="250">"2018-3053"</f>
        <v>2018-3053</v>
      </c>
      <c r="C2511" s="2" t="s">
        <v>1245</v>
      </c>
      <c r="D2511" s="1" t="s">
        <v>1246</v>
      </c>
      <c r="E2511" s="3" t="str">
        <f>"2018/S 0F2-0027258"</f>
        <v>2018/S 0F2-0027258</v>
      </c>
      <c r="F2511" s="2" t="s">
        <v>23</v>
      </c>
      <c r="G2511" s="2" t="str">
        <f t="shared" ref="G2511:G2516" si="251">CONCATENATE("KOVA D.O.O.,"," BRAĆE RADIĆA 122B,"," 10410 VELIKA GORICA,"," OIB: 31948370674")</f>
        <v>KOVA D.O.O., BRAĆE RADIĆA 122B, 10410 VELIKA GORICA, OIB: 31948370674</v>
      </c>
      <c r="H2511" s="4"/>
      <c r="I2511" s="1" t="s">
        <v>229</v>
      </c>
      <c r="J2511" s="1" t="s">
        <v>1244</v>
      </c>
      <c r="K2511" s="6" t="str">
        <f>"42.000.000,00"</f>
        <v>42.000.000,00</v>
      </c>
      <c r="L2511" s="6" t="str">
        <f>"10.500.000,00"</f>
        <v>10.500.000,00</v>
      </c>
      <c r="M2511" s="6" t="str">
        <f>"52.500.000,00"</f>
        <v>52.500.000,00</v>
      </c>
      <c r="N2511" s="7"/>
      <c r="O2511" s="7"/>
      <c r="P2511" s="6" t="str">
        <f>""</f>
        <v/>
      </c>
      <c r="Q2511" s="7"/>
      <c r="R2511" s="1"/>
      <c r="S2511" s="1" t="str">
        <f>"NOS-96-A/18"</f>
        <v>NOS-96-A/18</v>
      </c>
      <c r="T2511" s="2" t="s">
        <v>33</v>
      </c>
    </row>
    <row r="2512" spans="1:20" ht="25.5" x14ac:dyDescent="0.25">
      <c r="A2512" s="1">
        <v>2508</v>
      </c>
      <c r="B2512" s="1" t="str">
        <f t="shared" si="250"/>
        <v>2018-3053</v>
      </c>
      <c r="C2512" s="2" t="s">
        <v>1245</v>
      </c>
      <c r="D2512" s="4"/>
      <c r="E2512" s="3" t="str">
        <f>""</f>
        <v/>
      </c>
      <c r="F2512" s="2" t="s">
        <v>27</v>
      </c>
      <c r="G2512" s="2" t="str">
        <f t="shared" si="251"/>
        <v>KOVA D.O.O., BRAĆE RADIĆA 122B, 10410 VELIKA GORICA, OIB: 31948370674</v>
      </c>
      <c r="H2512" s="4"/>
      <c r="I2512" s="1" t="s">
        <v>344</v>
      </c>
      <c r="J2512" s="1" t="s">
        <v>45</v>
      </c>
      <c r="K2512" s="6" t="str">
        <f>"5.405.550,00"</f>
        <v>5.405.550,00</v>
      </c>
      <c r="L2512" s="6" t="str">
        <f>"1.351.387,50"</f>
        <v>1.351.387,50</v>
      </c>
      <c r="M2512" s="6" t="str">
        <f>"6.756.937,50"</f>
        <v>6.756.937,50</v>
      </c>
      <c r="N2512" s="5">
        <v>43700</v>
      </c>
      <c r="O2512" s="7"/>
      <c r="P2512" s="6" t="str">
        <f>"4.470.340,00"</f>
        <v>4.470.340,00</v>
      </c>
      <c r="Q2512" s="7"/>
      <c r="R2512" s="1"/>
      <c r="S2512" s="1" t="str">
        <f>"2-19/NOS-96-A/18"</f>
        <v>2-19/NOS-96-A/18</v>
      </c>
      <c r="T2512" s="2" t="s">
        <v>33</v>
      </c>
    </row>
    <row r="2513" spans="1:20" ht="25.5" x14ac:dyDescent="0.25">
      <c r="A2513" s="1">
        <v>2509</v>
      </c>
      <c r="B2513" s="1" t="str">
        <f t="shared" si="250"/>
        <v>2018-3053</v>
      </c>
      <c r="C2513" s="2" t="s">
        <v>1245</v>
      </c>
      <c r="D2513" s="1" t="s">
        <v>1246</v>
      </c>
      <c r="E2513" s="3" t="str">
        <f>""</f>
        <v/>
      </c>
      <c r="F2513" s="2" t="s">
        <v>27</v>
      </c>
      <c r="G2513" s="2" t="str">
        <f t="shared" si="251"/>
        <v>KOVA D.O.O., BRAĆE RADIĆA 122B, 10410 VELIKA GORICA, OIB: 31948370674</v>
      </c>
      <c r="H2513" s="4"/>
      <c r="I2513" s="1" t="s">
        <v>220</v>
      </c>
      <c r="J2513" s="1" t="s">
        <v>121</v>
      </c>
      <c r="K2513" s="6" t="str">
        <f>"2.158.100,00"</f>
        <v>2.158.100,00</v>
      </c>
      <c r="L2513" s="6" t="str">
        <f>"517.944,00"</f>
        <v>517.944,00</v>
      </c>
      <c r="M2513" s="6" t="str">
        <f>"2.589.720,00"</f>
        <v>2.589.720,00</v>
      </c>
      <c r="N2513" s="5">
        <v>43714</v>
      </c>
      <c r="O2513" s="7"/>
      <c r="P2513" s="6" t="str">
        <f>"2.589.720,00"</f>
        <v>2.589.720,00</v>
      </c>
      <c r="Q2513" s="7"/>
      <c r="R2513" s="1"/>
      <c r="S2513" s="1" t="str">
        <f>"1-19/NOS-96-A/18"</f>
        <v>1-19/NOS-96-A/18</v>
      </c>
      <c r="T2513" s="2" t="s">
        <v>33</v>
      </c>
    </row>
    <row r="2514" spans="1:20" ht="38.25" x14ac:dyDescent="0.25">
      <c r="A2514" s="1">
        <v>2510</v>
      </c>
      <c r="B2514" s="1" t="str">
        <f t="shared" si="250"/>
        <v>2018-3053</v>
      </c>
      <c r="C2514" s="2" t="s">
        <v>1245</v>
      </c>
      <c r="D2514" s="1" t="s">
        <v>1246</v>
      </c>
      <c r="E2514" s="3" t="str">
        <f>"2018/S 0F2-0027258"</f>
        <v>2018/S 0F2-0027258</v>
      </c>
      <c r="F2514" s="2" t="s">
        <v>23</v>
      </c>
      <c r="G2514" s="2" t="str">
        <f t="shared" si="251"/>
        <v>KOVA D.O.O., BRAĆE RADIĆA 122B, 10410 VELIKA GORICA, OIB: 31948370674</v>
      </c>
      <c r="H2514" s="4"/>
      <c r="I2514" s="1" t="s">
        <v>229</v>
      </c>
      <c r="J2514" s="1" t="s">
        <v>1244</v>
      </c>
      <c r="K2514" s="6" t="str">
        <f>"1.500.000,00"</f>
        <v>1.500.000,00</v>
      </c>
      <c r="L2514" s="6" t="str">
        <f>"375.000,00"</f>
        <v>375.000,00</v>
      </c>
      <c r="M2514" s="6" t="str">
        <f>"1.875.000,00"</f>
        <v>1.875.000,00</v>
      </c>
      <c r="N2514" s="7"/>
      <c r="O2514" s="7"/>
      <c r="P2514" s="6" t="str">
        <f>""</f>
        <v/>
      </c>
      <c r="Q2514" s="7"/>
      <c r="R2514" s="1"/>
      <c r="S2514" s="1" t="str">
        <f>"NOS-96-B/18"</f>
        <v>NOS-96-B/18</v>
      </c>
      <c r="T2514" s="2" t="s">
        <v>33</v>
      </c>
    </row>
    <row r="2515" spans="1:20" ht="38.25" x14ac:dyDescent="0.25">
      <c r="A2515" s="1">
        <v>2511</v>
      </c>
      <c r="B2515" s="1" t="str">
        <f t="shared" si="250"/>
        <v>2018-3053</v>
      </c>
      <c r="C2515" s="2" t="s">
        <v>1245</v>
      </c>
      <c r="D2515" s="1" t="s">
        <v>1246</v>
      </c>
      <c r="E2515" s="3" t="str">
        <f>"2018/S 0F2-0027258"</f>
        <v>2018/S 0F2-0027258</v>
      </c>
      <c r="F2515" s="2" t="s">
        <v>23</v>
      </c>
      <c r="G2515" s="2" t="str">
        <f t="shared" si="251"/>
        <v>KOVA D.O.O., BRAĆE RADIĆA 122B, 10410 VELIKA GORICA, OIB: 31948370674</v>
      </c>
      <c r="H2515" s="4"/>
      <c r="I2515" s="1" t="s">
        <v>229</v>
      </c>
      <c r="J2515" s="1" t="s">
        <v>1244</v>
      </c>
      <c r="K2515" s="6" t="str">
        <f>"1.500.000,00"</f>
        <v>1.500.000,00</v>
      </c>
      <c r="L2515" s="6" t="str">
        <f>"375.000,00"</f>
        <v>375.000,00</v>
      </c>
      <c r="M2515" s="6" t="str">
        <f>"1.875.000,00"</f>
        <v>1.875.000,00</v>
      </c>
      <c r="N2515" s="7"/>
      <c r="O2515" s="7"/>
      <c r="P2515" s="6" t="str">
        <f>""</f>
        <v/>
      </c>
      <c r="Q2515" s="7"/>
      <c r="R2515" s="1"/>
      <c r="S2515" s="1" t="str">
        <f>"NOS-96-C/18"</f>
        <v>NOS-96-C/18</v>
      </c>
      <c r="T2515" s="2" t="s">
        <v>33</v>
      </c>
    </row>
    <row r="2516" spans="1:20" ht="25.5" x14ac:dyDescent="0.25">
      <c r="A2516" s="1">
        <v>2512</v>
      </c>
      <c r="B2516" s="1" t="str">
        <f t="shared" si="250"/>
        <v>2018-3053</v>
      </c>
      <c r="C2516" s="2" t="s">
        <v>1245</v>
      </c>
      <c r="D2516" s="4"/>
      <c r="E2516" s="3" t="str">
        <f>""</f>
        <v/>
      </c>
      <c r="F2516" s="2" t="s">
        <v>27</v>
      </c>
      <c r="G2516" s="2" t="str">
        <f t="shared" si="251"/>
        <v>KOVA D.O.O., BRAĆE RADIĆA 122B, 10410 VELIKA GORICA, OIB: 31948370674</v>
      </c>
      <c r="H2516" s="4"/>
      <c r="I2516" s="1" t="s">
        <v>344</v>
      </c>
      <c r="J2516" s="1" t="s">
        <v>45</v>
      </c>
      <c r="K2516" s="6" t="str">
        <f>"417.200,00"</f>
        <v>417.200,00</v>
      </c>
      <c r="L2516" s="6" t="str">
        <f>"104.300,00"</f>
        <v>104.300,00</v>
      </c>
      <c r="M2516" s="6" t="str">
        <f>"521.500,00"</f>
        <v>521.500,00</v>
      </c>
      <c r="N2516" s="5">
        <v>43661</v>
      </c>
      <c r="O2516" s="7"/>
      <c r="P2516" s="6" t="str">
        <f>"219.775,00"</f>
        <v>219.775,00</v>
      </c>
      <c r="Q2516" s="7"/>
      <c r="R2516" s="1"/>
      <c r="S2516" s="1" t="str">
        <f>"1-19/NOS-96-C/18"</f>
        <v>1-19/NOS-96-C/18</v>
      </c>
      <c r="T2516" s="2" t="s">
        <v>33</v>
      </c>
    </row>
    <row r="2517" spans="1:20" ht="51" x14ac:dyDescent="0.25">
      <c r="A2517" s="1">
        <v>2513</v>
      </c>
      <c r="B2517" s="1" t="str">
        <f>"2018-1653"</f>
        <v>2018-1653</v>
      </c>
      <c r="C2517" s="2" t="s">
        <v>252</v>
      </c>
      <c r="D2517" s="1" t="s">
        <v>253</v>
      </c>
      <c r="E2517" s="3" t="str">
        <f>"2018/S 0F2-0024109"</f>
        <v>2018/S 0F2-0024109</v>
      </c>
      <c r="F2517" s="2" t="s">
        <v>23</v>
      </c>
      <c r="G2517" s="2" t="str">
        <f>CONCATENATE("PISMORAD D.D.,"," OIB: 33260306505")</f>
        <v>PISMORAD D.D., OIB: 33260306505</v>
      </c>
      <c r="H2517" s="1" t="str">
        <f>CONCATENATE("METAL PRODUCT D.O.O.,"," OIB: 92712381028")</f>
        <v>METAL PRODUCT D.O.O., OIB: 92712381028</v>
      </c>
      <c r="I2517" s="1" t="s">
        <v>695</v>
      </c>
      <c r="J2517" s="1" t="s">
        <v>1230</v>
      </c>
      <c r="K2517" s="6" t="str">
        <f>"3.200.000,00"</f>
        <v>3.200.000,00</v>
      </c>
      <c r="L2517" s="6" t="str">
        <f>"800.000,00"</f>
        <v>800.000,00</v>
      </c>
      <c r="M2517" s="6" t="str">
        <f>"4.000.000,00"</f>
        <v>4.000.000,00</v>
      </c>
      <c r="N2517" s="7"/>
      <c r="O2517" s="7"/>
      <c r="P2517" s="6" t="str">
        <f>""</f>
        <v/>
      </c>
      <c r="Q2517" s="7"/>
      <c r="R2517" s="1"/>
      <c r="S2517" s="1" t="str">
        <f>"NOS-97/18"</f>
        <v>NOS-97/18</v>
      </c>
      <c r="T2517" s="2" t="s">
        <v>33</v>
      </c>
    </row>
    <row r="2518" spans="1:20" ht="51" x14ac:dyDescent="0.25">
      <c r="A2518" s="1">
        <v>2514</v>
      </c>
      <c r="B2518" s="1" t="str">
        <f>"2018-1653"</f>
        <v>2018-1653</v>
      </c>
      <c r="C2518" s="2" t="s">
        <v>252</v>
      </c>
      <c r="D2518" s="1" t="s">
        <v>253</v>
      </c>
      <c r="E2518" s="3" t="str">
        <f>""</f>
        <v/>
      </c>
      <c r="F2518" s="2" t="s">
        <v>27</v>
      </c>
      <c r="G2518" s="2" t="str">
        <f>CONCATENATE("PISMORAD D.D.,"," OIB: 33260306505")</f>
        <v>PISMORAD D.D., OIB: 33260306505</v>
      </c>
      <c r="H2518" s="1" t="str">
        <f>CONCATENATE("METAL PRODUCT D.O.O.,"," OIB: 92712381028")</f>
        <v>METAL PRODUCT D.O.O., OIB: 92712381028</v>
      </c>
      <c r="I2518" s="1" t="s">
        <v>446</v>
      </c>
      <c r="J2518" s="1" t="s">
        <v>251</v>
      </c>
      <c r="K2518" s="6" t="str">
        <f>"24.210,00"</f>
        <v>24.210,00</v>
      </c>
      <c r="L2518" s="6" t="str">
        <f>"4.936,50"</f>
        <v>4.936,50</v>
      </c>
      <c r="M2518" s="6" t="str">
        <f>"24.682,50"</f>
        <v>24.682,50</v>
      </c>
      <c r="N2518" s="5">
        <v>43649</v>
      </c>
      <c r="O2518" s="7"/>
      <c r="P2518" s="6" t="str">
        <f>"24.682,50"</f>
        <v>24.682,50</v>
      </c>
      <c r="Q2518" s="7"/>
      <c r="R2518" s="1"/>
      <c r="S2518" s="1" t="str">
        <f>"1-19/NOS-97/18"</f>
        <v>1-19/NOS-97/18</v>
      </c>
      <c r="T2518" s="2" t="s">
        <v>33</v>
      </c>
    </row>
    <row r="2519" spans="1:20" ht="51" x14ac:dyDescent="0.25">
      <c r="A2519" s="1">
        <v>2515</v>
      </c>
      <c r="B2519" s="1" t="str">
        <f>"2018-1653"</f>
        <v>2018-1653</v>
      </c>
      <c r="C2519" s="2" t="s">
        <v>252</v>
      </c>
      <c r="D2519" s="1" t="s">
        <v>253</v>
      </c>
      <c r="E2519" s="3" t="str">
        <f>""</f>
        <v/>
      </c>
      <c r="F2519" s="2" t="s">
        <v>27</v>
      </c>
      <c r="G2519" s="2" t="str">
        <f>CONCATENATE("PISMORAD D.D.,"," OIB: 33260306505")</f>
        <v>PISMORAD D.D., OIB: 33260306505</v>
      </c>
      <c r="H2519" s="1" t="str">
        <f>CONCATENATE("METAL PRODUCT D.O.O.,"," OIB: 92712381028")</f>
        <v>METAL PRODUCT D.O.O., OIB: 92712381028</v>
      </c>
      <c r="I2519" s="1" t="s">
        <v>46</v>
      </c>
      <c r="J2519" s="1" t="s">
        <v>251</v>
      </c>
      <c r="K2519" s="6" t="str">
        <f>"33.690,00"</f>
        <v>33.690,00</v>
      </c>
      <c r="L2519" s="6" t="str">
        <f>"0,00"</f>
        <v>0,00</v>
      </c>
      <c r="M2519" s="6" t="str">
        <f>"0,00"</f>
        <v>0,00</v>
      </c>
      <c r="N2519" s="1" t="s">
        <v>117</v>
      </c>
      <c r="O2519" s="7"/>
      <c r="P2519" s="6" t="str">
        <f>"0,00"</f>
        <v>0,00</v>
      </c>
      <c r="Q2519" s="7"/>
      <c r="R2519" s="1"/>
      <c r="S2519" s="1" t="str">
        <f>"2-19/NOS-97/18"</f>
        <v>2-19/NOS-97/18</v>
      </c>
      <c r="T2519" s="2" t="s">
        <v>33</v>
      </c>
    </row>
    <row r="2520" spans="1:20" ht="38.25" x14ac:dyDescent="0.25">
      <c r="A2520" s="1">
        <v>2516</v>
      </c>
      <c r="B2520" s="1" t="str">
        <f>"2018-3135"</f>
        <v>2018-3135</v>
      </c>
      <c r="C2520" s="2" t="s">
        <v>1247</v>
      </c>
      <c r="D2520" s="1" t="s">
        <v>192</v>
      </c>
      <c r="E2520" s="3" t="str">
        <f>"2018/S 0F2-0033248"</f>
        <v>2018/S 0F2-0033248</v>
      </c>
      <c r="F2520" s="2" t="s">
        <v>23</v>
      </c>
      <c r="G2520" s="2" t="str">
        <f>CONCATENATE("AUTO-MAG D.O.O.,"," GORNJOSTUPNIČKA 1/d,"," 10255 GORNJI STUPNIK,"," OIB: 99940897955")</f>
        <v>AUTO-MAG D.O.O., GORNJOSTUPNIČKA 1/d, 10255 GORNJI STUPNIK, OIB: 99940897955</v>
      </c>
      <c r="H2520" s="4"/>
      <c r="I2520" s="1" t="s">
        <v>824</v>
      </c>
      <c r="J2520" s="1" t="s">
        <v>1248</v>
      </c>
      <c r="K2520" s="6" t="str">
        <f>"350.000,00"</f>
        <v>350.000,00</v>
      </c>
      <c r="L2520" s="6" t="str">
        <f>"87.500,00"</f>
        <v>87.500,00</v>
      </c>
      <c r="M2520" s="6" t="str">
        <f>"437.500,00"</f>
        <v>437.500,00</v>
      </c>
      <c r="N2520" s="7"/>
      <c r="O2520" s="7"/>
      <c r="P2520" s="6" t="str">
        <f>""</f>
        <v/>
      </c>
      <c r="Q2520" s="7"/>
      <c r="R2520" s="1"/>
      <c r="S2520" s="1" t="str">
        <f>"NOS-98/18"</f>
        <v>NOS-98/18</v>
      </c>
      <c r="T2520" s="2" t="s">
        <v>33</v>
      </c>
    </row>
    <row r="2521" spans="1:20" ht="102" x14ac:dyDescent="0.25">
      <c r="A2521" s="1">
        <v>2517</v>
      </c>
      <c r="B2521" s="1" t="str">
        <f t="shared" ref="B2521:B2527" si="252">"2018-2181"</f>
        <v>2018-2181</v>
      </c>
      <c r="C2521" s="2" t="s">
        <v>1249</v>
      </c>
      <c r="D2521" s="1" t="s">
        <v>1250</v>
      </c>
      <c r="E2521" s="3" t="str">
        <f>"2018/S 0F2-0029407"</f>
        <v>2018/S 0F2-0029407</v>
      </c>
      <c r="F2521" s="2" t="s">
        <v>23</v>
      </c>
      <c r="G2521" s="2" t="str">
        <f t="shared" ref="G2521:G2527" si="253">CONCATENATE("KING ICT D.O.O.,"," BUZINSKI PRILAZ 10,"," 10010 ZAGREB,"," OIB: 67001695549")</f>
        <v>KING ICT D.O.O., BUZINSKI PRILAZ 10, 10010 ZAGREB, OIB: 67001695549</v>
      </c>
      <c r="H2521" s="4"/>
      <c r="I2521" s="1" t="s">
        <v>824</v>
      </c>
      <c r="J2521" s="1" t="s">
        <v>1238</v>
      </c>
      <c r="K2521" s="6" t="str">
        <f>"2.785.000,00"</f>
        <v>2.785.000,00</v>
      </c>
      <c r="L2521" s="6" t="str">
        <f>"696.250,00"</f>
        <v>696.250,00</v>
      </c>
      <c r="M2521" s="6" t="str">
        <f>"3.481.250,00"</f>
        <v>3.481.250,00</v>
      </c>
      <c r="N2521" s="7"/>
      <c r="O2521" s="7"/>
      <c r="P2521" s="6" t="str">
        <f>""</f>
        <v/>
      </c>
      <c r="Q2521" s="7"/>
      <c r="R2521" s="1"/>
      <c r="S2521" s="1" t="str">
        <f>"NOS-99-A/18"</f>
        <v>NOS-99-A/18</v>
      </c>
      <c r="T2521" s="2" t="s">
        <v>145</v>
      </c>
    </row>
    <row r="2522" spans="1:20" ht="25.5" x14ac:dyDescent="0.25">
      <c r="A2522" s="1">
        <v>2518</v>
      </c>
      <c r="B2522" s="1" t="str">
        <f t="shared" si="252"/>
        <v>2018-2181</v>
      </c>
      <c r="C2522" s="2" t="s">
        <v>1249</v>
      </c>
      <c r="D2522" s="1" t="s">
        <v>1250</v>
      </c>
      <c r="E2522" s="3" t="str">
        <f>""</f>
        <v/>
      </c>
      <c r="F2522" s="2" t="s">
        <v>27</v>
      </c>
      <c r="G2522" s="2" t="str">
        <f t="shared" si="253"/>
        <v>KING ICT D.O.O., BUZINSKI PRILAZ 10, 10010 ZAGREB, OIB: 67001695549</v>
      </c>
      <c r="H2522" s="4"/>
      <c r="I2522" s="1" t="s">
        <v>340</v>
      </c>
      <c r="J2522" s="1" t="s">
        <v>121</v>
      </c>
      <c r="K2522" s="6" t="str">
        <f>"3.126,00"</f>
        <v>3.126,00</v>
      </c>
      <c r="L2522" s="6" t="str">
        <f>"781,50"</f>
        <v>781,50</v>
      </c>
      <c r="M2522" s="6" t="str">
        <f>"3.907,50"</f>
        <v>3.907,50</v>
      </c>
      <c r="N2522" s="5">
        <v>43563</v>
      </c>
      <c r="O2522" s="7"/>
      <c r="P2522" s="6" t="str">
        <f>"3.907,50"</f>
        <v>3.907,50</v>
      </c>
      <c r="Q2522" s="7"/>
      <c r="R2522" s="1"/>
      <c r="S2522" s="1" t="str">
        <f>"1-19/NOS-99-A/18"</f>
        <v>1-19/NOS-99-A/18</v>
      </c>
      <c r="T2522" s="2" t="s">
        <v>60</v>
      </c>
    </row>
    <row r="2523" spans="1:20" ht="25.5" x14ac:dyDescent="0.25">
      <c r="A2523" s="1">
        <v>2519</v>
      </c>
      <c r="B2523" s="1" t="str">
        <f t="shared" si="252"/>
        <v>2018-2181</v>
      </c>
      <c r="C2523" s="2" t="s">
        <v>1249</v>
      </c>
      <c r="D2523" s="1" t="s">
        <v>1250</v>
      </c>
      <c r="E2523" s="3" t="str">
        <f>""</f>
        <v/>
      </c>
      <c r="F2523" s="2" t="s">
        <v>27</v>
      </c>
      <c r="G2523" s="2" t="str">
        <f t="shared" si="253"/>
        <v>KING ICT D.O.O., BUZINSKI PRILAZ 10, 10010 ZAGREB, OIB: 67001695549</v>
      </c>
      <c r="H2523" s="4"/>
      <c r="I2523" s="1" t="s">
        <v>637</v>
      </c>
      <c r="J2523" s="1" t="s">
        <v>73</v>
      </c>
      <c r="K2523" s="6" t="str">
        <f>"1.119,00"</f>
        <v>1.119,00</v>
      </c>
      <c r="L2523" s="6" t="str">
        <f>"279,75"</f>
        <v>279,75</v>
      </c>
      <c r="M2523" s="6" t="str">
        <f>"1.398,75"</f>
        <v>1.398,75</v>
      </c>
      <c r="N2523" s="5">
        <v>43601</v>
      </c>
      <c r="O2523" s="7"/>
      <c r="P2523" s="6" t="str">
        <f>"1.398,75"</f>
        <v>1.398,75</v>
      </c>
      <c r="Q2523" s="7"/>
      <c r="R2523" s="1"/>
      <c r="S2523" s="1" t="str">
        <f>"3-19/NOS-99-A/18"</f>
        <v>3-19/NOS-99-A/18</v>
      </c>
      <c r="T2523" s="2" t="s">
        <v>60</v>
      </c>
    </row>
    <row r="2524" spans="1:20" ht="63.75" x14ac:dyDescent="0.25">
      <c r="A2524" s="1">
        <v>2520</v>
      </c>
      <c r="B2524" s="1" t="str">
        <f t="shared" si="252"/>
        <v>2018-2181</v>
      </c>
      <c r="C2524" s="2" t="s">
        <v>1249</v>
      </c>
      <c r="D2524" s="1" t="s">
        <v>1250</v>
      </c>
      <c r="E2524" s="3" t="str">
        <f>""</f>
        <v/>
      </c>
      <c r="F2524" s="2" t="s">
        <v>27</v>
      </c>
      <c r="G2524" s="2" t="str">
        <f t="shared" si="253"/>
        <v>KING ICT D.O.O., BUZINSKI PRILAZ 10, 10010 ZAGREB, OIB: 67001695549</v>
      </c>
      <c r="H2524" s="4"/>
      <c r="I2524" s="1" t="s">
        <v>403</v>
      </c>
      <c r="J2524" s="1" t="s">
        <v>404</v>
      </c>
      <c r="K2524" s="6" t="str">
        <f>"140.481,00"</f>
        <v>140.481,00</v>
      </c>
      <c r="L2524" s="6" t="str">
        <f>"35.120,25"</f>
        <v>35.120,25</v>
      </c>
      <c r="M2524" s="6" t="str">
        <f>"175.601,25"</f>
        <v>175.601,25</v>
      </c>
      <c r="N2524" s="5">
        <v>43718</v>
      </c>
      <c r="O2524" s="7"/>
      <c r="P2524" s="6" t="str">
        <f>"19.472,50"</f>
        <v>19.472,50</v>
      </c>
      <c r="Q2524" s="7"/>
      <c r="R2524" s="1"/>
      <c r="S2524" s="1" t="str">
        <f>"4-19/NOS-99-A/18"</f>
        <v>4-19/NOS-99-A/18</v>
      </c>
      <c r="T2524" s="2" t="s">
        <v>79</v>
      </c>
    </row>
    <row r="2525" spans="1:20" ht="102" x14ac:dyDescent="0.25">
      <c r="A2525" s="1">
        <v>2521</v>
      </c>
      <c r="B2525" s="1" t="str">
        <f t="shared" si="252"/>
        <v>2018-2181</v>
      </c>
      <c r="C2525" s="2" t="s">
        <v>1249</v>
      </c>
      <c r="D2525" s="1" t="s">
        <v>1250</v>
      </c>
      <c r="E2525" s="3" t="str">
        <f>"2018/S 0F2-0029407"</f>
        <v>2018/S 0F2-0029407</v>
      </c>
      <c r="F2525" s="2" t="s">
        <v>23</v>
      </c>
      <c r="G2525" s="2" t="str">
        <f t="shared" si="253"/>
        <v>KING ICT D.O.O., BUZINSKI PRILAZ 10, 10010 ZAGREB, OIB: 67001695549</v>
      </c>
      <c r="H2525" s="4"/>
      <c r="I2525" s="1" t="s">
        <v>225</v>
      </c>
      <c r="J2525" s="1" t="s">
        <v>1251</v>
      </c>
      <c r="K2525" s="6" t="str">
        <f>"515.000,00"</f>
        <v>515.000,00</v>
      </c>
      <c r="L2525" s="6" t="str">
        <f>"128.750,00"</f>
        <v>128.750,00</v>
      </c>
      <c r="M2525" s="6" t="str">
        <f>"643.750,00"</f>
        <v>643.750,00</v>
      </c>
      <c r="N2525" s="7"/>
      <c r="O2525" s="7"/>
      <c r="P2525" s="6" t="str">
        <f>""</f>
        <v/>
      </c>
      <c r="Q2525" s="7"/>
      <c r="R2525" s="1"/>
      <c r="S2525" s="1" t="str">
        <f>"NOS-99-B/18"</f>
        <v>NOS-99-B/18</v>
      </c>
      <c r="T2525" s="2" t="s">
        <v>145</v>
      </c>
    </row>
    <row r="2526" spans="1:20" ht="25.5" x14ac:dyDescent="0.25">
      <c r="A2526" s="1">
        <v>2522</v>
      </c>
      <c r="B2526" s="1" t="str">
        <f t="shared" si="252"/>
        <v>2018-2181</v>
      </c>
      <c r="C2526" s="2" t="s">
        <v>1249</v>
      </c>
      <c r="D2526" s="1" t="s">
        <v>1250</v>
      </c>
      <c r="E2526" s="3" t="str">
        <f>""</f>
        <v/>
      </c>
      <c r="F2526" s="2" t="s">
        <v>27</v>
      </c>
      <c r="G2526" s="2" t="str">
        <f t="shared" si="253"/>
        <v>KING ICT D.O.O., BUZINSKI PRILAZ 10, 10010 ZAGREB, OIB: 67001695549</v>
      </c>
      <c r="H2526" s="4"/>
      <c r="I2526" s="1" t="s">
        <v>637</v>
      </c>
      <c r="J2526" s="1" t="s">
        <v>73</v>
      </c>
      <c r="K2526" s="6" t="str">
        <f>"1.574,15"</f>
        <v>1.574,15</v>
      </c>
      <c r="L2526" s="6" t="str">
        <f>"393,54"</f>
        <v>393,54</v>
      </c>
      <c r="M2526" s="6" t="str">
        <f>"1.967,69"</f>
        <v>1.967,69</v>
      </c>
      <c r="N2526" s="5">
        <v>43613</v>
      </c>
      <c r="O2526" s="7"/>
      <c r="P2526" s="6" t="str">
        <f>"1.967,69"</f>
        <v>1.967,69</v>
      </c>
      <c r="Q2526" s="7"/>
      <c r="R2526" s="1"/>
      <c r="S2526" s="1" t="str">
        <f>"2-19/NOS-99-B/18"</f>
        <v>2-19/NOS-99-B/18</v>
      </c>
      <c r="T2526" s="2" t="s">
        <v>60</v>
      </c>
    </row>
    <row r="2527" spans="1:20" ht="25.5" x14ac:dyDescent="0.25">
      <c r="A2527" s="1">
        <v>2523</v>
      </c>
      <c r="B2527" s="1" t="str">
        <f t="shared" si="252"/>
        <v>2018-2181</v>
      </c>
      <c r="C2527" s="2" t="s">
        <v>1249</v>
      </c>
      <c r="D2527" s="1" t="s">
        <v>1250</v>
      </c>
      <c r="E2527" s="3" t="str">
        <f>""</f>
        <v/>
      </c>
      <c r="F2527" s="2" t="s">
        <v>27</v>
      </c>
      <c r="G2527" s="2" t="str">
        <f t="shared" si="253"/>
        <v>KING ICT D.O.O., BUZINSKI PRILAZ 10, 10010 ZAGREB, OIB: 67001695549</v>
      </c>
      <c r="H2527" s="4"/>
      <c r="I2527" s="1" t="s">
        <v>374</v>
      </c>
      <c r="J2527" s="1" t="s">
        <v>114</v>
      </c>
      <c r="K2527" s="6" t="str">
        <f>"1.697,50"</f>
        <v>1.697,50</v>
      </c>
      <c r="L2527" s="6" t="str">
        <f>"424,38"</f>
        <v>424,38</v>
      </c>
      <c r="M2527" s="6" t="str">
        <f>"2.121,88"</f>
        <v>2.121,88</v>
      </c>
      <c r="N2527" s="5">
        <v>43643</v>
      </c>
      <c r="O2527" s="7"/>
      <c r="P2527" s="6" t="str">
        <f>"2.121,88"</f>
        <v>2.121,88</v>
      </c>
      <c r="Q2527" s="7"/>
      <c r="R2527" s="1"/>
      <c r="S2527" s="1" t="str">
        <f>"3-19/NOS-99-B/18"</f>
        <v>3-19/NOS-99-B/18</v>
      </c>
      <c r="T2527" s="2" t="s">
        <v>33</v>
      </c>
    </row>
    <row r="2528" spans="1:20" ht="38.25" x14ac:dyDescent="0.25">
      <c r="A2528" s="1">
        <v>2524</v>
      </c>
      <c r="B2528" s="1" t="str">
        <f>"2018-2862"</f>
        <v>2018-2862</v>
      </c>
      <c r="C2528" s="2" t="s">
        <v>324</v>
      </c>
      <c r="D2528" s="1" t="s">
        <v>208</v>
      </c>
      <c r="E2528" s="3" t="str">
        <f>"2018/S 0F2-0030455"</f>
        <v>2018/S 0F2-0030455</v>
      </c>
      <c r="F2528" s="2" t="s">
        <v>23</v>
      </c>
      <c r="G2528" s="2" t="str">
        <f>CONCATENATE("BITUM D.O.O.,"," SLAVONSKA AVENIJA 19,"," 10000 ZAGREB,"," OIB: 745160333")</f>
        <v>BITUM D.O.O., SLAVONSKA AVENIJA 19, 10000 ZAGREB, OIB: 745160333</v>
      </c>
      <c r="H2528" s="4"/>
      <c r="I2528" s="1" t="s">
        <v>225</v>
      </c>
      <c r="J2528" s="1" t="s">
        <v>1251</v>
      </c>
      <c r="K2528" s="6" t="str">
        <f>"1.700.000,00"</f>
        <v>1.700.000,00</v>
      </c>
      <c r="L2528" s="6" t="str">
        <f>"425.000,00"</f>
        <v>425.000,00</v>
      </c>
      <c r="M2528" s="6" t="str">
        <f>"2.125.000,00"</f>
        <v>2.125.000,00</v>
      </c>
      <c r="N2528" s="7"/>
      <c r="O2528" s="7"/>
      <c r="P2528" s="6" t="str">
        <f>""</f>
        <v/>
      </c>
      <c r="Q2528" s="7"/>
      <c r="R2528" s="1"/>
      <c r="S2528" s="1" t="str">
        <f>"NOS-100/18"</f>
        <v>NOS-100/18</v>
      </c>
      <c r="T2528" s="2" t="s">
        <v>33</v>
      </c>
    </row>
    <row r="2529" spans="1:20" ht="63.75" x14ac:dyDescent="0.25">
      <c r="A2529" s="1">
        <v>2525</v>
      </c>
      <c r="B2529" s="1" t="str">
        <f>"2018-3089"</f>
        <v>2018-3089</v>
      </c>
      <c r="C2529" s="2" t="s">
        <v>1252</v>
      </c>
      <c r="D2529" s="1" t="s">
        <v>1209</v>
      </c>
      <c r="E2529" s="3" t="str">
        <f>"2018/S 0F2-0031370"</f>
        <v>2018/S 0F2-0031370</v>
      </c>
      <c r="F2529" s="2" t="s">
        <v>23</v>
      </c>
      <c r="G2529" s="2" t="str">
        <f>CONCATENATE("NARODNE NOVINE D.D.,"," OIB: 64546066176",CHAR(10),"ANING USLUGE D.O.O.,"," ZELENI TRG 4,"," 10000 ZAGREB,"," OIB: 20649144807",CHAR(10),"PRIMAX D.O.O.,"," MIROGOJSKA (ZADUBRAVLJE) 27,"," 35211 TRNJANI,"," OIB: 73439384934")</f>
        <v>NARODNE NOVINE D.D., OIB: 64546066176
ANING USLUGE D.O.O., ZELENI TRG 4, 10000 ZAGREB, OIB: 20649144807
PRIMAX D.O.O., MIROGOJSKA (ZADUBRAVLJE) 27, 35211 TRNJANI, OIB: 73439384934</v>
      </c>
      <c r="H2529" s="4"/>
      <c r="I2529" s="1" t="s">
        <v>596</v>
      </c>
      <c r="J2529" s="1" t="s">
        <v>1253</v>
      </c>
      <c r="K2529" s="6" t="str">
        <f>"1.000.000,00"</f>
        <v>1.000.000,00</v>
      </c>
      <c r="L2529" s="6" t="str">
        <f>"250.000,00"</f>
        <v>250.000,00</v>
      </c>
      <c r="M2529" s="6" t="str">
        <f>"1.250.000,00"</f>
        <v>1.250.000,00</v>
      </c>
      <c r="N2529" s="7"/>
      <c r="O2529" s="7"/>
      <c r="P2529" s="6" t="str">
        <f>""</f>
        <v/>
      </c>
      <c r="Q2529" s="7"/>
      <c r="R2529" s="1"/>
      <c r="S2529" s="1" t="str">
        <f>"NOS-101/18"</f>
        <v>NOS-101/18</v>
      </c>
      <c r="T2529" s="2" t="s">
        <v>33</v>
      </c>
    </row>
    <row r="2530" spans="1:20" ht="102" x14ac:dyDescent="0.25">
      <c r="A2530" s="1">
        <v>2526</v>
      </c>
      <c r="B2530" s="1" t="str">
        <f>"2018-2672"</f>
        <v>2018-2672</v>
      </c>
      <c r="C2530" s="2" t="s">
        <v>1254</v>
      </c>
      <c r="D2530" s="1" t="s">
        <v>725</v>
      </c>
      <c r="E2530" s="3" t="str">
        <f>"2018/S 0F2-0014280"</f>
        <v>2018/S 0F2-0014280</v>
      </c>
      <c r="F2530" s="2" t="s">
        <v>23</v>
      </c>
      <c r="G2530" s="2" t="s">
        <v>1255</v>
      </c>
      <c r="H2530" s="4"/>
      <c r="I2530" s="1" t="s">
        <v>462</v>
      </c>
      <c r="J2530" s="1" t="s">
        <v>1256</v>
      </c>
      <c r="K2530" s="6" t="str">
        <f>"3.000.000,00"</f>
        <v>3.000.000,00</v>
      </c>
      <c r="L2530" s="6" t="str">
        <f>"750.000,00"</f>
        <v>750.000,00</v>
      </c>
      <c r="M2530" s="6" t="str">
        <f>"3.750.000,00"</f>
        <v>3.750.000,00</v>
      </c>
      <c r="N2530" s="7"/>
      <c r="O2530" s="7"/>
      <c r="P2530" s="6" t="str">
        <f>""</f>
        <v/>
      </c>
      <c r="Q2530" s="7"/>
      <c r="R2530" s="1"/>
      <c r="S2530" s="1" t="str">
        <f>"NOS-102/18"</f>
        <v>NOS-102/18</v>
      </c>
      <c r="T2530" s="2" t="s">
        <v>33</v>
      </c>
    </row>
    <row r="2531" spans="1:20" ht="51" x14ac:dyDescent="0.25">
      <c r="A2531" s="1">
        <v>2527</v>
      </c>
      <c r="B2531" s="1" t="str">
        <f t="shared" ref="B2531:B2543" si="254">"2018-2779"</f>
        <v>2018-2779</v>
      </c>
      <c r="C2531" s="2" t="s">
        <v>1257</v>
      </c>
      <c r="D2531" s="1" t="s">
        <v>1258</v>
      </c>
      <c r="E2531" s="3" t="str">
        <f>"2018/S 0F2-0021794"</f>
        <v>2018/S 0F2-0021794</v>
      </c>
      <c r="F2531" s="2" t="s">
        <v>23</v>
      </c>
      <c r="G2531" s="2" t="str">
        <f t="shared" ref="G2531:G2539" si="255">CONCATENATE("PEEK PROMET D.O.O.,"," SPREČKA 8,"," 10000 ZAGREB,"," OIB: 79421023865")</f>
        <v>PEEK PROMET D.O.O., SPREČKA 8, 10000 ZAGREB, OIB: 79421023865</v>
      </c>
      <c r="H2531" s="4"/>
      <c r="I2531" s="1" t="s">
        <v>264</v>
      </c>
      <c r="J2531" s="1" t="s">
        <v>1259</v>
      </c>
      <c r="K2531" s="6" t="str">
        <f>"800.000,00"</f>
        <v>800.000,00</v>
      </c>
      <c r="L2531" s="6" t="str">
        <f>"200.000,00"</f>
        <v>200.000,00</v>
      </c>
      <c r="M2531" s="6" t="str">
        <f>"1.000.000,00"</f>
        <v>1.000.000,00</v>
      </c>
      <c r="N2531" s="7"/>
      <c r="O2531" s="7"/>
      <c r="P2531" s="6" t="str">
        <f>""</f>
        <v/>
      </c>
      <c r="Q2531" s="7"/>
      <c r="R2531" s="1"/>
      <c r="S2531" s="1" t="str">
        <f>"NOS-103-A/18"</f>
        <v>NOS-103-A/18</v>
      </c>
      <c r="T2531" s="2" t="s">
        <v>33</v>
      </c>
    </row>
    <row r="2532" spans="1:20" ht="51" x14ac:dyDescent="0.25">
      <c r="A2532" s="1">
        <v>2528</v>
      </c>
      <c r="B2532" s="1" t="str">
        <f t="shared" si="254"/>
        <v>2018-2779</v>
      </c>
      <c r="C2532" s="2" t="s">
        <v>1257</v>
      </c>
      <c r="D2532" s="1" t="s">
        <v>1258</v>
      </c>
      <c r="E2532" s="3" t="str">
        <f>""</f>
        <v/>
      </c>
      <c r="F2532" s="2" t="s">
        <v>27</v>
      </c>
      <c r="G2532" s="2" t="str">
        <f t="shared" si="255"/>
        <v>PEEK PROMET D.O.O., SPREČKA 8, 10000 ZAGREB, OIB: 79421023865</v>
      </c>
      <c r="H2532" s="4"/>
      <c r="I2532" s="1" t="s">
        <v>317</v>
      </c>
      <c r="J2532" s="1" t="s">
        <v>380</v>
      </c>
      <c r="K2532" s="6" t="str">
        <f>"1.495,00"</f>
        <v>1.495,00</v>
      </c>
      <c r="L2532" s="6" t="str">
        <f>"373,75"</f>
        <v>373,75</v>
      </c>
      <c r="M2532" s="6" t="str">
        <f>"1.868,75"</f>
        <v>1.868,75</v>
      </c>
      <c r="N2532" s="5">
        <v>43608</v>
      </c>
      <c r="O2532" s="7"/>
      <c r="P2532" s="6" t="str">
        <f>"1.868,75"</f>
        <v>1.868,75</v>
      </c>
      <c r="Q2532" s="7"/>
      <c r="R2532" s="1"/>
      <c r="S2532" s="1" t="str">
        <f>"1-19/NOS-103-A/18"</f>
        <v>1-19/NOS-103-A/18</v>
      </c>
      <c r="T2532" s="2" t="s">
        <v>33</v>
      </c>
    </row>
    <row r="2533" spans="1:20" ht="51" x14ac:dyDescent="0.25">
      <c r="A2533" s="1">
        <v>2529</v>
      </c>
      <c r="B2533" s="1" t="str">
        <f t="shared" si="254"/>
        <v>2018-2779</v>
      </c>
      <c r="C2533" s="2" t="s">
        <v>1257</v>
      </c>
      <c r="D2533" s="1" t="s">
        <v>1258</v>
      </c>
      <c r="E2533" s="3" t="str">
        <f>""</f>
        <v/>
      </c>
      <c r="F2533" s="2" t="s">
        <v>27</v>
      </c>
      <c r="G2533" s="2" t="str">
        <f t="shared" si="255"/>
        <v>PEEK PROMET D.O.O., SPREČKA 8, 10000 ZAGREB, OIB: 79421023865</v>
      </c>
      <c r="H2533" s="4"/>
      <c r="I2533" s="1" t="s">
        <v>499</v>
      </c>
      <c r="J2533" s="1" t="s">
        <v>380</v>
      </c>
      <c r="K2533" s="6" t="str">
        <f>"32.600,00"</f>
        <v>32.600,00</v>
      </c>
      <c r="L2533" s="6" t="str">
        <f>"8.150,00"</f>
        <v>8.150,00</v>
      </c>
      <c r="M2533" s="6" t="str">
        <f>"40.750,00"</f>
        <v>40.750,00</v>
      </c>
      <c r="N2533" s="5">
        <v>43612</v>
      </c>
      <c r="O2533" s="7"/>
      <c r="P2533" s="6" t="str">
        <f>"40.750,00"</f>
        <v>40.750,00</v>
      </c>
      <c r="Q2533" s="7"/>
      <c r="R2533" s="1"/>
      <c r="S2533" s="1" t="str">
        <f>"2-19/NOS-103-A/18"</f>
        <v>2-19/NOS-103-A/18</v>
      </c>
      <c r="T2533" s="2" t="s">
        <v>33</v>
      </c>
    </row>
    <row r="2534" spans="1:20" ht="51" x14ac:dyDescent="0.25">
      <c r="A2534" s="1">
        <v>2530</v>
      </c>
      <c r="B2534" s="1" t="str">
        <f t="shared" si="254"/>
        <v>2018-2779</v>
      </c>
      <c r="C2534" s="2" t="s">
        <v>1257</v>
      </c>
      <c r="D2534" s="1" t="s">
        <v>1258</v>
      </c>
      <c r="E2534" s="3" t="str">
        <f>""</f>
        <v/>
      </c>
      <c r="F2534" s="2" t="s">
        <v>27</v>
      </c>
      <c r="G2534" s="2" t="str">
        <f t="shared" si="255"/>
        <v>PEEK PROMET D.O.O., SPREČKA 8, 10000 ZAGREB, OIB: 79421023865</v>
      </c>
      <c r="H2534" s="4"/>
      <c r="I2534" s="1" t="s">
        <v>642</v>
      </c>
      <c r="J2534" s="1" t="s">
        <v>380</v>
      </c>
      <c r="K2534" s="6" t="str">
        <f>"59.100,00"</f>
        <v>59.100,00</v>
      </c>
      <c r="L2534" s="6" t="str">
        <f>"14.775,00"</f>
        <v>14.775,00</v>
      </c>
      <c r="M2534" s="6" t="str">
        <f>"73.875,00"</f>
        <v>73.875,00</v>
      </c>
      <c r="N2534" s="5">
        <v>43614</v>
      </c>
      <c r="O2534" s="7"/>
      <c r="P2534" s="6" t="str">
        <f>"73.875,00"</f>
        <v>73.875,00</v>
      </c>
      <c r="Q2534" s="7"/>
      <c r="R2534" s="1"/>
      <c r="S2534" s="1" t="str">
        <f>"3-19/NOS-103-A/18"</f>
        <v>3-19/NOS-103-A/18</v>
      </c>
      <c r="T2534" s="2" t="s">
        <v>33</v>
      </c>
    </row>
    <row r="2535" spans="1:20" ht="51" x14ac:dyDescent="0.25">
      <c r="A2535" s="1">
        <v>2531</v>
      </c>
      <c r="B2535" s="1" t="str">
        <f t="shared" si="254"/>
        <v>2018-2779</v>
      </c>
      <c r="C2535" s="2" t="s">
        <v>1257</v>
      </c>
      <c r="D2535" s="1" t="s">
        <v>1258</v>
      </c>
      <c r="E2535" s="3" t="str">
        <f>""</f>
        <v/>
      </c>
      <c r="F2535" s="2" t="s">
        <v>27</v>
      </c>
      <c r="G2535" s="2" t="str">
        <f t="shared" si="255"/>
        <v>PEEK PROMET D.O.O., SPREČKA 8, 10000 ZAGREB, OIB: 79421023865</v>
      </c>
      <c r="H2535" s="4"/>
      <c r="I2535" s="1" t="s">
        <v>642</v>
      </c>
      <c r="J2535" s="1" t="s">
        <v>380</v>
      </c>
      <c r="K2535" s="6" t="str">
        <f>"1.495,00"</f>
        <v>1.495,00</v>
      </c>
      <c r="L2535" s="6" t="str">
        <f>"373,75"</f>
        <v>373,75</v>
      </c>
      <c r="M2535" s="6" t="str">
        <f>"1.868,75"</f>
        <v>1.868,75</v>
      </c>
      <c r="N2535" s="5">
        <v>43614</v>
      </c>
      <c r="O2535" s="7"/>
      <c r="P2535" s="6" t="str">
        <f>"1.868,75"</f>
        <v>1.868,75</v>
      </c>
      <c r="Q2535" s="7"/>
      <c r="R2535" s="1"/>
      <c r="S2535" s="1" t="str">
        <f>"5-19/NOS-103-A/18"</f>
        <v>5-19/NOS-103-A/18</v>
      </c>
      <c r="T2535" s="2" t="s">
        <v>33</v>
      </c>
    </row>
    <row r="2536" spans="1:20" ht="51" x14ac:dyDescent="0.25">
      <c r="A2536" s="1">
        <v>2532</v>
      </c>
      <c r="B2536" s="1" t="str">
        <f t="shared" si="254"/>
        <v>2018-2779</v>
      </c>
      <c r="C2536" s="2" t="s">
        <v>1257</v>
      </c>
      <c r="D2536" s="1" t="s">
        <v>1258</v>
      </c>
      <c r="E2536" s="3" t="str">
        <f>""</f>
        <v/>
      </c>
      <c r="F2536" s="2" t="s">
        <v>27</v>
      </c>
      <c r="G2536" s="2" t="str">
        <f t="shared" si="255"/>
        <v>PEEK PROMET D.O.O., SPREČKA 8, 10000 ZAGREB, OIB: 79421023865</v>
      </c>
      <c r="H2536" s="4"/>
      <c r="I2536" s="1" t="s">
        <v>642</v>
      </c>
      <c r="J2536" s="1" t="s">
        <v>380</v>
      </c>
      <c r="K2536" s="6" t="str">
        <f>"1.495,00"</f>
        <v>1.495,00</v>
      </c>
      <c r="L2536" s="6" t="str">
        <f>"373,75"</f>
        <v>373,75</v>
      </c>
      <c r="M2536" s="6" t="str">
        <f>"1.868,75"</f>
        <v>1.868,75</v>
      </c>
      <c r="N2536" s="5">
        <v>43614</v>
      </c>
      <c r="O2536" s="7"/>
      <c r="P2536" s="6" t="str">
        <f>"1.868,75"</f>
        <v>1.868,75</v>
      </c>
      <c r="Q2536" s="7"/>
      <c r="R2536" s="1"/>
      <c r="S2536" s="1" t="str">
        <f>"6-19/NOS-103-A/18"</f>
        <v>6-19/NOS-103-A/18</v>
      </c>
      <c r="T2536" s="2" t="s">
        <v>33</v>
      </c>
    </row>
    <row r="2537" spans="1:20" ht="51" x14ac:dyDescent="0.25">
      <c r="A2537" s="1">
        <v>2533</v>
      </c>
      <c r="B2537" s="1" t="str">
        <f t="shared" si="254"/>
        <v>2018-2779</v>
      </c>
      <c r="C2537" s="2" t="s">
        <v>1257</v>
      </c>
      <c r="D2537" s="1" t="s">
        <v>1258</v>
      </c>
      <c r="E2537" s="3" t="str">
        <f>""</f>
        <v/>
      </c>
      <c r="F2537" s="2" t="s">
        <v>27</v>
      </c>
      <c r="G2537" s="2" t="str">
        <f t="shared" si="255"/>
        <v>PEEK PROMET D.O.O., SPREČKA 8, 10000 ZAGREB, OIB: 79421023865</v>
      </c>
      <c r="H2537" s="4"/>
      <c r="I2537" s="1" t="s">
        <v>642</v>
      </c>
      <c r="J2537" s="1" t="s">
        <v>380</v>
      </c>
      <c r="K2537" s="6" t="str">
        <f>"1.495,00"</f>
        <v>1.495,00</v>
      </c>
      <c r="L2537" s="6" t="str">
        <f>"373,75"</f>
        <v>373,75</v>
      </c>
      <c r="M2537" s="6" t="str">
        <f>"1.868,75"</f>
        <v>1.868,75</v>
      </c>
      <c r="N2537" s="5">
        <v>43614</v>
      </c>
      <c r="O2537" s="7"/>
      <c r="P2537" s="6" t="str">
        <f>"1.868,75"</f>
        <v>1.868,75</v>
      </c>
      <c r="Q2537" s="7"/>
      <c r="R2537" s="1"/>
      <c r="S2537" s="1" t="str">
        <f>"7-19/NOS-103-A/18"</f>
        <v>7-19/NOS-103-A/18</v>
      </c>
      <c r="T2537" s="2" t="s">
        <v>33</v>
      </c>
    </row>
    <row r="2538" spans="1:20" ht="51" x14ac:dyDescent="0.25">
      <c r="A2538" s="1">
        <v>2534</v>
      </c>
      <c r="B2538" s="1" t="str">
        <f t="shared" si="254"/>
        <v>2018-2779</v>
      </c>
      <c r="C2538" s="2" t="s">
        <v>1257</v>
      </c>
      <c r="D2538" s="1" t="s">
        <v>1258</v>
      </c>
      <c r="E2538" s="3" t="str">
        <f>""</f>
        <v/>
      </c>
      <c r="F2538" s="2" t="s">
        <v>27</v>
      </c>
      <c r="G2538" s="2" t="str">
        <f t="shared" si="255"/>
        <v>PEEK PROMET D.O.O., SPREČKA 8, 10000 ZAGREB, OIB: 79421023865</v>
      </c>
      <c r="H2538" s="4"/>
      <c r="I2538" s="1" t="s">
        <v>642</v>
      </c>
      <c r="J2538" s="1" t="s">
        <v>380</v>
      </c>
      <c r="K2538" s="6" t="str">
        <f>"24.595,00"</f>
        <v>24.595,00</v>
      </c>
      <c r="L2538" s="6" t="str">
        <f>"6.148,75"</f>
        <v>6.148,75</v>
      </c>
      <c r="M2538" s="6" t="str">
        <f>"30.743,75"</f>
        <v>30.743,75</v>
      </c>
      <c r="N2538" s="5">
        <v>43614</v>
      </c>
      <c r="O2538" s="7"/>
      <c r="P2538" s="6" t="str">
        <f>"30.743,75"</f>
        <v>30.743,75</v>
      </c>
      <c r="Q2538" s="7"/>
      <c r="R2538" s="1"/>
      <c r="S2538" s="1" t="str">
        <f>"8-19/NOS-103-A/18"</f>
        <v>8-19/NOS-103-A/18</v>
      </c>
      <c r="T2538" s="2" t="s">
        <v>33</v>
      </c>
    </row>
    <row r="2539" spans="1:20" ht="51" x14ac:dyDescent="0.25">
      <c r="A2539" s="1">
        <v>2535</v>
      </c>
      <c r="B2539" s="1" t="str">
        <f t="shared" si="254"/>
        <v>2018-2779</v>
      </c>
      <c r="C2539" s="2" t="s">
        <v>1257</v>
      </c>
      <c r="D2539" s="1" t="s">
        <v>1258</v>
      </c>
      <c r="E2539" s="3" t="str">
        <f>""</f>
        <v/>
      </c>
      <c r="F2539" s="2" t="s">
        <v>27</v>
      </c>
      <c r="G2539" s="2" t="str">
        <f t="shared" si="255"/>
        <v>PEEK PROMET D.O.O., SPREČKA 8, 10000 ZAGREB, OIB: 79421023865</v>
      </c>
      <c r="H2539" s="4"/>
      <c r="I2539" s="1" t="s">
        <v>642</v>
      </c>
      <c r="J2539" s="1" t="s">
        <v>380</v>
      </c>
      <c r="K2539" s="6" t="str">
        <f>"1.495,00"</f>
        <v>1.495,00</v>
      </c>
      <c r="L2539" s="6" t="str">
        <f>"373,75"</f>
        <v>373,75</v>
      </c>
      <c r="M2539" s="6" t="str">
        <f>"1.868,75"</f>
        <v>1.868,75</v>
      </c>
      <c r="N2539" s="5">
        <v>43614</v>
      </c>
      <c r="O2539" s="7"/>
      <c r="P2539" s="6" t="str">
        <f>"1.868,75"</f>
        <v>1.868,75</v>
      </c>
      <c r="Q2539" s="7"/>
      <c r="R2539" s="1"/>
      <c r="S2539" s="1" t="str">
        <f>"9-19/NOS-103-A/18"</f>
        <v>9-19/NOS-103-A/18</v>
      </c>
      <c r="T2539" s="2" t="s">
        <v>33</v>
      </c>
    </row>
    <row r="2540" spans="1:20" ht="51" x14ac:dyDescent="0.25">
      <c r="A2540" s="1">
        <v>2536</v>
      </c>
      <c r="B2540" s="1" t="str">
        <f t="shared" si="254"/>
        <v>2018-2779</v>
      </c>
      <c r="C2540" s="2" t="s">
        <v>1257</v>
      </c>
      <c r="D2540" s="1" t="s">
        <v>1258</v>
      </c>
      <c r="E2540" s="3" t="str">
        <f>"2018/S 0F2-0021794"</f>
        <v>2018/S 0F2-0021794</v>
      </c>
      <c r="F2540" s="2" t="s">
        <v>23</v>
      </c>
      <c r="G2540" s="2" t="str">
        <f>CONCATENATE("SEMAFOR D.O.O.,"," ANTE TOPIĆ MIMARE 24,"," 10000 ZAGREB,"," OIB: 57464039766")</f>
        <v>SEMAFOR D.O.O., ANTE TOPIĆ MIMARE 24, 10000 ZAGREB, OIB: 57464039766</v>
      </c>
      <c r="H2540" s="4"/>
      <c r="I2540" s="1" t="s">
        <v>264</v>
      </c>
      <c r="J2540" s="1" t="s">
        <v>1259</v>
      </c>
      <c r="K2540" s="6" t="str">
        <f>"270.000,00"</f>
        <v>270.000,00</v>
      </c>
      <c r="L2540" s="6" t="str">
        <f>"67.500,00"</f>
        <v>67.500,00</v>
      </c>
      <c r="M2540" s="6" t="str">
        <f>"337.500,00"</f>
        <v>337.500,00</v>
      </c>
      <c r="N2540" s="7"/>
      <c r="O2540" s="7"/>
      <c r="P2540" s="6" t="str">
        <f>""</f>
        <v/>
      </c>
      <c r="Q2540" s="7"/>
      <c r="R2540" s="1"/>
      <c r="S2540" s="1" t="str">
        <f>"NOS-103-B/18"</f>
        <v>NOS-103-B/18</v>
      </c>
      <c r="T2540" s="2" t="s">
        <v>33</v>
      </c>
    </row>
    <row r="2541" spans="1:20" ht="51" x14ac:dyDescent="0.25">
      <c r="A2541" s="1">
        <v>2537</v>
      </c>
      <c r="B2541" s="1" t="str">
        <f t="shared" si="254"/>
        <v>2018-2779</v>
      </c>
      <c r="C2541" s="2" t="s">
        <v>1257</v>
      </c>
      <c r="D2541" s="1" t="s">
        <v>1258</v>
      </c>
      <c r="E2541" s="3" t="str">
        <f>"2018/S 0F2-0021794"</f>
        <v>2018/S 0F2-0021794</v>
      </c>
      <c r="F2541" s="2" t="s">
        <v>23</v>
      </c>
      <c r="G2541" s="2" t="str">
        <f>CONCATENATE("FANOS D.O.O.,"," KRANJČEVIĆEVA 48,"," 10000 ZAGREB,"," OIB: 68945711747")</f>
        <v>FANOS D.O.O., KRANJČEVIĆEVA 48, 10000 ZAGREB, OIB: 68945711747</v>
      </c>
      <c r="H2541" s="4"/>
      <c r="I2541" s="1" t="s">
        <v>264</v>
      </c>
      <c r="J2541" s="1" t="s">
        <v>1259</v>
      </c>
      <c r="K2541" s="6" t="str">
        <f>"700.000,00"</f>
        <v>700.000,00</v>
      </c>
      <c r="L2541" s="6" t="str">
        <f>"175.000,00"</f>
        <v>175.000,00</v>
      </c>
      <c r="M2541" s="6" t="str">
        <f>"875.000,00"</f>
        <v>875.000,00</v>
      </c>
      <c r="N2541" s="7"/>
      <c r="O2541" s="7"/>
      <c r="P2541" s="6" t="str">
        <f>""</f>
        <v/>
      </c>
      <c r="Q2541" s="7"/>
      <c r="R2541" s="1"/>
      <c r="S2541" s="1" t="str">
        <f>"NOS-103-D/18"</f>
        <v>NOS-103-D/18</v>
      </c>
      <c r="T2541" s="2" t="s">
        <v>33</v>
      </c>
    </row>
    <row r="2542" spans="1:20" ht="51" x14ac:dyDescent="0.25">
      <c r="A2542" s="1">
        <v>2538</v>
      </c>
      <c r="B2542" s="1" t="str">
        <f t="shared" si="254"/>
        <v>2018-2779</v>
      </c>
      <c r="C2542" s="2" t="s">
        <v>1257</v>
      </c>
      <c r="D2542" s="1" t="s">
        <v>1258</v>
      </c>
      <c r="E2542" s="3" t="str">
        <f>""</f>
        <v/>
      </c>
      <c r="F2542" s="2" t="s">
        <v>27</v>
      </c>
      <c r="G2542" s="2" t="str">
        <f>CONCATENATE("FANOS D.O.O.,"," KRANJČEVIĆEVA 48,"," 10000 ZAGREB,"," OIB: 68945711747")</f>
        <v>FANOS D.O.O., KRANJČEVIĆEVA 48, 10000 ZAGREB, OIB: 68945711747</v>
      </c>
      <c r="H2542" s="4"/>
      <c r="I2542" s="1" t="s">
        <v>317</v>
      </c>
      <c r="J2542" s="1" t="s">
        <v>436</v>
      </c>
      <c r="K2542" s="6" t="str">
        <f>"74.400,00"</f>
        <v>74.400,00</v>
      </c>
      <c r="L2542" s="6" t="str">
        <f>"18.600,00"</f>
        <v>18.600,00</v>
      </c>
      <c r="M2542" s="6" t="str">
        <f>"93.000,00"</f>
        <v>93.000,00</v>
      </c>
      <c r="N2542" s="5">
        <v>43612</v>
      </c>
      <c r="O2542" s="7"/>
      <c r="P2542" s="6" t="str">
        <f>"93.000,00"</f>
        <v>93.000,00</v>
      </c>
      <c r="Q2542" s="7"/>
      <c r="R2542" s="1"/>
      <c r="S2542" s="1" t="str">
        <f>"1-19/NOS-103-D/18"</f>
        <v>1-19/NOS-103-D/18</v>
      </c>
      <c r="T2542" s="2" t="s">
        <v>33</v>
      </c>
    </row>
    <row r="2543" spans="1:20" ht="51" x14ac:dyDescent="0.25">
      <c r="A2543" s="1">
        <v>2539</v>
      </c>
      <c r="B2543" s="1" t="str">
        <f t="shared" si="254"/>
        <v>2018-2779</v>
      </c>
      <c r="C2543" s="2" t="s">
        <v>1257</v>
      </c>
      <c r="D2543" s="1" t="s">
        <v>1258</v>
      </c>
      <c r="E2543" s="3" t="str">
        <f>"2018/S 0F2-0021794"</f>
        <v>2018/S 0F2-0021794</v>
      </c>
      <c r="F2543" s="2" t="s">
        <v>23</v>
      </c>
      <c r="G2543" s="2" t="str">
        <f>CONCATENATE("TRAF SIGNAL D.O.O.,"," POHORSKA 20,"," 10090 ZAGREB,"," OIB: 15702256936")</f>
        <v>TRAF SIGNAL D.O.O., POHORSKA 20, 10090 ZAGREB, OIB: 15702256936</v>
      </c>
      <c r="H2543" s="4"/>
      <c r="I2543" s="1" t="s">
        <v>264</v>
      </c>
      <c r="J2543" s="1" t="s">
        <v>1259</v>
      </c>
      <c r="K2543" s="6" t="str">
        <f>"200.000,00"</f>
        <v>200.000,00</v>
      </c>
      <c r="L2543" s="6" t="str">
        <f>"50.000,00"</f>
        <v>50.000,00</v>
      </c>
      <c r="M2543" s="6" t="str">
        <f>"250.000,00"</f>
        <v>250.000,00</v>
      </c>
      <c r="N2543" s="7"/>
      <c r="O2543" s="7"/>
      <c r="P2543" s="6" t="str">
        <f>""</f>
        <v/>
      </c>
      <c r="Q2543" s="7"/>
      <c r="R2543" s="1"/>
      <c r="S2543" s="1" t="str">
        <f>"NOS-103-E/18"</f>
        <v>NOS-103-E/18</v>
      </c>
      <c r="T2543" s="2" t="s">
        <v>33</v>
      </c>
    </row>
    <row r="2544" spans="1:20" ht="38.25" x14ac:dyDescent="0.25">
      <c r="A2544" s="1">
        <v>2540</v>
      </c>
      <c r="B2544" s="1" t="str">
        <f t="shared" ref="B2544:B2549" si="256">"2018-2826"</f>
        <v>2018-2826</v>
      </c>
      <c r="C2544" s="2" t="s">
        <v>122</v>
      </c>
      <c r="D2544" s="1" t="s">
        <v>123</v>
      </c>
      <c r="E2544" s="3" t="str">
        <f>"2018/S 0F2-0030605"</f>
        <v>2018/S 0F2-0030605</v>
      </c>
      <c r="F2544" s="2" t="s">
        <v>23</v>
      </c>
      <c r="G2544" s="2" t="str">
        <f>CONCATENATE("C.I.A.K. D.O.O.,"," OIB: 47428597158",CHAR(10),"OMGRA D. O. O.,"," VEČJA 34,"," 51513 OMIŠALJ,"," OIB: 70740864246")</f>
        <v>C.I.A.K. D.O.O., OIB: 47428597158
OMGRA D. O. O., VEČJA 34, 51513 OMIŠALJ, OIB: 70740864246</v>
      </c>
      <c r="H2544" s="4"/>
      <c r="I2544" s="1" t="s">
        <v>479</v>
      </c>
      <c r="J2544" s="1" t="s">
        <v>1260</v>
      </c>
      <c r="K2544" s="6" t="str">
        <f>"420.000,00"</f>
        <v>420.000,00</v>
      </c>
      <c r="L2544" s="6" t="str">
        <f>"105.000,00"</f>
        <v>105.000,00</v>
      </c>
      <c r="M2544" s="6" t="str">
        <f>"525.000,00"</f>
        <v>525.000,00</v>
      </c>
      <c r="N2544" s="7"/>
      <c r="O2544" s="7"/>
      <c r="P2544" s="6" t="str">
        <f>""</f>
        <v/>
      </c>
      <c r="Q2544" s="7"/>
      <c r="R2544" s="1"/>
      <c r="S2544" s="1" t="str">
        <f>"NOS-104/18"</f>
        <v>NOS-104/18</v>
      </c>
      <c r="T2544" s="2" t="s">
        <v>26</v>
      </c>
    </row>
    <row r="2545" spans="1:20" ht="25.5" x14ac:dyDescent="0.25">
      <c r="A2545" s="1">
        <v>2541</v>
      </c>
      <c r="B2545" s="1" t="str">
        <f t="shared" si="256"/>
        <v>2018-2826</v>
      </c>
      <c r="C2545" s="2" t="s">
        <v>122</v>
      </c>
      <c r="D2545" s="1" t="s">
        <v>123</v>
      </c>
      <c r="E2545" s="3" t="str">
        <f>""</f>
        <v/>
      </c>
      <c r="F2545" s="2" t="s">
        <v>27</v>
      </c>
      <c r="G2545" s="2" t="str">
        <f>CONCATENATE("OMGRA D. O. O.,"," VEČJA 34,"," 51513 OMIŠALJ,"," OIB: 70740864246")</f>
        <v>OMGRA D. O. O., VEČJA 34, 51513 OMIŠALJ, OIB: 70740864246</v>
      </c>
      <c r="H2545" s="4"/>
      <c r="I2545" s="1" t="s">
        <v>640</v>
      </c>
      <c r="J2545" s="1" t="s">
        <v>516</v>
      </c>
      <c r="K2545" s="6" t="str">
        <f>"101.380,00"</f>
        <v>101.380,00</v>
      </c>
      <c r="L2545" s="6" t="str">
        <f>"25.345,00"</f>
        <v>25.345,00</v>
      </c>
      <c r="M2545" s="6" t="str">
        <f>"126.725,00"</f>
        <v>126.725,00</v>
      </c>
      <c r="N2545" s="5">
        <v>43719</v>
      </c>
      <c r="O2545" s="7"/>
      <c r="P2545" s="6" t="str">
        <f>"27.750,00"</f>
        <v>27.750,00</v>
      </c>
      <c r="Q2545" s="7"/>
      <c r="R2545" s="1"/>
      <c r="S2545" s="1" t="str">
        <f>"7-19/NOS-104/18"</f>
        <v>7-19/NOS-104/18</v>
      </c>
      <c r="T2545" s="2" t="s">
        <v>33</v>
      </c>
    </row>
    <row r="2546" spans="1:20" ht="25.5" x14ac:dyDescent="0.25">
      <c r="A2546" s="1">
        <v>2542</v>
      </c>
      <c r="B2546" s="1" t="str">
        <f t="shared" si="256"/>
        <v>2018-2826</v>
      </c>
      <c r="C2546" s="2" t="s">
        <v>122</v>
      </c>
      <c r="D2546" s="1" t="s">
        <v>123</v>
      </c>
      <c r="E2546" s="3" t="str">
        <f>""</f>
        <v/>
      </c>
      <c r="F2546" s="2" t="s">
        <v>27</v>
      </c>
      <c r="G2546" s="2" t="str">
        <f>CONCATENATE("C.I.A.K. D.O.O.,"," OIB: 47428597158")</f>
        <v>C.I.A.K. D.O.O., OIB: 47428597158</v>
      </c>
      <c r="H2546" s="4"/>
      <c r="I2546" s="1" t="s">
        <v>332</v>
      </c>
      <c r="J2546" s="1" t="s">
        <v>492</v>
      </c>
      <c r="K2546" s="6" t="str">
        <f>"3.900,00"</f>
        <v>3.900,00</v>
      </c>
      <c r="L2546" s="6" t="str">
        <f>"975,00"</f>
        <v>975,00</v>
      </c>
      <c r="M2546" s="6" t="str">
        <f>"4.875,00"</f>
        <v>4.875,00</v>
      </c>
      <c r="N2546" s="5">
        <v>43578</v>
      </c>
      <c r="O2546" s="7"/>
      <c r="P2546" s="6" t="str">
        <f>"4.875,00"</f>
        <v>4.875,00</v>
      </c>
      <c r="Q2546" s="7"/>
      <c r="R2546" s="1"/>
      <c r="S2546" s="1" t="str">
        <f>"1-19/NOS-104/18"</f>
        <v>1-19/NOS-104/18</v>
      </c>
      <c r="T2546" s="2" t="s">
        <v>33</v>
      </c>
    </row>
    <row r="2547" spans="1:20" ht="25.5" x14ac:dyDescent="0.25">
      <c r="A2547" s="1">
        <v>2543</v>
      </c>
      <c r="B2547" s="1" t="str">
        <f t="shared" si="256"/>
        <v>2018-2826</v>
      </c>
      <c r="C2547" s="2" t="s">
        <v>122</v>
      </c>
      <c r="D2547" s="1" t="s">
        <v>123</v>
      </c>
      <c r="E2547" s="3" t="str">
        <f>""</f>
        <v/>
      </c>
      <c r="F2547" s="2" t="s">
        <v>27</v>
      </c>
      <c r="G2547" s="2" t="str">
        <f>CONCATENATE("OMGRA D. O. O.,"," VEČJA 34,"," 51513 OMIŠALJ,"," OIB: 70740864246")</f>
        <v>OMGRA D. O. O., VEČJA 34, 51513 OMIŠALJ, OIB: 70740864246</v>
      </c>
      <c r="H2547" s="4"/>
      <c r="I2547" s="1" t="s">
        <v>32</v>
      </c>
      <c r="J2547" s="1" t="s">
        <v>492</v>
      </c>
      <c r="K2547" s="6" t="str">
        <f>"2.944,00"</f>
        <v>2.944,00</v>
      </c>
      <c r="L2547" s="6" t="str">
        <f>"736,00"</f>
        <v>736,00</v>
      </c>
      <c r="M2547" s="6" t="str">
        <f>"3.680,00"</f>
        <v>3.680,00</v>
      </c>
      <c r="N2547" s="5">
        <v>43614</v>
      </c>
      <c r="O2547" s="7"/>
      <c r="P2547" s="6" t="str">
        <f>"3.680,00"</f>
        <v>3.680,00</v>
      </c>
      <c r="Q2547" s="7"/>
      <c r="R2547" s="1"/>
      <c r="S2547" s="1" t="str">
        <f>"2-19/NOS-104/18"</f>
        <v>2-19/NOS-104/18</v>
      </c>
      <c r="T2547" s="2" t="s">
        <v>33</v>
      </c>
    </row>
    <row r="2548" spans="1:20" ht="25.5" x14ac:dyDescent="0.25">
      <c r="A2548" s="1">
        <v>2544</v>
      </c>
      <c r="B2548" s="1" t="str">
        <f t="shared" si="256"/>
        <v>2018-2826</v>
      </c>
      <c r="C2548" s="2" t="s">
        <v>122</v>
      </c>
      <c r="D2548" s="1" t="s">
        <v>123</v>
      </c>
      <c r="E2548" s="3" t="str">
        <f>""</f>
        <v/>
      </c>
      <c r="F2548" s="2" t="s">
        <v>27</v>
      </c>
      <c r="G2548" s="2" t="str">
        <f>CONCATENATE("OMGRA D. O. O.,"," VEČJA 34,"," 51513 OMIŠALJ,"," OIB: 70740864246")</f>
        <v>OMGRA D. O. O., VEČJA 34, 51513 OMIŠALJ, OIB: 70740864246</v>
      </c>
      <c r="H2548" s="4"/>
      <c r="I2548" s="1" t="s">
        <v>320</v>
      </c>
      <c r="J2548" s="1" t="s">
        <v>492</v>
      </c>
      <c r="K2548" s="6" t="str">
        <f>"925,00"</f>
        <v>925,00</v>
      </c>
      <c r="L2548" s="6" t="str">
        <f>"231,25"</f>
        <v>231,25</v>
      </c>
      <c r="M2548" s="6" t="str">
        <f>"1.156,25"</f>
        <v>1.156,25</v>
      </c>
      <c r="N2548" s="5">
        <v>43629</v>
      </c>
      <c r="O2548" s="7"/>
      <c r="P2548" s="6" t="str">
        <f>"1.156,25"</f>
        <v>1.156,25</v>
      </c>
      <c r="Q2548" s="7"/>
      <c r="R2548" s="1"/>
      <c r="S2548" s="1" t="str">
        <f>"3-19/NOS-104/18"</f>
        <v>3-19/NOS-104/18</v>
      </c>
      <c r="T2548" s="2" t="s">
        <v>33</v>
      </c>
    </row>
    <row r="2549" spans="1:20" ht="25.5" x14ac:dyDescent="0.25">
      <c r="A2549" s="1">
        <v>2545</v>
      </c>
      <c r="B2549" s="1" t="str">
        <f t="shared" si="256"/>
        <v>2018-2826</v>
      </c>
      <c r="C2549" s="2" t="s">
        <v>122</v>
      </c>
      <c r="D2549" s="1" t="s">
        <v>123</v>
      </c>
      <c r="E2549" s="3" t="str">
        <f>""</f>
        <v/>
      </c>
      <c r="F2549" s="2" t="s">
        <v>27</v>
      </c>
      <c r="G2549" s="2" t="str">
        <f>CONCATENATE("OMGRA D. O. O.,"," VEČJA 34,"," 51513 OMIŠALJ,"," OIB: 70740864246")</f>
        <v>OMGRA D. O. O., VEČJA 34, 51513 OMIŠALJ, OIB: 70740864246</v>
      </c>
      <c r="H2549" s="4"/>
      <c r="I2549" s="1" t="s">
        <v>424</v>
      </c>
      <c r="J2549" s="1" t="s">
        <v>114</v>
      </c>
      <c r="K2549" s="6" t="str">
        <f>"7.400,00"</f>
        <v>7.400,00</v>
      </c>
      <c r="L2549" s="6" t="str">
        <f>"1.850,00"</f>
        <v>1.850,00</v>
      </c>
      <c r="M2549" s="6" t="str">
        <f>"9.250,00"</f>
        <v>9.250,00</v>
      </c>
      <c r="N2549" s="5">
        <v>43651</v>
      </c>
      <c r="O2549" s="7"/>
      <c r="P2549" s="6" t="str">
        <f>"9.250,00"</f>
        <v>9.250,00</v>
      </c>
      <c r="Q2549" s="7"/>
      <c r="R2549" s="1"/>
      <c r="S2549" s="1" t="str">
        <f>"5-19/NOS-104/18"</f>
        <v>5-19/NOS-104/18</v>
      </c>
      <c r="T2549" s="2" t="s">
        <v>33</v>
      </c>
    </row>
    <row r="2550" spans="1:20" ht="89.25" x14ac:dyDescent="0.25">
      <c r="A2550" s="1">
        <v>2546</v>
      </c>
      <c r="B2550" s="1" t="str">
        <f>"2018-3075"</f>
        <v>2018-3075</v>
      </c>
      <c r="C2550" s="2" t="s">
        <v>287</v>
      </c>
      <c r="D2550" s="1" t="s">
        <v>288</v>
      </c>
      <c r="E2550" s="3" t="str">
        <f>"2018/S 0F2-0031325"</f>
        <v>2018/S 0F2-0031325</v>
      </c>
      <c r="F2550" s="2" t="s">
        <v>23</v>
      </c>
      <c r="G2550" s="2" t="str">
        <f>CONCATENATE("SMIT-COMMERCE D.O.O.,"," GORNJOSTUPNIČKA 9B,"," 10255 GORNJI STUPNIK,"," OIB: 95243482140",CHAR(10),"VODOSKOK D.D.,"," ČULINEČKA CESTA 221/C,"," 10040 ZAGREB,"," OIB: 34134218058",CHAR(10),"CONFESTIM D.O.O.,"," FRANJE WOLFA 4,"," 10000 ZAGREB,"," OIB: 08953264659")</f>
        <v>SMIT-COMMERCE D.O.O., GORNJOSTUPNIČKA 9B, 10255 GORNJI STUPNIK, OIB: 95243482140
VODOSKOK D.D., ČULINEČKA CESTA 221/C, 10040 ZAGREB, OIB: 34134218058
CONFESTIM D.O.O., FRANJE WOLFA 4, 10000 ZAGREB, OIB: 08953264659</v>
      </c>
      <c r="H2550" s="4"/>
      <c r="I2550" s="1" t="s">
        <v>264</v>
      </c>
      <c r="J2550" s="1" t="s">
        <v>1259</v>
      </c>
      <c r="K2550" s="6" t="str">
        <f>"3.000.000,00"</f>
        <v>3.000.000,00</v>
      </c>
      <c r="L2550" s="6" t="str">
        <f>"750.000,00"</f>
        <v>750.000,00</v>
      </c>
      <c r="M2550" s="6" t="str">
        <f>"3.750.000,00"</f>
        <v>3.750.000,00</v>
      </c>
      <c r="N2550" s="7"/>
      <c r="O2550" s="7"/>
      <c r="P2550" s="6" t="str">
        <f>""</f>
        <v/>
      </c>
      <c r="Q2550" s="7"/>
      <c r="R2550" s="1"/>
      <c r="S2550" s="1" t="str">
        <f>"NOS-105/18"</f>
        <v>NOS-105/18</v>
      </c>
      <c r="T2550" s="2" t="s">
        <v>33</v>
      </c>
    </row>
    <row r="2551" spans="1:20" ht="38.25" x14ac:dyDescent="0.25">
      <c r="A2551" s="1">
        <v>2547</v>
      </c>
      <c r="B2551" s="1" t="str">
        <f>"2018-3075"</f>
        <v>2018-3075</v>
      </c>
      <c r="C2551" s="2" t="s">
        <v>287</v>
      </c>
      <c r="D2551" s="1" t="s">
        <v>288</v>
      </c>
      <c r="E2551" s="3" t="str">
        <f>""</f>
        <v/>
      </c>
      <c r="F2551" s="2" t="s">
        <v>27</v>
      </c>
      <c r="G2551" s="2" t="str">
        <f>CONCATENATE("SMIT-COMMERCE D.O.O.,"," GORNJOSTUPNIČKA 9B,"," 10255 GORNJI STUPNIK,"," OIB: 9524348214")</f>
        <v>SMIT-COMMERCE D.O.O., GORNJOSTUPNIČKA 9B, 10255 GORNJI STUPNIK, OIB: 9524348214</v>
      </c>
      <c r="H2551" s="4"/>
      <c r="I2551" s="1" t="s">
        <v>329</v>
      </c>
      <c r="J2551" s="1" t="s">
        <v>303</v>
      </c>
      <c r="K2551" s="6" t="str">
        <f>"127.710,00"</f>
        <v>127.710,00</v>
      </c>
      <c r="L2551" s="6" t="str">
        <f>"31.927,50"</f>
        <v>31.927,50</v>
      </c>
      <c r="M2551" s="6" t="str">
        <f>"159.637,50"</f>
        <v>159.637,50</v>
      </c>
      <c r="N2551" s="5">
        <v>43671</v>
      </c>
      <c r="O2551" s="7"/>
      <c r="P2551" s="6" t="str">
        <f>"159.637,50"</f>
        <v>159.637,50</v>
      </c>
      <c r="Q2551" s="7"/>
      <c r="R2551" s="1"/>
      <c r="S2551" s="1" t="str">
        <f>"1-19/NOS-105/18"</f>
        <v>1-19/NOS-105/18</v>
      </c>
      <c r="T2551" s="2" t="s">
        <v>33</v>
      </c>
    </row>
    <row r="2552" spans="1:20" ht="25.5" x14ac:dyDescent="0.25">
      <c r="A2552" s="1">
        <v>2548</v>
      </c>
      <c r="B2552" s="1" t="str">
        <f>"2018-3075"</f>
        <v>2018-3075</v>
      </c>
      <c r="C2552" s="2" t="s">
        <v>287</v>
      </c>
      <c r="D2552" s="1" t="s">
        <v>288</v>
      </c>
      <c r="E2552" s="3" t="str">
        <f>""</f>
        <v/>
      </c>
      <c r="F2552" s="2" t="s">
        <v>27</v>
      </c>
      <c r="G2552" s="2" t="str">
        <f>CONCATENATE("CONFESTIM D.O.O.,"," FRANJE WOLFA 4,"," 10000 ZAGREB,"," OIB: 08953264659")</f>
        <v>CONFESTIM D.O.O., FRANJE WOLFA 4, 10000 ZAGREB, OIB: 08953264659</v>
      </c>
      <c r="H2552" s="4"/>
      <c r="I2552" s="1" t="s">
        <v>64</v>
      </c>
      <c r="J2552" s="1" t="s">
        <v>251</v>
      </c>
      <c r="K2552" s="6" t="str">
        <f>"63.070,00"</f>
        <v>63.070,00</v>
      </c>
      <c r="L2552" s="6" t="str">
        <f>"15.767,50"</f>
        <v>15.767,50</v>
      </c>
      <c r="M2552" s="6" t="str">
        <f>"78.837,50"</f>
        <v>78.837,50</v>
      </c>
      <c r="N2552" s="5">
        <v>43588</v>
      </c>
      <c r="O2552" s="7"/>
      <c r="P2552" s="6" t="str">
        <f>"78.837,50"</f>
        <v>78.837,50</v>
      </c>
      <c r="Q2552" s="7"/>
      <c r="R2552" s="1"/>
      <c r="S2552" s="1" t="str">
        <f>"2-19/NOS-105/18"</f>
        <v>2-19/NOS-105/18</v>
      </c>
      <c r="T2552" s="2" t="s">
        <v>33</v>
      </c>
    </row>
    <row r="2553" spans="1:20" ht="25.5" x14ac:dyDescent="0.25">
      <c r="A2553" s="1">
        <v>2549</v>
      </c>
      <c r="B2553" s="1" t="str">
        <f>"2018-3075"</f>
        <v>2018-3075</v>
      </c>
      <c r="C2553" s="2" t="s">
        <v>287</v>
      </c>
      <c r="D2553" s="1" t="s">
        <v>288</v>
      </c>
      <c r="E2553" s="3" t="str">
        <f>""</f>
        <v/>
      </c>
      <c r="F2553" s="2" t="s">
        <v>27</v>
      </c>
      <c r="G2553" s="2" t="str">
        <f>CONCATENATE("CONFESTIM D.O.O.,"," FRANJE WOLFA 4,"," 10000 ZAGREB,"," OIB: 08953264659")</f>
        <v>CONFESTIM D.O.O., FRANJE WOLFA 4, 10000 ZAGREB, OIB: 08953264659</v>
      </c>
      <c r="H2553" s="4"/>
      <c r="I2553" s="1" t="s">
        <v>642</v>
      </c>
      <c r="J2553" s="1" t="s">
        <v>303</v>
      </c>
      <c r="K2553" s="6" t="str">
        <f>"174.700,00"</f>
        <v>174.700,00</v>
      </c>
      <c r="L2553" s="6" t="str">
        <f>"43.614,85"</f>
        <v>43.614,85</v>
      </c>
      <c r="M2553" s="6" t="str">
        <f>"218.074,25"</f>
        <v>218.074,25</v>
      </c>
      <c r="N2553" s="5">
        <v>43622</v>
      </c>
      <c r="O2553" s="7"/>
      <c r="P2553" s="6" t="str">
        <f>"218.074,25"</f>
        <v>218.074,25</v>
      </c>
      <c r="Q2553" s="7"/>
      <c r="R2553" s="1"/>
      <c r="S2553" s="1" t="str">
        <f>"3-19/NOS-105/18"</f>
        <v>3-19/NOS-105/18</v>
      </c>
      <c r="T2553" s="2" t="s">
        <v>33</v>
      </c>
    </row>
    <row r="2554" spans="1:20" ht="38.25" x14ac:dyDescent="0.25">
      <c r="A2554" s="1">
        <v>2550</v>
      </c>
      <c r="B2554" s="1" t="str">
        <f>"2018-2923"</f>
        <v>2018-2923</v>
      </c>
      <c r="C2554" s="2" t="s">
        <v>1261</v>
      </c>
      <c r="D2554" s="1" t="s">
        <v>625</v>
      </c>
      <c r="E2554" s="3" t="str">
        <f>"2018/S 0F2-0020048"</f>
        <v>2018/S 0F2-0020048</v>
      </c>
      <c r="F2554" s="2" t="s">
        <v>23</v>
      </c>
      <c r="G2554" s="2" t="str">
        <f>CONCATENATE("NASTAVNI ZAVOD ZA JAVNO ZDRAVSTVO DR. ANDRIJA ŠTAMPAR,"," MIROGOJSKA CESTA 16,"," 10000 ZAGREB,"," OIB: 3339200596")</f>
        <v>NASTAVNI ZAVOD ZA JAVNO ZDRAVSTVO DR. ANDRIJA ŠTAMPAR, MIROGOJSKA CESTA 16, 10000 ZAGREB, OIB: 3339200596</v>
      </c>
      <c r="H2554" s="4"/>
      <c r="I2554" s="1" t="s">
        <v>461</v>
      </c>
      <c r="J2554" s="1" t="s">
        <v>1262</v>
      </c>
      <c r="K2554" s="6" t="str">
        <f>"500.000,00"</f>
        <v>500.000,00</v>
      </c>
      <c r="L2554" s="6" t="str">
        <f>"125.000,00"</f>
        <v>125.000,00</v>
      </c>
      <c r="M2554" s="6" t="str">
        <f>"625.000,00"</f>
        <v>625.000,00</v>
      </c>
      <c r="N2554" s="7"/>
      <c r="O2554" s="7"/>
      <c r="P2554" s="6" t="str">
        <f>""</f>
        <v/>
      </c>
      <c r="Q2554" s="7"/>
      <c r="R2554" s="1"/>
      <c r="S2554" s="1" t="str">
        <f>"NOS-106-A/18"</f>
        <v>NOS-106-A/18</v>
      </c>
      <c r="T2554" s="2" t="s">
        <v>33</v>
      </c>
    </row>
    <row r="2555" spans="1:20" ht="38.25" x14ac:dyDescent="0.25">
      <c r="A2555" s="1">
        <v>2551</v>
      </c>
      <c r="B2555" s="1" t="str">
        <f>"2018-2923"</f>
        <v>2018-2923</v>
      </c>
      <c r="C2555" s="2" t="s">
        <v>1261</v>
      </c>
      <c r="D2555" s="4"/>
      <c r="E2555" s="3" t="str">
        <f>""</f>
        <v/>
      </c>
      <c r="F2555" s="2" t="s">
        <v>27</v>
      </c>
      <c r="G2555" s="2" t="str">
        <f>CONCATENATE("NASTAVNI ZAVOD ZA JAVNO ZDRAVSTVO DR. ANDRIJA ŠTAMPAR,"," MIROGOJSKA CESTA 16,"," 10000 ZAGREB,"," OIB: 3339200596")</f>
        <v>NASTAVNI ZAVOD ZA JAVNO ZDRAVSTVO DR. ANDRIJA ŠTAMPAR, MIROGOJSKA CESTA 16, 10000 ZAGREB, OIB: 3339200596</v>
      </c>
      <c r="H2555" s="4"/>
      <c r="I2555" s="1" t="s">
        <v>361</v>
      </c>
      <c r="J2555" s="1" t="s">
        <v>333</v>
      </c>
      <c r="K2555" s="6" t="str">
        <f>"166.704,80"</f>
        <v>166.704,80</v>
      </c>
      <c r="L2555" s="6" t="str">
        <f>"41.676,20"</f>
        <v>41.676,20</v>
      </c>
      <c r="M2555" s="6" t="str">
        <f>"208.381,00"</f>
        <v>208.381,00</v>
      </c>
      <c r="N2555" s="5">
        <v>43685</v>
      </c>
      <c r="O2555" s="7"/>
      <c r="P2555" s="6" t="str">
        <f>"78.021,00"</f>
        <v>78.021,00</v>
      </c>
      <c r="Q2555" s="7"/>
      <c r="R2555" s="1"/>
      <c r="S2555" s="1" t="str">
        <f>"1-19/NOS-106-A/18"</f>
        <v>1-19/NOS-106-A/18</v>
      </c>
      <c r="T2555" s="2" t="s">
        <v>33</v>
      </c>
    </row>
    <row r="2556" spans="1:20" ht="38.25" x14ac:dyDescent="0.25">
      <c r="A2556" s="1">
        <v>2552</v>
      </c>
      <c r="B2556" s="1" t="str">
        <f>"2018-2923"</f>
        <v>2018-2923</v>
      </c>
      <c r="C2556" s="2" t="s">
        <v>1261</v>
      </c>
      <c r="D2556" s="1" t="s">
        <v>625</v>
      </c>
      <c r="E2556" s="3" t="str">
        <f>"2018/S 0F2-0020048"</f>
        <v>2018/S 0F2-0020048</v>
      </c>
      <c r="F2556" s="2" t="s">
        <v>23</v>
      </c>
      <c r="G2556" s="2" t="str">
        <f>CONCATENATE("NASTAVNI ZAVOD ZA JAVNO ZDRAVSTVO DR. ANDRIJA ŠTAMPAR,"," MIROGOJSKA CESTA 16,"," 10000 ZAGREB,"," OIB: 3339200596")</f>
        <v>NASTAVNI ZAVOD ZA JAVNO ZDRAVSTVO DR. ANDRIJA ŠTAMPAR, MIROGOJSKA CESTA 16, 10000 ZAGREB, OIB: 3339200596</v>
      </c>
      <c r="H2556" s="4"/>
      <c r="I2556" s="1" t="s">
        <v>461</v>
      </c>
      <c r="J2556" s="1" t="s">
        <v>1262</v>
      </c>
      <c r="K2556" s="6" t="str">
        <f>"200.000,00"</f>
        <v>200.000,00</v>
      </c>
      <c r="L2556" s="6" t="str">
        <f>"50.000,00"</f>
        <v>50.000,00</v>
      </c>
      <c r="M2556" s="6" t="str">
        <f>"250.000,00"</f>
        <v>250.000,00</v>
      </c>
      <c r="N2556" s="7"/>
      <c r="O2556" s="7"/>
      <c r="P2556" s="6" t="str">
        <f>""</f>
        <v/>
      </c>
      <c r="Q2556" s="7"/>
      <c r="R2556" s="1"/>
      <c r="S2556" s="1" t="str">
        <f>"NOS-106-B/18"</f>
        <v>NOS-106-B/18</v>
      </c>
      <c r="T2556" s="2" t="s">
        <v>33</v>
      </c>
    </row>
    <row r="2557" spans="1:20" ht="38.25" x14ac:dyDescent="0.25">
      <c r="A2557" s="1">
        <v>2553</v>
      </c>
      <c r="B2557" s="1" t="str">
        <f>"2018-2923"</f>
        <v>2018-2923</v>
      </c>
      <c r="C2557" s="2" t="s">
        <v>1261</v>
      </c>
      <c r="D2557" s="4"/>
      <c r="E2557" s="3" t="str">
        <f>""</f>
        <v/>
      </c>
      <c r="F2557" s="2" t="s">
        <v>27</v>
      </c>
      <c r="G2557" s="2" t="str">
        <f>CONCATENATE("NASTAVNI ZAVOD ZA JAVNO ZDRAVSTVO DR. ANDRIJA ŠTAMPAR,"," MIROGOJSKA CESTA 16,"," 10000 ZAGREB,"," OIB: 3339200596")</f>
        <v>NASTAVNI ZAVOD ZA JAVNO ZDRAVSTVO DR. ANDRIJA ŠTAMPAR, MIROGOJSKA CESTA 16, 10000 ZAGREB, OIB: 3339200596</v>
      </c>
      <c r="H2557" s="4"/>
      <c r="I2557" s="1" t="s">
        <v>361</v>
      </c>
      <c r="J2557" s="1" t="s">
        <v>333</v>
      </c>
      <c r="K2557" s="6" t="str">
        <f>"86.265,80"</f>
        <v>86.265,80</v>
      </c>
      <c r="L2557" s="6" t="str">
        <f>"21.566,45"</f>
        <v>21.566,45</v>
      </c>
      <c r="M2557" s="6" t="str">
        <f>"107.832,25"</f>
        <v>107.832,25</v>
      </c>
      <c r="N2557" s="5">
        <v>43685</v>
      </c>
      <c r="O2557" s="7"/>
      <c r="P2557" s="6" t="str">
        <f>"53.753,62"</f>
        <v>53.753,62</v>
      </c>
      <c r="Q2557" s="7"/>
      <c r="R2557" s="1"/>
      <c r="S2557" s="1" t="str">
        <f>"1-19/NOS-106-B/18"</f>
        <v>1-19/NOS-106-B/18</v>
      </c>
      <c r="T2557" s="2" t="s">
        <v>33</v>
      </c>
    </row>
    <row r="2558" spans="1:20" ht="38.25" x14ac:dyDescent="0.25">
      <c r="A2558" s="1">
        <v>2554</v>
      </c>
      <c r="B2558" s="1" t="str">
        <f t="shared" ref="B2558:B2565" si="257">"2018-3079"</f>
        <v>2018-3079</v>
      </c>
      <c r="C2558" s="2" t="s">
        <v>1263</v>
      </c>
      <c r="D2558" s="1" t="s">
        <v>246</v>
      </c>
      <c r="E2558" s="3" t="str">
        <f>"2018/S 0F2-0034295"</f>
        <v>2018/S 0F2-0034295</v>
      </c>
      <c r="F2558" s="2" t="s">
        <v>23</v>
      </c>
      <c r="G2558" s="2" t="str">
        <f>CONCATENATE("USLUGA D.O.O.,"," OIB: 2798710804")</f>
        <v>USLUGA D.O.O., OIB: 2798710804</v>
      </c>
      <c r="H2558" s="4"/>
      <c r="I2558" s="1" t="s">
        <v>394</v>
      </c>
      <c r="J2558" s="1" t="s">
        <v>1264</v>
      </c>
      <c r="K2558" s="6" t="str">
        <f>"7.500.000,00"</f>
        <v>7.500.000,00</v>
      </c>
      <c r="L2558" s="6" t="str">
        <f>"1.875.000,00"</f>
        <v>1.875.000,00</v>
      </c>
      <c r="M2558" s="6" t="str">
        <f>"9.375.000,00"</f>
        <v>9.375.000,00</v>
      </c>
      <c r="N2558" s="7"/>
      <c r="O2558" s="7"/>
      <c r="P2558" s="6" t="str">
        <f>""</f>
        <v/>
      </c>
      <c r="Q2558" s="7"/>
      <c r="R2558" s="1"/>
      <c r="S2558" s="1" t="str">
        <f>"NOS-107-A/18"</f>
        <v>NOS-107-A/18</v>
      </c>
      <c r="T2558" s="2" t="s">
        <v>33</v>
      </c>
    </row>
    <row r="2559" spans="1:20" ht="38.25" x14ac:dyDescent="0.25">
      <c r="A2559" s="1">
        <v>2555</v>
      </c>
      <c r="B2559" s="1" t="str">
        <f t="shared" si="257"/>
        <v>2018-3079</v>
      </c>
      <c r="C2559" s="2" t="s">
        <v>1263</v>
      </c>
      <c r="D2559" s="4"/>
      <c r="E2559" s="3" t="str">
        <f>""</f>
        <v/>
      </c>
      <c r="F2559" s="2" t="s">
        <v>27</v>
      </c>
      <c r="G2559" s="2" t="str">
        <f>CONCATENATE("USLUGA D.O.O.,"," GORNJA OBRIJEŽ 21,"," 34550 PAKRAC,"," OIB: 2798710804")</f>
        <v>USLUGA D.O.O., GORNJA OBRIJEŽ 21, 34550 PAKRAC, OIB: 2798710804</v>
      </c>
      <c r="H2559" s="4"/>
      <c r="I2559" s="1" t="s">
        <v>162</v>
      </c>
      <c r="J2559" s="1" t="s">
        <v>395</v>
      </c>
      <c r="K2559" s="6" t="str">
        <f>"6.778.179,00"</f>
        <v>6.778.179,00</v>
      </c>
      <c r="L2559" s="6" t="str">
        <f>"1.694.544,75"</f>
        <v>1.694.544,75</v>
      </c>
      <c r="M2559" s="6" t="str">
        <f>"8.472.723,75"</f>
        <v>8.472.723,75</v>
      </c>
      <c r="N2559" s="5">
        <v>43714</v>
      </c>
      <c r="O2559" s="7"/>
      <c r="P2559" s="6" t="str">
        <f>"5.682.115,00"</f>
        <v>5.682.115,00</v>
      </c>
      <c r="Q2559" s="7"/>
      <c r="R2559" s="1"/>
      <c r="S2559" s="1" t="str">
        <f>"1-19/NOS-107-A/18"</f>
        <v>1-19/NOS-107-A/18</v>
      </c>
      <c r="T2559" s="2" t="s">
        <v>33</v>
      </c>
    </row>
    <row r="2560" spans="1:20" ht="38.25" x14ac:dyDescent="0.25">
      <c r="A2560" s="1">
        <v>2556</v>
      </c>
      <c r="B2560" s="1" t="str">
        <f t="shared" si="257"/>
        <v>2018-3079</v>
      </c>
      <c r="C2560" s="2" t="s">
        <v>1263</v>
      </c>
      <c r="D2560" s="1" t="s">
        <v>246</v>
      </c>
      <c r="E2560" s="3" t="str">
        <f>""</f>
        <v/>
      </c>
      <c r="F2560" s="2" t="s">
        <v>27</v>
      </c>
      <c r="G2560" s="2" t="str">
        <f>CONCATENATE("USLUGA D.O.O.,"," GORNJA OBRIJEŽ 21,"," 34550 PAKRAC,"," OIB: 2798710804")</f>
        <v>USLUGA D.O.O., GORNJA OBRIJEŽ 21, 34550 PAKRAC, OIB: 2798710804</v>
      </c>
      <c r="H2560" s="4"/>
      <c r="I2560" s="1" t="s">
        <v>355</v>
      </c>
      <c r="J2560" s="1" t="s">
        <v>37</v>
      </c>
      <c r="K2560" s="6" t="str">
        <f>"564.036,00"</f>
        <v>564.036,00</v>
      </c>
      <c r="L2560" s="6" t="str">
        <f>"141.009,00"</f>
        <v>141.009,00</v>
      </c>
      <c r="M2560" s="6" t="str">
        <f>"705.045,00"</f>
        <v>705.045,00</v>
      </c>
      <c r="N2560" s="5">
        <v>43579</v>
      </c>
      <c r="O2560" s="7"/>
      <c r="P2560" s="6" t="str">
        <f>"705.036,25"</f>
        <v>705.036,25</v>
      </c>
      <c r="Q2560" s="7"/>
      <c r="R2560" s="1"/>
      <c r="S2560" s="1" t="str">
        <f>"2-19/NOS-107-A/18"</f>
        <v>2-19/NOS-107-A/18</v>
      </c>
      <c r="T2560" s="2" t="s">
        <v>33</v>
      </c>
    </row>
    <row r="2561" spans="1:20" ht="38.25" x14ac:dyDescent="0.25">
      <c r="A2561" s="1">
        <v>2557</v>
      </c>
      <c r="B2561" s="1" t="str">
        <f t="shared" si="257"/>
        <v>2018-3079</v>
      </c>
      <c r="C2561" s="2" t="s">
        <v>1263</v>
      </c>
      <c r="D2561" s="1" t="s">
        <v>246</v>
      </c>
      <c r="E2561" s="3" t="str">
        <f>"2018/S 0F2-0034295"</f>
        <v>2018/S 0F2-0034295</v>
      </c>
      <c r="F2561" s="2" t="s">
        <v>23</v>
      </c>
      <c r="G2561" s="2" t="str">
        <f>CONCATENATE("DILJEXPORT D.O.O.,"," ZLATKA ŠULENTIĆA 9,"," 10000 ZAGREB,"," OIB: 00089952586")</f>
        <v>DILJEXPORT D.O.O., ZLATKA ŠULENTIĆA 9, 10000 ZAGREB, OIB: 00089952586</v>
      </c>
      <c r="H2561" s="4"/>
      <c r="I2561" s="1" t="s">
        <v>394</v>
      </c>
      <c r="J2561" s="1" t="s">
        <v>1264</v>
      </c>
      <c r="K2561" s="6" t="str">
        <f>"5.000.000,00"</f>
        <v>5.000.000,00</v>
      </c>
      <c r="L2561" s="6" t="str">
        <f>"1.250.000,00"</f>
        <v>1.250.000,00</v>
      </c>
      <c r="M2561" s="6" t="str">
        <f>"6.250.000,00"</f>
        <v>6.250.000,00</v>
      </c>
      <c r="N2561" s="7"/>
      <c r="O2561" s="7"/>
      <c r="P2561" s="6" t="str">
        <f>""</f>
        <v/>
      </c>
      <c r="Q2561" s="7"/>
      <c r="R2561" s="1"/>
      <c r="S2561" s="1" t="str">
        <f>"NOS-107-B/18"</f>
        <v>NOS-107-B/18</v>
      </c>
      <c r="T2561" s="2" t="s">
        <v>33</v>
      </c>
    </row>
    <row r="2562" spans="1:20" ht="38.25" x14ac:dyDescent="0.25">
      <c r="A2562" s="1">
        <v>2558</v>
      </c>
      <c r="B2562" s="1" t="str">
        <f t="shared" si="257"/>
        <v>2018-3079</v>
      </c>
      <c r="C2562" s="2" t="s">
        <v>1263</v>
      </c>
      <c r="D2562" s="1" t="s">
        <v>246</v>
      </c>
      <c r="E2562" s="3" t="str">
        <f>""</f>
        <v/>
      </c>
      <c r="F2562" s="2" t="s">
        <v>27</v>
      </c>
      <c r="G2562" s="2" t="str">
        <f>CONCATENATE("DILJEXPORT D.O.O.,"," ZLATKA ŠULENTIĆA 9,"," 10000 ZAGREB,"," OIB: 00089952586")</f>
        <v>DILJEXPORT D.O.O., ZLATKA ŠULENTIĆA 9, 10000 ZAGREB, OIB: 00089952586</v>
      </c>
      <c r="H2562" s="4"/>
      <c r="I2562" s="1" t="s">
        <v>435</v>
      </c>
      <c r="J2562" s="1" t="s">
        <v>37</v>
      </c>
      <c r="K2562" s="6" t="str">
        <f>"134.045,68"</f>
        <v>134.045,68</v>
      </c>
      <c r="L2562" s="6" t="str">
        <f>"33.511,42"</f>
        <v>33.511,42</v>
      </c>
      <c r="M2562" s="6" t="str">
        <f>"167.557,10"</f>
        <v>167.557,10</v>
      </c>
      <c r="N2562" s="5">
        <v>43617</v>
      </c>
      <c r="O2562" s="7"/>
      <c r="P2562" s="6" t="str">
        <f>"167.557,10"</f>
        <v>167.557,10</v>
      </c>
      <c r="Q2562" s="7"/>
      <c r="R2562" s="1"/>
      <c r="S2562" s="1" t="str">
        <f>"1-19/NOS-107-B/18"</f>
        <v>1-19/NOS-107-B/18</v>
      </c>
      <c r="T2562" s="2" t="s">
        <v>33</v>
      </c>
    </row>
    <row r="2563" spans="1:20" ht="38.25" x14ac:dyDescent="0.25">
      <c r="A2563" s="1">
        <v>2559</v>
      </c>
      <c r="B2563" s="1" t="str">
        <f t="shared" si="257"/>
        <v>2018-3079</v>
      </c>
      <c r="C2563" s="2" t="s">
        <v>1263</v>
      </c>
      <c r="D2563" s="1" t="s">
        <v>246</v>
      </c>
      <c r="E2563" s="3" t="str">
        <f>"2018/S 0F2-0034295"</f>
        <v>2018/S 0F2-0034295</v>
      </c>
      <c r="F2563" s="2" t="s">
        <v>23</v>
      </c>
      <c r="G2563" s="2" t="str">
        <f>CONCATENATE("KOVA D.O.O.,"," BRAĆE RADIĆA 122B,"," 10410 VELIKA GORICA,"," OIB: 31948370674")</f>
        <v>KOVA D.O.O., BRAĆE RADIĆA 122B, 10410 VELIKA GORICA, OIB: 31948370674</v>
      </c>
      <c r="H2563" s="4"/>
      <c r="I2563" s="1" t="s">
        <v>394</v>
      </c>
      <c r="J2563" s="1" t="s">
        <v>1264</v>
      </c>
      <c r="K2563" s="6" t="str">
        <f>"1.500.000,00"</f>
        <v>1.500.000,00</v>
      </c>
      <c r="L2563" s="6" t="str">
        <f>"375.000,00"</f>
        <v>375.000,00</v>
      </c>
      <c r="M2563" s="6" t="str">
        <f>"1.875.000,00"</f>
        <v>1.875.000,00</v>
      </c>
      <c r="N2563" s="7"/>
      <c r="O2563" s="7"/>
      <c r="P2563" s="6" t="str">
        <f>""</f>
        <v/>
      </c>
      <c r="Q2563" s="7"/>
      <c r="R2563" s="1"/>
      <c r="S2563" s="1" t="str">
        <f>"NOS-107-C/18"</f>
        <v>NOS-107-C/18</v>
      </c>
      <c r="T2563" s="2" t="s">
        <v>33</v>
      </c>
    </row>
    <row r="2564" spans="1:20" ht="38.25" x14ac:dyDescent="0.25">
      <c r="A2564" s="1">
        <v>2560</v>
      </c>
      <c r="B2564" s="1" t="str">
        <f t="shared" si="257"/>
        <v>2018-3079</v>
      </c>
      <c r="C2564" s="2" t="s">
        <v>1263</v>
      </c>
      <c r="D2564" s="1" t="s">
        <v>246</v>
      </c>
      <c r="E2564" s="3" t="str">
        <f>""</f>
        <v/>
      </c>
      <c r="F2564" s="2" t="s">
        <v>27</v>
      </c>
      <c r="G2564" s="2" t="str">
        <f>CONCATENATE("KOVA D.O.O.,"," BRAĆE RADIĆA 122B,"," 10410 VELIKA GORICA,"," OIB: 31948370674")</f>
        <v>KOVA D.O.O., BRAĆE RADIĆA 122B, 10410 VELIKA GORICA, OIB: 31948370674</v>
      </c>
      <c r="H2564" s="4"/>
      <c r="I2564" s="1" t="s">
        <v>637</v>
      </c>
      <c r="J2564" s="1" t="s">
        <v>121</v>
      </c>
      <c r="K2564" s="6" t="str">
        <f>"57.100,00"</f>
        <v>57.100,00</v>
      </c>
      <c r="L2564" s="6" t="str">
        <f>"14.275,00"</f>
        <v>14.275,00</v>
      </c>
      <c r="M2564" s="6" t="str">
        <f>"71.375,00"</f>
        <v>71.375,00</v>
      </c>
      <c r="N2564" s="5">
        <v>43621</v>
      </c>
      <c r="O2564" s="7"/>
      <c r="P2564" s="6" t="str">
        <f>"71.375,00"</f>
        <v>71.375,00</v>
      </c>
      <c r="Q2564" s="7"/>
      <c r="R2564" s="1"/>
      <c r="S2564" s="1" t="str">
        <f>"1-19/NOS-107-C/18"</f>
        <v>1-19/NOS-107-C/18</v>
      </c>
      <c r="T2564" s="2" t="s">
        <v>33</v>
      </c>
    </row>
    <row r="2565" spans="1:20" ht="38.25" x14ac:dyDescent="0.25">
      <c r="A2565" s="1">
        <v>2561</v>
      </c>
      <c r="B2565" s="1" t="str">
        <f t="shared" si="257"/>
        <v>2018-3079</v>
      </c>
      <c r="C2565" s="2" t="s">
        <v>1263</v>
      </c>
      <c r="D2565" s="1" t="s">
        <v>246</v>
      </c>
      <c r="E2565" s="3" t="str">
        <f>""</f>
        <v/>
      </c>
      <c r="F2565" s="2" t="s">
        <v>27</v>
      </c>
      <c r="G2565" s="2" t="str">
        <f>CONCATENATE("KOVA D.O.O.,"," BRAĆE RADIĆA 122B,"," 10410 VELIKA GORICA,"," OIB: 31948370674")</f>
        <v>KOVA D.O.O., BRAĆE RADIĆA 122B, 10410 VELIKA GORICA, OIB: 31948370674</v>
      </c>
      <c r="H2565" s="4"/>
      <c r="I2565" s="1" t="s">
        <v>46</v>
      </c>
      <c r="J2565" s="1" t="s">
        <v>114</v>
      </c>
      <c r="K2565" s="6" t="str">
        <f>"1.025.900,00"</f>
        <v>1.025.900,00</v>
      </c>
      <c r="L2565" s="6" t="str">
        <f>"256.475,00"</f>
        <v>256.475,00</v>
      </c>
      <c r="M2565" s="6" t="str">
        <f>"1.282.375,00"</f>
        <v>1.282.375,00</v>
      </c>
      <c r="N2565" s="5">
        <v>43707</v>
      </c>
      <c r="O2565" s="7"/>
      <c r="P2565" s="6" t="str">
        <f>"373.975,00"</f>
        <v>373.975,00</v>
      </c>
      <c r="Q2565" s="7"/>
      <c r="R2565" s="1"/>
      <c r="S2565" s="1" t="str">
        <f>"2-19/NOS-107-C/18"</f>
        <v>2-19/NOS-107-C/18</v>
      </c>
      <c r="T2565" s="2" t="s">
        <v>33</v>
      </c>
    </row>
    <row r="2566" spans="1:20" ht="38.25" x14ac:dyDescent="0.25">
      <c r="A2566" s="1">
        <v>2562</v>
      </c>
      <c r="B2566" s="1" t="str">
        <f>"2018-269"</f>
        <v>2018-269</v>
      </c>
      <c r="C2566" s="2" t="s">
        <v>1265</v>
      </c>
      <c r="D2566" s="1" t="s">
        <v>1266</v>
      </c>
      <c r="E2566" s="3" t="str">
        <f>"2018/S 0F2-0035213"</f>
        <v>2018/S 0F2-0035213</v>
      </c>
      <c r="F2566" s="2" t="s">
        <v>23</v>
      </c>
      <c r="G2566" s="2" t="str">
        <f>CONCATENATE("TERMOMONT INSTALACIJE D.O.O.,"," OIB: 18169060026")</f>
        <v>TERMOMONT INSTALACIJE D.O.O., OIB: 18169060026</v>
      </c>
      <c r="H2566" s="4"/>
      <c r="I2566" s="1" t="s">
        <v>340</v>
      </c>
      <c r="J2566" s="1" t="s">
        <v>1267</v>
      </c>
      <c r="K2566" s="6" t="str">
        <f>"4.500.000,00"</f>
        <v>4.500.000,00</v>
      </c>
      <c r="L2566" s="6" t="str">
        <f>"1.125.000,00"</f>
        <v>1.125.000,00</v>
      </c>
      <c r="M2566" s="6" t="str">
        <f>"5.625.000,00"</f>
        <v>5.625.000,00</v>
      </c>
      <c r="N2566" s="7"/>
      <c r="O2566" s="7"/>
      <c r="P2566" s="6" t="str">
        <f>""</f>
        <v/>
      </c>
      <c r="Q2566" s="7"/>
      <c r="R2566" s="1"/>
      <c r="S2566" s="1" t="str">
        <f>"NOS-109/18"</f>
        <v>NOS-109/18</v>
      </c>
      <c r="T2566" s="2" t="s">
        <v>538</v>
      </c>
    </row>
    <row r="2567" spans="1:20" ht="38.25" x14ac:dyDescent="0.25">
      <c r="A2567" s="1">
        <v>2563</v>
      </c>
      <c r="B2567" s="1" t="str">
        <f>"2018-3145"</f>
        <v>2018-3145</v>
      </c>
      <c r="C2567" s="2" t="s">
        <v>1268</v>
      </c>
      <c r="D2567" s="1" t="s">
        <v>502</v>
      </c>
      <c r="E2567" s="3" t="str">
        <f>"2018/S 0F2-0034514"</f>
        <v>2018/S 0F2-0034514</v>
      </c>
      <c r="F2567" s="2" t="s">
        <v>23</v>
      </c>
      <c r="G2567" s="2" t="str">
        <f>CONCATENATE("PASTOR - TVA - D.D.,"," RAKITJE,"," NOVAČKA 2,"," 10437 BESTOVJE,"," OIB: 17140959007")</f>
        <v>PASTOR - TVA - D.D., RAKITJE, NOVAČKA 2, 10437 BESTOVJE, OIB: 17140959007</v>
      </c>
      <c r="H2567" s="4"/>
      <c r="I2567" s="1" t="s">
        <v>340</v>
      </c>
      <c r="J2567" s="1" t="s">
        <v>1269</v>
      </c>
      <c r="K2567" s="6" t="str">
        <f>"300.000,00"</f>
        <v>300.000,00</v>
      </c>
      <c r="L2567" s="6" t="str">
        <f>"75.000,00"</f>
        <v>75.000,00</v>
      </c>
      <c r="M2567" s="6" t="str">
        <f>"375.000,00"</f>
        <v>375.000,00</v>
      </c>
      <c r="N2567" s="7"/>
      <c r="O2567" s="7"/>
      <c r="P2567" s="6" t="str">
        <f>""</f>
        <v/>
      </c>
      <c r="Q2567" s="7"/>
      <c r="R2567" s="1"/>
      <c r="S2567" s="1" t="str">
        <f>"NOS-110-A/18"</f>
        <v>NOS-110-A/18</v>
      </c>
      <c r="T2567" s="2" t="s">
        <v>1270</v>
      </c>
    </row>
    <row r="2568" spans="1:20" ht="38.25" x14ac:dyDescent="0.25">
      <c r="A2568" s="1">
        <v>2564</v>
      </c>
      <c r="B2568" s="1" t="str">
        <f>"2018-3145"</f>
        <v>2018-3145</v>
      </c>
      <c r="C2568" s="2" t="s">
        <v>1268</v>
      </c>
      <c r="D2568" s="1" t="s">
        <v>502</v>
      </c>
      <c r="E2568" s="3" t="str">
        <f>"2018/S 0F2-0034514"</f>
        <v>2018/S 0F2-0034514</v>
      </c>
      <c r="F2568" s="2" t="s">
        <v>23</v>
      </c>
      <c r="G2568" s="2" t="str">
        <f>CONCATENATE("PASTOR - TVA - D.D.,"," RAKITJE,"," NOVAČKA 2,"," 10437 BESTOVJE,"," OIB: 17140959007")</f>
        <v>PASTOR - TVA - D.D., RAKITJE, NOVAČKA 2, 10437 BESTOVJE, OIB: 17140959007</v>
      </c>
      <c r="H2568" s="4"/>
      <c r="I2568" s="1" t="s">
        <v>340</v>
      </c>
      <c r="J2568" s="1" t="s">
        <v>1269</v>
      </c>
      <c r="K2568" s="6" t="str">
        <f>"3.200.000,00"</f>
        <v>3.200.000,00</v>
      </c>
      <c r="L2568" s="6" t="str">
        <f>"800.000,00"</f>
        <v>800.000,00</v>
      </c>
      <c r="M2568" s="6" t="str">
        <f>"4.000.000,00"</f>
        <v>4.000.000,00</v>
      </c>
      <c r="N2568" s="7"/>
      <c r="O2568" s="7"/>
      <c r="P2568" s="6" t="str">
        <f>""</f>
        <v/>
      </c>
      <c r="Q2568" s="7"/>
      <c r="R2568" s="1"/>
      <c r="S2568" s="1" t="str">
        <f>"NOS-110-B/18"</f>
        <v>NOS-110-B/18</v>
      </c>
      <c r="T2568" s="2" t="s">
        <v>1270</v>
      </c>
    </row>
    <row r="2569" spans="1:20" ht="38.25" x14ac:dyDescent="0.25">
      <c r="A2569" s="1">
        <v>2565</v>
      </c>
      <c r="B2569" s="1" t="str">
        <f>"2018-1493"</f>
        <v>2018-1493</v>
      </c>
      <c r="C2569" s="2" t="s">
        <v>1271</v>
      </c>
      <c r="D2569" s="1" t="s">
        <v>119</v>
      </c>
      <c r="E2569" s="3" t="str">
        <f>"2019/S 0F3-0020223"</f>
        <v>2019/S 0F3-0020223</v>
      </c>
      <c r="F2569" s="2" t="s">
        <v>23</v>
      </c>
      <c r="G2569" s="2" t="str">
        <f>CONCATENATE("GUT D.O.O.,"," SISAČKA 37,"," 10000 ZAGREB,"," OIB: 9501710522")</f>
        <v>GUT D.O.O., SISAČKA 37, 10000 ZAGREB, OIB: 9501710522</v>
      </c>
      <c r="H2569" s="4"/>
      <c r="I2569" s="1" t="s">
        <v>340</v>
      </c>
      <c r="J2569" s="1" t="s">
        <v>1267</v>
      </c>
      <c r="K2569" s="6" t="str">
        <f>"10.000.000,00"</f>
        <v>10.000.000,00</v>
      </c>
      <c r="L2569" s="6" t="str">
        <f>"2.500.000,00"</f>
        <v>2.500.000,00</v>
      </c>
      <c r="M2569" s="6" t="str">
        <f>"12.500.000,00"</f>
        <v>12.500.000,00</v>
      </c>
      <c r="N2569" s="7"/>
      <c r="O2569" s="7"/>
      <c r="P2569" s="6" t="str">
        <f>""</f>
        <v/>
      </c>
      <c r="Q2569" s="7"/>
      <c r="R2569" s="1"/>
      <c r="S2569" s="1" t="str">
        <f>"NOS-111/18"</f>
        <v>NOS-111/18</v>
      </c>
      <c r="T2569" s="2" t="s">
        <v>29</v>
      </c>
    </row>
    <row r="2570" spans="1:20" ht="25.5" x14ac:dyDescent="0.25">
      <c r="A2570" s="1">
        <v>2566</v>
      </c>
      <c r="B2570" s="1" t="str">
        <f>"2018-1493"</f>
        <v>2018-1493</v>
      </c>
      <c r="C2570" s="2" t="s">
        <v>1271</v>
      </c>
      <c r="D2570" s="4"/>
      <c r="E2570" s="3" t="str">
        <f>""</f>
        <v/>
      </c>
      <c r="F2570" s="2" t="s">
        <v>27</v>
      </c>
      <c r="G2570" s="2" t="str">
        <f>CONCATENATE("GUT D.O.O.,"," SISAČKA 37,"," 10000 ZAGREB,"," OIB: 9501710522")</f>
        <v>GUT D.O.O., SISAČKA 37, 10000 ZAGREB, OIB: 9501710522</v>
      </c>
      <c r="H2570" s="4"/>
      <c r="I2570" s="1" t="s">
        <v>162</v>
      </c>
      <c r="J2570" s="1" t="s">
        <v>45</v>
      </c>
      <c r="K2570" s="6" t="str">
        <f>"2.007.729,00"</f>
        <v>2.007.729,00</v>
      </c>
      <c r="L2570" s="6" t="str">
        <f>"501.932,25"</f>
        <v>501.932,25</v>
      </c>
      <c r="M2570" s="6" t="str">
        <f>"2.509.661,25"</f>
        <v>2.509.661,25</v>
      </c>
      <c r="N2570" s="1" t="s">
        <v>117</v>
      </c>
      <c r="O2570" s="7"/>
      <c r="P2570" s="6" t="str">
        <f>""</f>
        <v/>
      </c>
      <c r="Q2570" s="7"/>
      <c r="R2570" s="1"/>
      <c r="S2570" s="1" t="str">
        <f>"1-19/NOS-111/18"</f>
        <v>1-19/NOS-111/18</v>
      </c>
      <c r="T2570" s="2" t="s">
        <v>29</v>
      </c>
    </row>
    <row r="2571" spans="1:20" ht="38.25" x14ac:dyDescent="0.25">
      <c r="A2571" s="1">
        <v>2567</v>
      </c>
      <c r="B2571" s="1" t="str">
        <f>"2018-1217"</f>
        <v>2018-1217</v>
      </c>
      <c r="C2571" s="2" t="s">
        <v>1272</v>
      </c>
      <c r="D2571" s="1" t="s">
        <v>67</v>
      </c>
      <c r="E2571" s="3" t="str">
        <f>"2019/S 0F2-0000176"</f>
        <v>2019/S 0F2-0000176</v>
      </c>
      <c r="F2571" s="2" t="s">
        <v>23</v>
      </c>
      <c r="G2571" s="2" t="str">
        <f>CONCATENATE("KING ICT D.O.O.,"," BUZINSKI PRILAZ 10,"," 10010 ZAGREB,"," OIB: 67001695549")</f>
        <v>KING ICT D.O.O., BUZINSKI PRILAZ 10, 10010 ZAGREB, OIB: 67001695549</v>
      </c>
      <c r="H2571" s="4"/>
      <c r="I2571" s="1" t="s">
        <v>44</v>
      </c>
      <c r="J2571" s="1" t="s">
        <v>1273</v>
      </c>
      <c r="K2571" s="6" t="str">
        <f>"2.000.000,00"</f>
        <v>2.000.000,00</v>
      </c>
      <c r="L2571" s="6" t="str">
        <f>"500.000,00"</f>
        <v>500.000,00</v>
      </c>
      <c r="M2571" s="6" t="str">
        <f>"2.500.000,00"</f>
        <v>2.500.000,00</v>
      </c>
      <c r="N2571" s="7"/>
      <c r="O2571" s="7"/>
      <c r="P2571" s="6" t="str">
        <f>""</f>
        <v/>
      </c>
      <c r="Q2571" s="7"/>
      <c r="R2571" s="1"/>
      <c r="S2571" s="1" t="str">
        <f>"NOS-112/18"</f>
        <v>NOS-112/18</v>
      </c>
      <c r="T2571" s="2" t="s">
        <v>60</v>
      </c>
    </row>
    <row r="2572" spans="1:20" ht="140.25" x14ac:dyDescent="0.25">
      <c r="A2572" s="1">
        <v>2568</v>
      </c>
      <c r="B2572" s="1" t="str">
        <f>"2018-2912"</f>
        <v>2018-2912</v>
      </c>
      <c r="C2572" s="2" t="s">
        <v>1274</v>
      </c>
      <c r="D2572" s="1" t="s">
        <v>1275</v>
      </c>
      <c r="E2572" s="3" t="str">
        <f>"2018/S F14-0036261"</f>
        <v>2018/S F14-0036261</v>
      </c>
      <c r="F2572" s="2" t="s">
        <v>23</v>
      </c>
      <c r="G2572" s="2" t="str">
        <f>CONCATENATE("CROATIA OSIGURANJE D.D.,"," MIRAMARSKA 22,"," 10000 ZAGREB,"," OIB: 26187994862")</f>
        <v>CROATIA OSIGURANJE D.D., MIRAMARSKA 22, 10000 ZAGREB, OIB: 26187994862</v>
      </c>
      <c r="H2572" s="4"/>
      <c r="I2572" s="1" t="s">
        <v>308</v>
      </c>
      <c r="J2572" s="1" t="s">
        <v>1276</v>
      </c>
      <c r="K2572" s="6" t="str">
        <f>"65.156.000,00"</f>
        <v>65.156.000,00</v>
      </c>
      <c r="L2572" s="6" t="str">
        <f>"16.289.000,00"</f>
        <v>16.289.000,00</v>
      </c>
      <c r="M2572" s="6" t="str">
        <f>"81.445.000,00"</f>
        <v>81.445.000,00</v>
      </c>
      <c r="N2572" s="7"/>
      <c r="O2572" s="7"/>
      <c r="P2572" s="6" t="str">
        <f>""</f>
        <v/>
      </c>
      <c r="Q2572" s="7"/>
      <c r="R2572" s="1"/>
      <c r="S2572" s="1" t="str">
        <f>"NOS-113-A/18"</f>
        <v>NOS-113-A/18</v>
      </c>
      <c r="T2572" s="2" t="s">
        <v>1277</v>
      </c>
    </row>
    <row r="2573" spans="1:20" ht="140.25" x14ac:dyDescent="0.25">
      <c r="A2573" s="1">
        <v>2569</v>
      </c>
      <c r="B2573" s="1" t="str">
        <f>"2018-2912"</f>
        <v>2018-2912</v>
      </c>
      <c r="C2573" s="2" t="s">
        <v>1274</v>
      </c>
      <c r="D2573" s="1" t="s">
        <v>1275</v>
      </c>
      <c r="E2573" s="3" t="str">
        <f>"2018/S F14-0036261"</f>
        <v>2018/S F14-0036261</v>
      </c>
      <c r="F2573" s="2" t="s">
        <v>23</v>
      </c>
      <c r="G2573" s="2" t="str">
        <f>CONCATENATE("CROATIA OSIGURANJE D.D.,"," MIRAMARSKA 22,"," 10000 ZAGREB,"," OIB: 26187994862")</f>
        <v>CROATIA OSIGURANJE D.D., MIRAMARSKA 22, 10000 ZAGREB, OIB: 26187994862</v>
      </c>
      <c r="H2573" s="4"/>
      <c r="I2573" s="1" t="s">
        <v>308</v>
      </c>
      <c r="J2573" s="1" t="s">
        <v>1276</v>
      </c>
      <c r="K2573" s="6" t="str">
        <f>"30.844.000,00"</f>
        <v>30.844.000,00</v>
      </c>
      <c r="L2573" s="6" t="str">
        <f>"7.711.000,00"</f>
        <v>7.711.000,00</v>
      </c>
      <c r="M2573" s="6" t="str">
        <f>"38.555.000,00"</f>
        <v>38.555.000,00</v>
      </c>
      <c r="N2573" s="7"/>
      <c r="O2573" s="7"/>
      <c r="P2573" s="6" t="str">
        <f>""</f>
        <v/>
      </c>
      <c r="Q2573" s="7"/>
      <c r="R2573" s="1"/>
      <c r="S2573" s="1" t="str">
        <f>"NOS-113-B/18"</f>
        <v>NOS-113-B/18</v>
      </c>
      <c r="T2573" s="2" t="s">
        <v>1277</v>
      </c>
    </row>
    <row r="2574" spans="1:20" ht="38.25" x14ac:dyDescent="0.25">
      <c r="A2574" s="1">
        <v>2570</v>
      </c>
      <c r="B2574" s="1" t="str">
        <f>"2018-2945"</f>
        <v>2018-2945</v>
      </c>
      <c r="C2574" s="2" t="s">
        <v>1278</v>
      </c>
      <c r="D2574" s="1" t="s">
        <v>1279</v>
      </c>
      <c r="E2574" s="3" t="str">
        <f>"2018/S 0F2-0033312"</f>
        <v>2018/S 0F2-0033312</v>
      </c>
      <c r="F2574" s="2" t="s">
        <v>23</v>
      </c>
      <c r="G2574" s="2" t="str">
        <f>CONCATENATE("DOLI PROM D.O.O.,"," MALE PUTINE 14,"," 10000 ZAGREB,"," OIB: 08741309749")</f>
        <v>DOLI PROM D.O.O., MALE PUTINE 14, 10000 ZAGREB, OIB: 08741309749</v>
      </c>
      <c r="H2574" s="4"/>
      <c r="I2574" s="1" t="s">
        <v>423</v>
      </c>
      <c r="J2574" s="1" t="s">
        <v>1280</v>
      </c>
      <c r="K2574" s="6" t="str">
        <f>"3.000.000,00"</f>
        <v>3.000.000,00</v>
      </c>
      <c r="L2574" s="6" t="str">
        <f>"750.000,00"</f>
        <v>750.000,00</v>
      </c>
      <c r="M2574" s="6" t="str">
        <f>"3.750.000,00"</f>
        <v>3.750.000,00</v>
      </c>
      <c r="N2574" s="7"/>
      <c r="O2574" s="7"/>
      <c r="P2574" s="6" t="str">
        <f>""</f>
        <v/>
      </c>
      <c r="Q2574" s="7"/>
      <c r="R2574" s="1"/>
      <c r="S2574" s="1" t="str">
        <f>"NOS-114/18"</f>
        <v>NOS-114/18</v>
      </c>
      <c r="T2574" s="2" t="s">
        <v>33</v>
      </c>
    </row>
    <row r="2575" spans="1:20" ht="38.25" x14ac:dyDescent="0.25">
      <c r="A2575" s="1">
        <v>2571</v>
      </c>
      <c r="B2575" s="1" t="str">
        <f>"2018-3150"</f>
        <v>2018-3150</v>
      </c>
      <c r="C2575" s="2" t="s">
        <v>987</v>
      </c>
      <c r="D2575" s="1" t="s">
        <v>119</v>
      </c>
      <c r="E2575" s="3" t="str">
        <f>"2019-S 0F2-0001736"</f>
        <v>2019-S 0F2-0001736</v>
      </c>
      <c r="F2575" s="2" t="s">
        <v>23</v>
      </c>
      <c r="G2575" s="2" t="str">
        <f>CONCATENATE("KINDER GRADNJA OBRT ZA USLUGE,"," VL. IVICA KINDER,"," SELSKA 57,"," 10360 SESVETE,"," OIB: 94563534427")</f>
        <v>KINDER GRADNJA OBRT ZA USLUGE, VL. IVICA KINDER, SELSKA 57, 10360 SESVETE, OIB: 94563534427</v>
      </c>
      <c r="H2575" s="4"/>
      <c r="I2575" s="1" t="s">
        <v>322</v>
      </c>
      <c r="J2575" s="1" t="s">
        <v>1281</v>
      </c>
      <c r="K2575" s="6" t="str">
        <f>"10.000.000,00"</f>
        <v>10.000.000,00</v>
      </c>
      <c r="L2575" s="6" t="str">
        <f>"2.500.000,00"</f>
        <v>2.500.000,00</v>
      </c>
      <c r="M2575" s="6" t="str">
        <f>"12.500.000,00"</f>
        <v>12.500.000,00</v>
      </c>
      <c r="N2575" s="7"/>
      <c r="O2575" s="7"/>
      <c r="P2575" s="6" t="str">
        <f>""</f>
        <v/>
      </c>
      <c r="Q2575" s="7"/>
      <c r="R2575" s="1"/>
      <c r="S2575" s="1" t="str">
        <f>"NOS-115/18"</f>
        <v>NOS-115/18</v>
      </c>
      <c r="T2575" s="2" t="s">
        <v>29</v>
      </c>
    </row>
    <row r="2576" spans="1:20" ht="38.25" x14ac:dyDescent="0.25">
      <c r="A2576" s="1">
        <v>2572</v>
      </c>
      <c r="B2576" s="1" t="str">
        <f>"2018-3150"</f>
        <v>2018-3150</v>
      </c>
      <c r="C2576" s="2" t="s">
        <v>987</v>
      </c>
      <c r="D2576" s="4"/>
      <c r="E2576" s="3" t="str">
        <f>""</f>
        <v/>
      </c>
      <c r="F2576" s="2" t="s">
        <v>27</v>
      </c>
      <c r="G2576" s="2" t="str">
        <f>CONCATENATE("KINDER GRADNJA OBRT ZA USLUGE,"," VL. IVICA KINDER,"," SELSKA 57,"," 10360 SESVETE,"," OIB: 94563534427")</f>
        <v>KINDER GRADNJA OBRT ZA USLUGE, VL. IVICA KINDER, SELSKA 57, 10360 SESVETE, OIB: 94563534427</v>
      </c>
      <c r="H2576" s="4"/>
      <c r="I2576" s="1" t="s">
        <v>424</v>
      </c>
      <c r="J2576" s="1" t="s">
        <v>397</v>
      </c>
      <c r="K2576" s="6" t="str">
        <f>"5.054.040,00"</f>
        <v>5.054.040,00</v>
      </c>
      <c r="L2576" s="6" t="str">
        <f>"1.263.510,00"</f>
        <v>1.263.510,00</v>
      </c>
      <c r="M2576" s="6" t="str">
        <f>"6.317.550,00"</f>
        <v>6.317.550,00</v>
      </c>
      <c r="N2576" s="1" t="s">
        <v>117</v>
      </c>
      <c r="O2576" s="7"/>
      <c r="P2576" s="6" t="str">
        <f>""</f>
        <v/>
      </c>
      <c r="Q2576" s="7"/>
      <c r="R2576" s="1"/>
      <c r="S2576" s="1" t="str">
        <f>"1-19/NOS-115/18"</f>
        <v>1-19/NOS-115/18</v>
      </c>
      <c r="T2576" s="2" t="s">
        <v>29</v>
      </c>
    </row>
    <row r="2577" spans="1:20" ht="38.25" x14ac:dyDescent="0.25">
      <c r="A2577" s="1">
        <v>2573</v>
      </c>
      <c r="B2577" s="1" t="str">
        <f>"2018-2005"</f>
        <v>2018-2005</v>
      </c>
      <c r="C2577" s="2" t="s">
        <v>1282</v>
      </c>
      <c r="D2577" s="1" t="s">
        <v>426</v>
      </c>
      <c r="E2577" s="3" t="str">
        <f>"2018/S 0F2-0030640"</f>
        <v>2018/S 0F2-0030640</v>
      </c>
      <c r="F2577" s="2" t="s">
        <v>23</v>
      </c>
      <c r="G2577" s="2" t="str">
        <f>CONCATENATE("DOBAR PARTNER D.O.O.,"," KNEZA BORNE 1,"," 10000 ZAGREB,"," OIB: 65278787645")</f>
        <v>DOBAR PARTNER D.O.O., KNEZA BORNE 1, 10000 ZAGREB, OIB: 65278787645</v>
      </c>
      <c r="H2577" s="4"/>
      <c r="I2577" s="1" t="s">
        <v>498</v>
      </c>
      <c r="J2577" s="1" t="s">
        <v>1283</v>
      </c>
      <c r="K2577" s="6" t="str">
        <f>"300.000,00"</f>
        <v>300.000,00</v>
      </c>
      <c r="L2577" s="6" t="str">
        <f>"75.000,00"</f>
        <v>75.000,00</v>
      </c>
      <c r="M2577" s="6" t="str">
        <f>"375.000,00"</f>
        <v>375.000,00</v>
      </c>
      <c r="N2577" s="7"/>
      <c r="O2577" s="7"/>
      <c r="P2577" s="6" t="str">
        <f>""</f>
        <v/>
      </c>
      <c r="Q2577" s="7"/>
      <c r="R2577" s="1"/>
      <c r="S2577" s="1" t="str">
        <f>"NOS-116-A/18"</f>
        <v>NOS-116-A/18</v>
      </c>
      <c r="T2577" s="2" t="s">
        <v>33</v>
      </c>
    </row>
    <row r="2578" spans="1:20" ht="38.25" x14ac:dyDescent="0.25">
      <c r="A2578" s="1">
        <v>2574</v>
      </c>
      <c r="B2578" s="1" t="str">
        <f>"2018-2005"</f>
        <v>2018-2005</v>
      </c>
      <c r="C2578" s="2" t="s">
        <v>1282</v>
      </c>
      <c r="D2578" s="1" t="s">
        <v>426</v>
      </c>
      <c r="E2578" s="3" t="str">
        <f>"2018/S 0F2-0030640"</f>
        <v>2018/S 0F2-0030640</v>
      </c>
      <c r="F2578" s="2" t="s">
        <v>23</v>
      </c>
      <c r="G2578" s="2" t="str">
        <f>CONCATENATE("GRANDIFLORA D.O.O.,"," DOLENICA 8,"," 10250 LUČKO,"," OIB: 89219306427")</f>
        <v>GRANDIFLORA D.O.O., DOLENICA 8, 10250 LUČKO, OIB: 89219306427</v>
      </c>
      <c r="H2578" s="4"/>
      <c r="I2578" s="1" t="s">
        <v>498</v>
      </c>
      <c r="J2578" s="1" t="s">
        <v>1283</v>
      </c>
      <c r="K2578" s="6" t="str">
        <f>"400.000,00"</f>
        <v>400.000,00</v>
      </c>
      <c r="L2578" s="6" t="str">
        <f>"100.000,00"</f>
        <v>100.000,00</v>
      </c>
      <c r="M2578" s="6" t="str">
        <f>"500.000,00"</f>
        <v>500.000,00</v>
      </c>
      <c r="N2578" s="7"/>
      <c r="O2578" s="7"/>
      <c r="P2578" s="6" t="str">
        <f>""</f>
        <v/>
      </c>
      <c r="Q2578" s="7"/>
      <c r="R2578" s="1"/>
      <c r="S2578" s="1" t="str">
        <f>"NOS-116-B/18"</f>
        <v>NOS-116-B/18</v>
      </c>
      <c r="T2578" s="2" t="s">
        <v>33</v>
      </c>
    </row>
    <row r="2579" spans="1:20" ht="38.25" x14ac:dyDescent="0.25">
      <c r="A2579" s="1">
        <v>2575</v>
      </c>
      <c r="B2579" s="1" t="str">
        <f>"2018-2005"</f>
        <v>2018-2005</v>
      </c>
      <c r="C2579" s="2" t="s">
        <v>1282</v>
      </c>
      <c r="D2579" s="1" t="s">
        <v>426</v>
      </c>
      <c r="E2579" s="3" t="str">
        <f>"2018/S 0F2-0030640"</f>
        <v>2018/S 0F2-0030640</v>
      </c>
      <c r="F2579" s="2" t="s">
        <v>23</v>
      </c>
      <c r="G2579" s="2" t="str">
        <f>CONCATENATE("BOXES D.O.O.,"," GUSTAVA KRKLECA 11,"," 10000 ZAGREB,"," OIB: 41791523272")</f>
        <v>BOXES D.O.O., GUSTAVA KRKLECA 11, 10000 ZAGREB, OIB: 41791523272</v>
      </c>
      <c r="H2579" s="4"/>
      <c r="I2579" s="1" t="s">
        <v>498</v>
      </c>
      <c r="J2579" s="1" t="s">
        <v>1283</v>
      </c>
      <c r="K2579" s="6" t="str">
        <f>"1.200.000,00"</f>
        <v>1.200.000,00</v>
      </c>
      <c r="L2579" s="6" t="str">
        <f>"300.000,00"</f>
        <v>300.000,00</v>
      </c>
      <c r="M2579" s="6" t="str">
        <f>"1.500.000,00"</f>
        <v>1.500.000,00</v>
      </c>
      <c r="N2579" s="7"/>
      <c r="O2579" s="7"/>
      <c r="P2579" s="6" t="str">
        <f>""</f>
        <v/>
      </c>
      <c r="Q2579" s="7"/>
      <c r="R2579" s="1"/>
      <c r="S2579" s="1" t="str">
        <f>"NOS-116-C/18"</f>
        <v>NOS-116-C/18</v>
      </c>
      <c r="T2579" s="2" t="s">
        <v>33</v>
      </c>
    </row>
    <row r="2580" spans="1:20" ht="25.5" x14ac:dyDescent="0.25">
      <c r="A2580" s="1">
        <v>2576</v>
      </c>
      <c r="B2580" s="1" t="str">
        <f>"2018-2005"</f>
        <v>2018-2005</v>
      </c>
      <c r="C2580" s="2" t="s">
        <v>1282</v>
      </c>
      <c r="D2580" s="1" t="s">
        <v>426</v>
      </c>
      <c r="E2580" s="3" t="str">
        <f>""</f>
        <v/>
      </c>
      <c r="F2580" s="2" t="s">
        <v>27</v>
      </c>
      <c r="G2580" s="2" t="str">
        <f>CONCATENATE("BOXES D.O.O.,"," GUSTAVA KRKLECA 11,"," 10000 ZAGREB,"," OIB: 41791523272")</f>
        <v>BOXES D.O.O., GUSTAVA KRKLECA 11, 10000 ZAGREB, OIB: 41791523272</v>
      </c>
      <c r="H2580" s="4"/>
      <c r="I2580" s="1" t="s">
        <v>73</v>
      </c>
      <c r="J2580" s="1" t="s">
        <v>436</v>
      </c>
      <c r="K2580" s="6" t="str">
        <f>"49.945,63"</f>
        <v>49.945,63</v>
      </c>
      <c r="L2580" s="6" t="str">
        <f>"12.484,02"</f>
        <v>12.484,02</v>
      </c>
      <c r="M2580" s="6" t="str">
        <f>"62.420,11"</f>
        <v>62.420,11</v>
      </c>
      <c r="N2580" s="5">
        <v>43606</v>
      </c>
      <c r="O2580" s="7"/>
      <c r="P2580" s="6" t="str">
        <f>"62.420,11"</f>
        <v>62.420,11</v>
      </c>
      <c r="Q2580" s="7"/>
      <c r="R2580" s="1"/>
      <c r="S2580" s="1" t="str">
        <f>"1-19/NOS-116-C/18"</f>
        <v>1-19/NOS-116-C/18</v>
      </c>
      <c r="T2580" s="2" t="s">
        <v>33</v>
      </c>
    </row>
    <row r="2581" spans="1:20" ht="38.25" x14ac:dyDescent="0.25">
      <c r="A2581" s="1">
        <v>2577</v>
      </c>
      <c r="B2581" s="1" t="str">
        <f>"2018-2005"</f>
        <v>2018-2005</v>
      </c>
      <c r="C2581" s="2" t="s">
        <v>1282</v>
      </c>
      <c r="D2581" s="1" t="s">
        <v>426</v>
      </c>
      <c r="E2581" s="3" t="str">
        <f>"2018/S 0F2-0030640"</f>
        <v>2018/S 0F2-0030640</v>
      </c>
      <c r="F2581" s="2" t="s">
        <v>23</v>
      </c>
      <c r="G2581" s="2" t="str">
        <f>CONCATENATE("GRANDIFLORA D.O.O.,"," DOLENICA 8,"," 10250 LUČKO,"," OIB: 89219306427")</f>
        <v>GRANDIFLORA D.O.O., DOLENICA 8, 10250 LUČKO, OIB: 89219306427</v>
      </c>
      <c r="H2581" s="4"/>
      <c r="I2581" s="1" t="s">
        <v>498</v>
      </c>
      <c r="J2581" s="1" t="s">
        <v>1283</v>
      </c>
      <c r="K2581" s="6" t="str">
        <f>"100.000,00"</f>
        <v>100.000,00</v>
      </c>
      <c r="L2581" s="6" t="str">
        <f>"25.000,00"</f>
        <v>25.000,00</v>
      </c>
      <c r="M2581" s="6" t="str">
        <f>"125.000,00"</f>
        <v>125.000,00</v>
      </c>
      <c r="N2581" s="7"/>
      <c r="O2581" s="7"/>
      <c r="P2581" s="6" t="str">
        <f>""</f>
        <v/>
      </c>
      <c r="Q2581" s="7"/>
      <c r="R2581" s="1"/>
      <c r="S2581" s="1" t="str">
        <f>"NOS-116-D/18"</f>
        <v>NOS-116-D/18</v>
      </c>
      <c r="T2581" s="2" t="s">
        <v>33</v>
      </c>
    </row>
    <row r="2582" spans="1:20" ht="38.25" x14ac:dyDescent="0.25">
      <c r="A2582" s="1">
        <v>2578</v>
      </c>
      <c r="B2582" s="1" t="str">
        <f>"2018-3157"</f>
        <v>2018-3157</v>
      </c>
      <c r="C2582" s="2" t="s">
        <v>1284</v>
      </c>
      <c r="D2582" s="1" t="s">
        <v>1266</v>
      </c>
      <c r="E2582" s="3" t="str">
        <f>"2019/S 0F2-0003536"</f>
        <v>2019/S 0F2-0003536</v>
      </c>
      <c r="F2582" s="2" t="s">
        <v>23</v>
      </c>
      <c r="G2582" s="2" t="str">
        <f>CONCATENATE("EOL GRUPA D.O.O.,"," SMIČIKLASOVA 5/C,"," 47000 KARLOVAC,"," OIB: 7109729867")</f>
        <v>EOL GRUPA D.O.O., SMIČIKLASOVA 5/C, 47000 KARLOVAC, OIB: 7109729867</v>
      </c>
      <c r="H2582" s="4"/>
      <c r="I2582" s="1" t="s">
        <v>30</v>
      </c>
      <c r="J2582" s="1" t="s">
        <v>1285</v>
      </c>
      <c r="K2582" s="6" t="str">
        <f>"1.050.000,00"</f>
        <v>1.050.000,00</v>
      </c>
      <c r="L2582" s="6" t="str">
        <f>"262.500,00"</f>
        <v>262.500,00</v>
      </c>
      <c r="M2582" s="6" t="str">
        <f>"1.312.500,00"</f>
        <v>1.312.500,00</v>
      </c>
      <c r="N2582" s="7"/>
      <c r="O2582" s="7"/>
      <c r="P2582" s="6" t="str">
        <f>""</f>
        <v/>
      </c>
      <c r="Q2582" s="7"/>
      <c r="R2582" s="1"/>
      <c r="S2582" s="1" t="str">
        <f>"NOS-117/18"</f>
        <v>NOS-117/18</v>
      </c>
      <c r="T2582" s="2" t="s">
        <v>33</v>
      </c>
    </row>
    <row r="2583" spans="1:20" ht="38.25" x14ac:dyDescent="0.25">
      <c r="A2583" s="1">
        <v>2579</v>
      </c>
      <c r="B2583" s="1" t="str">
        <f>"2018-3157"</f>
        <v>2018-3157</v>
      </c>
      <c r="C2583" s="2" t="s">
        <v>1284</v>
      </c>
      <c r="D2583" s="4"/>
      <c r="E2583" s="3" t="str">
        <f>""</f>
        <v/>
      </c>
      <c r="F2583" s="2" t="s">
        <v>27</v>
      </c>
      <c r="G2583" s="2" t="str">
        <f>CONCATENATE("EOL GRUPA D.O.O.,"," SMIČIKLASOVA 5/C,"," 47000 KARLOVAC,"," OIB: 7109729867")</f>
        <v>EOL GRUPA D.O.O., SMIČIKLASOVA 5/C, 47000 KARLOVAC, OIB: 7109729867</v>
      </c>
      <c r="H2583" s="4"/>
      <c r="I2583" s="1" t="s">
        <v>46</v>
      </c>
      <c r="J2583" s="1" t="s">
        <v>619</v>
      </c>
      <c r="K2583" s="6" t="str">
        <f>"66.600,00"</f>
        <v>66.600,00</v>
      </c>
      <c r="L2583" s="6" t="str">
        <f>"16.650,00"</f>
        <v>16.650,00</v>
      </c>
      <c r="M2583" s="6" t="str">
        <f>"83.250,00"</f>
        <v>83.250,00</v>
      </c>
      <c r="N2583" s="5">
        <v>43707</v>
      </c>
      <c r="O2583" s="7"/>
      <c r="P2583" s="6" t="str">
        <f>"13.875,00"</f>
        <v>13.875,00</v>
      </c>
      <c r="Q2583" s="7"/>
      <c r="R2583" s="1"/>
      <c r="S2583" s="1" t="str">
        <f>"2-19/NOS-117/18"</f>
        <v>2-19/NOS-117/18</v>
      </c>
      <c r="T2583" s="2" t="s">
        <v>33</v>
      </c>
    </row>
    <row r="2584" spans="1:20" ht="38.25" x14ac:dyDescent="0.25">
      <c r="A2584" s="1">
        <v>2580</v>
      </c>
      <c r="B2584" s="1" t="str">
        <f>"2018-3157"</f>
        <v>2018-3157</v>
      </c>
      <c r="C2584" s="2" t="s">
        <v>1284</v>
      </c>
      <c r="D2584" s="1" t="s">
        <v>1266</v>
      </c>
      <c r="E2584" s="3" t="str">
        <f>""</f>
        <v/>
      </c>
      <c r="F2584" s="2" t="s">
        <v>27</v>
      </c>
      <c r="G2584" s="2" t="str">
        <f>CONCATENATE("EOL GRUPA D.O.O.,"," SMIČIKLASOVA 5/C,"," 47000 KARLOVAC,"," OIB: 7109729867")</f>
        <v>EOL GRUPA D.O.O., SMIČIKLASOVA 5/C, 47000 KARLOVAC, OIB: 7109729867</v>
      </c>
      <c r="H2584" s="4"/>
      <c r="I2584" s="1" t="s">
        <v>355</v>
      </c>
      <c r="J2584" s="1" t="s">
        <v>469</v>
      </c>
      <c r="K2584" s="6" t="str">
        <f>"8.000,00"</f>
        <v>8.000,00</v>
      </c>
      <c r="L2584" s="6" t="str">
        <f>"2.000,00"</f>
        <v>2.000,00</v>
      </c>
      <c r="M2584" s="6" t="str">
        <f>"10.000,00"</f>
        <v>10.000,00</v>
      </c>
      <c r="N2584" s="5">
        <v>43623</v>
      </c>
      <c r="O2584" s="7"/>
      <c r="P2584" s="6" t="str">
        <f>"10.000,00"</f>
        <v>10.000,00</v>
      </c>
      <c r="Q2584" s="7"/>
      <c r="R2584" s="1"/>
      <c r="S2584" s="1" t="str">
        <f>"1-19/NOS-117/18"</f>
        <v>1-19/NOS-117/18</v>
      </c>
      <c r="T2584" s="2" t="s">
        <v>33</v>
      </c>
    </row>
    <row r="2585" spans="1:20" ht="38.25" x14ac:dyDescent="0.25">
      <c r="A2585" s="1">
        <v>2581</v>
      </c>
      <c r="B2585" s="1" t="str">
        <f>"2018-3157"</f>
        <v>2018-3157</v>
      </c>
      <c r="C2585" s="2" t="s">
        <v>1284</v>
      </c>
      <c r="D2585" s="1" t="s">
        <v>1266</v>
      </c>
      <c r="E2585" s="3" t="str">
        <f>""</f>
        <v/>
      </c>
      <c r="F2585" s="2" t="s">
        <v>27</v>
      </c>
      <c r="G2585" s="2" t="str">
        <f>CONCATENATE("EOL GRUPA D.O.O.,"," SMIČIKLASOVA 5/C,"," 47000 KARLOVAC,"," OIB: 7109729867")</f>
        <v>EOL GRUPA D.O.O., SMIČIKLASOVA 5/C, 47000 KARLOVAC, OIB: 7109729867</v>
      </c>
      <c r="H2585" s="4"/>
      <c r="I2585" s="1" t="s">
        <v>74</v>
      </c>
      <c r="J2585" s="1" t="s">
        <v>469</v>
      </c>
      <c r="K2585" s="6" t="str">
        <f>"33.900,00"</f>
        <v>33.900,00</v>
      </c>
      <c r="L2585" s="6" t="str">
        <f>"8.475,00"</f>
        <v>8.475,00</v>
      </c>
      <c r="M2585" s="6" t="str">
        <f>"42.375,00"</f>
        <v>42.375,00</v>
      </c>
      <c r="N2585" s="5">
        <v>43627</v>
      </c>
      <c r="O2585" s="7"/>
      <c r="P2585" s="6" t="str">
        <f>"42.375,00"</f>
        <v>42.375,00</v>
      </c>
      <c r="Q2585" s="7"/>
      <c r="R2585" s="1"/>
      <c r="S2585" s="1" t="str">
        <f>"3-19/NOS-117/18"</f>
        <v>3-19/NOS-117/18</v>
      </c>
      <c r="T2585" s="2" t="s">
        <v>33</v>
      </c>
    </row>
    <row r="2586" spans="1:20" ht="38.25" x14ac:dyDescent="0.25">
      <c r="A2586" s="1">
        <v>2582</v>
      </c>
      <c r="B2586" s="1" t="str">
        <f>"2018-3157"</f>
        <v>2018-3157</v>
      </c>
      <c r="C2586" s="2" t="s">
        <v>1284</v>
      </c>
      <c r="D2586" s="1" t="s">
        <v>1266</v>
      </c>
      <c r="E2586" s="3" t="str">
        <f>""</f>
        <v/>
      </c>
      <c r="F2586" s="2" t="s">
        <v>27</v>
      </c>
      <c r="G2586" s="2" t="str">
        <f>CONCATENATE("EOL GRUPA D.O.O.,"," SMIČIKLASOVA 5/C,"," 47000 KARLOVAC,"," OIB: 7109729867")</f>
        <v>EOL GRUPA D.O.O., SMIČIKLASOVA 5/C, 47000 KARLOVAC, OIB: 7109729867</v>
      </c>
      <c r="H2586" s="4"/>
      <c r="I2586" s="1" t="s">
        <v>628</v>
      </c>
      <c r="J2586" s="1" t="s">
        <v>469</v>
      </c>
      <c r="K2586" s="6" t="str">
        <f>"2.770,00"</f>
        <v>2.770,00</v>
      </c>
      <c r="L2586" s="6" t="str">
        <f>"692,50"</f>
        <v>692,50</v>
      </c>
      <c r="M2586" s="6" t="str">
        <f>"3.462,50"</f>
        <v>3.462,50</v>
      </c>
      <c r="N2586" s="5">
        <v>43628</v>
      </c>
      <c r="O2586" s="7"/>
      <c r="P2586" s="6" t="str">
        <f>"3.462,50"</f>
        <v>3.462,50</v>
      </c>
      <c r="Q2586" s="7"/>
      <c r="R2586" s="1"/>
      <c r="S2586" s="1" t="str">
        <f>"4-19/NOS-117/18"</f>
        <v>4-19/NOS-117/18</v>
      </c>
      <c r="T2586" s="2" t="s">
        <v>33</v>
      </c>
    </row>
    <row r="2587" spans="1:20" ht="38.25" x14ac:dyDescent="0.25">
      <c r="A2587" s="1">
        <v>2583</v>
      </c>
      <c r="B2587" s="1" t="str">
        <f>"2018-2968"</f>
        <v>2018-2968</v>
      </c>
      <c r="C2587" s="2" t="s">
        <v>600</v>
      </c>
      <c r="D2587" s="1" t="s">
        <v>483</v>
      </c>
      <c r="E2587" s="3" t="str">
        <f>"2019/S 0F2-0000953"</f>
        <v>2019/S 0F2-0000953</v>
      </c>
      <c r="F2587" s="2" t="s">
        <v>23</v>
      </c>
      <c r="G2587" s="2" t="str">
        <f>CONCATENATE("KOVA D.O.O.,"," BRAĆE RADIĆA 122B,"," 10410 VELIKA GORICA,"," OIB: 31948370674")</f>
        <v>KOVA D.O.O., BRAĆE RADIĆA 122B, 10410 VELIKA GORICA, OIB: 31948370674</v>
      </c>
      <c r="H2587" s="4"/>
      <c r="I2587" s="1" t="s">
        <v>266</v>
      </c>
      <c r="J2587" s="1" t="s">
        <v>1286</v>
      </c>
      <c r="K2587" s="6" t="str">
        <f>"875.000,00"</f>
        <v>875.000,00</v>
      </c>
      <c r="L2587" s="6" t="str">
        <f>"218.750,00"</f>
        <v>218.750,00</v>
      </c>
      <c r="M2587" s="6" t="str">
        <f>"1.093.750,00"</f>
        <v>1.093.750,00</v>
      </c>
      <c r="N2587" s="7"/>
      <c r="O2587" s="7"/>
      <c r="P2587" s="6" t="str">
        <f>""</f>
        <v/>
      </c>
      <c r="Q2587" s="7"/>
      <c r="R2587" s="1"/>
      <c r="S2587" s="1" t="str">
        <f>"NOS-118/18"</f>
        <v>NOS-118/18</v>
      </c>
      <c r="T2587" s="2" t="s">
        <v>33</v>
      </c>
    </row>
    <row r="2588" spans="1:20" ht="51" x14ac:dyDescent="0.25">
      <c r="A2588" s="1">
        <v>2584</v>
      </c>
      <c r="B2588" s="1" t="str">
        <f>"2018-2728"</f>
        <v>2018-2728</v>
      </c>
      <c r="C2588" s="2" t="s">
        <v>1287</v>
      </c>
      <c r="D2588" s="1" t="s">
        <v>603</v>
      </c>
      <c r="E2588" s="3" t="str">
        <f>"2018/S 0F2-0034215"</f>
        <v>2018/S 0F2-0034215</v>
      </c>
      <c r="F2588" s="2" t="s">
        <v>23</v>
      </c>
      <c r="G2588" s="2" t="str">
        <f>CONCATENATE("ECCOS-INŽENJERING D.O.O.,"," BANI 110,"," 10000 ZAGREB,"," OIB: 71629027685")</f>
        <v>ECCOS-INŽENJERING D.O.O., BANI 110, 10000 ZAGREB, OIB: 71629027685</v>
      </c>
      <c r="H2588" s="4"/>
      <c r="I2588" s="1" t="s">
        <v>30</v>
      </c>
      <c r="J2588" s="1" t="s">
        <v>1285</v>
      </c>
      <c r="K2588" s="6" t="str">
        <f>"1.000.000,00"</f>
        <v>1.000.000,00</v>
      </c>
      <c r="L2588" s="6" t="str">
        <f>"250.000,00"</f>
        <v>250.000,00</v>
      </c>
      <c r="M2588" s="6" t="str">
        <f>"1.250.000,00"</f>
        <v>1.250.000,00</v>
      </c>
      <c r="N2588" s="7"/>
      <c r="O2588" s="7"/>
      <c r="P2588" s="6" t="str">
        <f>""</f>
        <v/>
      </c>
      <c r="Q2588" s="7"/>
      <c r="R2588" s="1"/>
      <c r="S2588" s="1" t="str">
        <f>"NOS-119-A/18"</f>
        <v>NOS-119-A/18</v>
      </c>
      <c r="T2588" s="2" t="s">
        <v>33</v>
      </c>
    </row>
    <row r="2589" spans="1:20" ht="51" x14ac:dyDescent="0.25">
      <c r="A2589" s="1">
        <v>2585</v>
      </c>
      <c r="B2589" s="1" t="str">
        <f>"2018-2728"</f>
        <v>2018-2728</v>
      </c>
      <c r="C2589" s="2" t="s">
        <v>1287</v>
      </c>
      <c r="D2589" s="1" t="s">
        <v>603</v>
      </c>
      <c r="E2589" s="3" t="str">
        <f>""</f>
        <v/>
      </c>
      <c r="F2589" s="2" t="s">
        <v>27</v>
      </c>
      <c r="G2589" s="2" t="str">
        <f>CONCATENATE("ECCOS-INŽENJERING D.O.O.,"," BANI 110,"," 10000 ZAGREB,"," OIB: 71629027685")</f>
        <v>ECCOS-INŽENJERING D.O.O., BANI 110, 10000 ZAGREB, OIB: 71629027685</v>
      </c>
      <c r="H2589" s="4"/>
      <c r="I2589" s="1" t="s">
        <v>499</v>
      </c>
      <c r="J2589" s="1" t="s">
        <v>469</v>
      </c>
      <c r="K2589" s="6" t="str">
        <f>"44.000,00"</f>
        <v>44.000,00</v>
      </c>
      <c r="L2589" s="6" t="str">
        <f>"11.000,00"</f>
        <v>11.000,00</v>
      </c>
      <c r="M2589" s="6" t="str">
        <f>"55.000,00"</f>
        <v>55.000,00</v>
      </c>
      <c r="N2589" s="5">
        <v>43613</v>
      </c>
      <c r="O2589" s="7"/>
      <c r="P2589" s="6" t="str">
        <f>"55.000,00"</f>
        <v>55.000,00</v>
      </c>
      <c r="Q2589" s="7"/>
      <c r="R2589" s="1"/>
      <c r="S2589" s="1" t="str">
        <f>"1-19/NOS-119-A/18"</f>
        <v>1-19/NOS-119-A/18</v>
      </c>
      <c r="T2589" s="2" t="s">
        <v>33</v>
      </c>
    </row>
    <row r="2590" spans="1:20" ht="51" x14ac:dyDescent="0.25">
      <c r="A2590" s="1">
        <v>2586</v>
      </c>
      <c r="B2590" s="1" t="str">
        <f>"2018-2728"</f>
        <v>2018-2728</v>
      </c>
      <c r="C2590" s="2" t="s">
        <v>1287</v>
      </c>
      <c r="D2590" s="1" t="s">
        <v>603</v>
      </c>
      <c r="E2590" s="3" t="str">
        <f>""</f>
        <v/>
      </c>
      <c r="F2590" s="2" t="s">
        <v>27</v>
      </c>
      <c r="G2590" s="2" t="str">
        <f>CONCATENATE("ECCOS-INŽENJERING D.O.O.,"," BANI 110,"," 10000 ZAGREB,"," OIB: 71629027685")</f>
        <v>ECCOS-INŽENJERING D.O.O., BANI 110, 10000 ZAGREB, OIB: 71629027685</v>
      </c>
      <c r="H2590" s="4"/>
      <c r="I2590" s="1" t="s">
        <v>579</v>
      </c>
      <c r="J2590" s="1" t="s">
        <v>469</v>
      </c>
      <c r="K2590" s="6" t="str">
        <f>"38.150,00"</f>
        <v>38.150,00</v>
      </c>
      <c r="L2590" s="6" t="str">
        <f>"9.537,50"</f>
        <v>9.537,50</v>
      </c>
      <c r="M2590" s="6" t="str">
        <f>"47.687,50"</f>
        <v>47.687,50</v>
      </c>
      <c r="N2590" s="5">
        <v>43634</v>
      </c>
      <c r="O2590" s="7"/>
      <c r="P2590" s="6" t="str">
        <f>"47.687,50"</f>
        <v>47.687,50</v>
      </c>
      <c r="Q2590" s="7"/>
      <c r="R2590" s="1"/>
      <c r="S2590" s="1" t="str">
        <f>"3-19/NOS-119-A/18"</f>
        <v>3-19/NOS-119-A/18</v>
      </c>
      <c r="T2590" s="2" t="s">
        <v>33</v>
      </c>
    </row>
    <row r="2591" spans="1:20" ht="51" x14ac:dyDescent="0.25">
      <c r="A2591" s="1">
        <v>2587</v>
      </c>
      <c r="B2591" s="1" t="str">
        <f>"2018-2728"</f>
        <v>2018-2728</v>
      </c>
      <c r="C2591" s="2" t="s">
        <v>1287</v>
      </c>
      <c r="D2591" s="1" t="s">
        <v>603</v>
      </c>
      <c r="E2591" s="3" t="str">
        <f>"2018/S 0F2-0034215"</f>
        <v>2018/S 0F2-0034215</v>
      </c>
      <c r="F2591" s="2" t="s">
        <v>23</v>
      </c>
      <c r="G2591" s="2" t="str">
        <f>CONCATENATE("SEDAM IT D.O.O.,"," KOLEDOVČINA 2,"," 10000 ZAGREB,"," OIB: 95661305069")</f>
        <v>SEDAM IT D.O.O., KOLEDOVČINA 2, 10000 ZAGREB, OIB: 95661305069</v>
      </c>
      <c r="H2591" s="4"/>
      <c r="I2591" s="1" t="s">
        <v>30</v>
      </c>
      <c r="J2591" s="1" t="s">
        <v>1285</v>
      </c>
      <c r="K2591" s="6" t="str">
        <f>"2.600.000,00"</f>
        <v>2.600.000,00</v>
      </c>
      <c r="L2591" s="6" t="str">
        <f>"650.000,00"</f>
        <v>650.000,00</v>
      </c>
      <c r="M2591" s="6" t="str">
        <f>"3.250.000,00"</f>
        <v>3.250.000,00</v>
      </c>
      <c r="N2591" s="7"/>
      <c r="O2591" s="7"/>
      <c r="P2591" s="6" t="str">
        <f>""</f>
        <v/>
      </c>
      <c r="Q2591" s="7"/>
      <c r="R2591" s="1"/>
      <c r="S2591" s="1" t="str">
        <f>"NOS-119-B/18"</f>
        <v>NOS-119-B/18</v>
      </c>
      <c r="T2591" s="2" t="s">
        <v>33</v>
      </c>
    </row>
    <row r="2592" spans="1:20" ht="51" x14ac:dyDescent="0.25">
      <c r="A2592" s="1">
        <v>2588</v>
      </c>
      <c r="B2592" s="1" t="str">
        <f>"2018-2728"</f>
        <v>2018-2728</v>
      </c>
      <c r="C2592" s="2" t="s">
        <v>1287</v>
      </c>
      <c r="D2592" s="4"/>
      <c r="E2592" s="3" t="str">
        <f>""</f>
        <v/>
      </c>
      <c r="F2592" s="2" t="s">
        <v>27</v>
      </c>
      <c r="G2592" s="2" t="str">
        <f>CONCATENATE("SEDAM IT D.O.O.,"," KOLEDOVČINA 2,"," 10000 ZAGREB,"," OIB: 95661305069")</f>
        <v>SEDAM IT D.O.O., KOLEDOVČINA 2, 10000 ZAGREB, OIB: 95661305069</v>
      </c>
      <c r="H2592" s="4"/>
      <c r="I2592" s="1" t="s">
        <v>521</v>
      </c>
      <c r="J2592" s="1" t="s">
        <v>619</v>
      </c>
      <c r="K2592" s="6" t="str">
        <f>"1.113.300,00"</f>
        <v>1.113.300,00</v>
      </c>
      <c r="L2592" s="6" t="str">
        <f>"278.325,00"</f>
        <v>278.325,00</v>
      </c>
      <c r="M2592" s="6" t="str">
        <f>"1.391.625,00"</f>
        <v>1.391.625,00</v>
      </c>
      <c r="N2592" s="1" t="s">
        <v>117</v>
      </c>
      <c r="O2592" s="7"/>
      <c r="P2592" s="6" t="str">
        <f>""</f>
        <v/>
      </c>
      <c r="Q2592" s="7"/>
      <c r="R2592" s="1"/>
      <c r="S2592" s="1" t="str">
        <f>"1-19/NOS-119-B/18"</f>
        <v>1-19/NOS-119-B/18</v>
      </c>
      <c r="T2592" s="2" t="s">
        <v>33</v>
      </c>
    </row>
    <row r="2593" spans="1:20" ht="38.25" x14ac:dyDescent="0.25">
      <c r="A2593" s="1">
        <v>2589</v>
      </c>
      <c r="B2593" s="1" t="str">
        <f>"2018-1444"</f>
        <v>2018-1444</v>
      </c>
      <c r="C2593" s="2" t="s">
        <v>1288</v>
      </c>
      <c r="D2593" s="1" t="s">
        <v>67</v>
      </c>
      <c r="E2593" s="3" t="str">
        <f>"2018/S 0F2-0037062"</f>
        <v>2018/S 0F2-0037062</v>
      </c>
      <c r="F2593" s="2" t="s">
        <v>23</v>
      </c>
      <c r="G2593" s="2" t="str">
        <f>CONCATENATE("KING ICT D.O.O.,"," BUZINSKI PRILAZ 10,"," 10010 ZAGREB,"," OIB: 67001695549")</f>
        <v>KING ICT D.O.O., BUZINSKI PRILAZ 10, 10010 ZAGREB, OIB: 67001695549</v>
      </c>
      <c r="H2593" s="4"/>
      <c r="I2593" s="1" t="s">
        <v>64</v>
      </c>
      <c r="J2593" s="1" t="s">
        <v>1289</v>
      </c>
      <c r="K2593" s="6" t="str">
        <f>"1.200.000,00"</f>
        <v>1.200.000,00</v>
      </c>
      <c r="L2593" s="6" t="str">
        <f>"300.000,00"</f>
        <v>300.000,00</v>
      </c>
      <c r="M2593" s="6" t="str">
        <f>"1.500.000,00"</f>
        <v>1.500.000,00</v>
      </c>
      <c r="N2593" s="7"/>
      <c r="O2593" s="7"/>
      <c r="P2593" s="6" t="str">
        <f>""</f>
        <v/>
      </c>
      <c r="Q2593" s="7"/>
      <c r="R2593" s="1"/>
      <c r="S2593" s="1" t="str">
        <f>"NOS-120/18"</f>
        <v>NOS-120/18</v>
      </c>
      <c r="T2593" s="2" t="s">
        <v>60</v>
      </c>
    </row>
    <row r="2594" spans="1:20" ht="38.25" x14ac:dyDescent="0.25">
      <c r="A2594" s="1">
        <v>2590</v>
      </c>
      <c r="B2594" s="1" t="str">
        <f>"2018-2730"</f>
        <v>2018-2730</v>
      </c>
      <c r="C2594" s="2" t="s">
        <v>1290</v>
      </c>
      <c r="D2594" s="1" t="s">
        <v>67</v>
      </c>
      <c r="E2594" s="3" t="str">
        <f>"2019/S 0F2-0000940"</f>
        <v>2019/S 0F2-0000940</v>
      </c>
      <c r="F2594" s="2" t="s">
        <v>23</v>
      </c>
      <c r="G2594" s="2" t="str">
        <f>CONCATENATE("IN2 D.O.O.,"," MAROHNIĆEVA 1/1,"," 10000 ZAGREB,"," OIB: 68195665956")</f>
        <v>IN2 D.O.O., MAROHNIĆEVA 1/1, 10000 ZAGREB, OIB: 68195665956</v>
      </c>
      <c r="H2594" s="4"/>
      <c r="I2594" s="1" t="s">
        <v>64</v>
      </c>
      <c r="J2594" s="1" t="s">
        <v>1289</v>
      </c>
      <c r="K2594" s="6" t="str">
        <f>"6.000.000,00"</f>
        <v>6.000.000,00</v>
      </c>
      <c r="L2594" s="6" t="str">
        <f>"1.500.000,00"</f>
        <v>1.500.000,00</v>
      </c>
      <c r="M2594" s="6" t="str">
        <f>"7.500.000,00"</f>
        <v>7.500.000,00</v>
      </c>
      <c r="N2594" s="7"/>
      <c r="O2594" s="7"/>
      <c r="P2594" s="6" t="str">
        <f>""</f>
        <v/>
      </c>
      <c r="Q2594" s="7"/>
      <c r="R2594" s="1"/>
      <c r="S2594" s="1" t="str">
        <f>"NOS-121/18"</f>
        <v>NOS-121/18</v>
      </c>
      <c r="T2594" s="2" t="s">
        <v>33</v>
      </c>
    </row>
    <row r="2595" spans="1:20" ht="38.25" x14ac:dyDescent="0.25">
      <c r="A2595" s="1">
        <v>2591</v>
      </c>
      <c r="B2595" s="1" t="str">
        <f t="shared" ref="B2595:B2616" si="258">"2018-2905"</f>
        <v>2018-2905</v>
      </c>
      <c r="C2595" s="2" t="s">
        <v>1291</v>
      </c>
      <c r="D2595" s="1" t="s">
        <v>197</v>
      </c>
      <c r="E2595" s="3" t="str">
        <f>"2018/S 0F2-0025330"</f>
        <v>2018/S 0F2-0025330</v>
      </c>
      <c r="F2595" s="2" t="s">
        <v>23</v>
      </c>
      <c r="G2595" s="2" t="str">
        <f>CONCATENATE("DREZGA D.O.O.,"," OBRTNIČKA 2,"," 10437 BESTOVJE,"," OIB: 46535283602")</f>
        <v>DREZGA D.O.O., OBRTNIČKA 2, 10437 BESTOVJE, OIB: 46535283602</v>
      </c>
      <c r="H2595" s="4"/>
      <c r="I2595" s="1" t="s">
        <v>332</v>
      </c>
      <c r="J2595" s="1" t="s">
        <v>1292</v>
      </c>
      <c r="K2595" s="6" t="str">
        <f>"325.000,00"</f>
        <v>325.000,00</v>
      </c>
      <c r="L2595" s="6" t="str">
        <f>"81.250,00"</f>
        <v>81.250,00</v>
      </c>
      <c r="M2595" s="6" t="str">
        <f>"406.250,00"</f>
        <v>406.250,00</v>
      </c>
      <c r="N2595" s="7"/>
      <c r="O2595" s="7"/>
      <c r="P2595" s="6" t="str">
        <f>""</f>
        <v/>
      </c>
      <c r="Q2595" s="7"/>
      <c r="R2595" s="1"/>
      <c r="S2595" s="1" t="str">
        <f>"NOS-122-A/18"</f>
        <v>NOS-122-A/18</v>
      </c>
      <c r="T2595" s="2" t="s">
        <v>33</v>
      </c>
    </row>
    <row r="2596" spans="1:20" ht="25.5" x14ac:dyDescent="0.25">
      <c r="A2596" s="1">
        <v>2592</v>
      </c>
      <c r="B2596" s="1" t="str">
        <f t="shared" si="258"/>
        <v>2018-2905</v>
      </c>
      <c r="C2596" s="2" t="s">
        <v>1291</v>
      </c>
      <c r="D2596" s="1" t="s">
        <v>197</v>
      </c>
      <c r="E2596" s="3" t="str">
        <f>""</f>
        <v/>
      </c>
      <c r="F2596" s="2" t="s">
        <v>27</v>
      </c>
      <c r="G2596" s="2" t="str">
        <f>CONCATENATE("DREZGA D.O.O.,"," OBRTNIČKA 2,"," 10437 BESTOVJE,"," OIB: 46535283602")</f>
        <v>DREZGA D.O.O., OBRTNIČKA 2, 10437 BESTOVJE, OIB: 46535283602</v>
      </c>
      <c r="H2596" s="4"/>
      <c r="I2596" s="1" t="s">
        <v>25</v>
      </c>
      <c r="J2596" s="1" t="s">
        <v>121</v>
      </c>
      <c r="K2596" s="6" t="str">
        <f>"16.463,50"</f>
        <v>16.463,50</v>
      </c>
      <c r="L2596" s="6" t="str">
        <f>"4.115,88"</f>
        <v>4.115,88</v>
      </c>
      <c r="M2596" s="6" t="str">
        <f>"20.579,38"</f>
        <v>20.579,38</v>
      </c>
      <c r="N2596" s="5">
        <v>43606</v>
      </c>
      <c r="O2596" s="7"/>
      <c r="P2596" s="6" t="str">
        <f>"20.579,38"</f>
        <v>20.579,38</v>
      </c>
      <c r="Q2596" s="7"/>
      <c r="R2596" s="1"/>
      <c r="S2596" s="1" t="str">
        <f>"1-19/NOS-122-A/18"</f>
        <v>1-19/NOS-122-A/18</v>
      </c>
      <c r="T2596" s="2" t="s">
        <v>33</v>
      </c>
    </row>
    <row r="2597" spans="1:20" ht="25.5" x14ac:dyDescent="0.25">
      <c r="A2597" s="1">
        <v>2593</v>
      </c>
      <c r="B2597" s="1" t="str">
        <f t="shared" si="258"/>
        <v>2018-2905</v>
      </c>
      <c r="C2597" s="2" t="s">
        <v>1291</v>
      </c>
      <c r="D2597" s="1" t="s">
        <v>197</v>
      </c>
      <c r="E2597" s="3" t="str">
        <f>""</f>
        <v/>
      </c>
      <c r="F2597" s="2" t="s">
        <v>27</v>
      </c>
      <c r="G2597" s="2" t="str">
        <f>CONCATENATE("DREZGA D.O.O.,"," OBRTNIČKA 2,"," 10437 BESTOVJE,"," OIB: 46535283602")</f>
        <v>DREZGA D.O.O., OBRTNIČKA 2, 10437 BESTOVJE, OIB: 46535283602</v>
      </c>
      <c r="H2597" s="4"/>
      <c r="I2597" s="1" t="s">
        <v>639</v>
      </c>
      <c r="J2597" s="1" t="s">
        <v>121</v>
      </c>
      <c r="K2597" s="6" t="str">
        <f>"1.916,80"</f>
        <v>1.916,80</v>
      </c>
      <c r="L2597" s="6" t="str">
        <f>"479,20"</f>
        <v>479,20</v>
      </c>
      <c r="M2597" s="6" t="str">
        <f>"2.396,00"</f>
        <v>2.396,00</v>
      </c>
      <c r="N2597" s="5">
        <v>43620</v>
      </c>
      <c r="O2597" s="7"/>
      <c r="P2597" s="6" t="str">
        <f>"2.396,00"</f>
        <v>2.396,00</v>
      </c>
      <c r="Q2597" s="7"/>
      <c r="R2597" s="1"/>
      <c r="S2597" s="1" t="str">
        <f>"2-19/NOS-122-A/18"</f>
        <v>2-19/NOS-122-A/18</v>
      </c>
      <c r="T2597" s="2" t="s">
        <v>33</v>
      </c>
    </row>
    <row r="2598" spans="1:20" ht="38.25" x14ac:dyDescent="0.25">
      <c r="A2598" s="1">
        <v>2594</v>
      </c>
      <c r="B2598" s="1" t="str">
        <f t="shared" si="258"/>
        <v>2018-2905</v>
      </c>
      <c r="C2598" s="2" t="s">
        <v>1291</v>
      </c>
      <c r="D2598" s="1" t="s">
        <v>197</v>
      </c>
      <c r="E2598" s="3" t="str">
        <f>"2018/S 0F2-0025330"</f>
        <v>2018/S 0F2-0025330</v>
      </c>
      <c r="F2598" s="2" t="s">
        <v>23</v>
      </c>
      <c r="G2598" s="2" t="str">
        <f>CONCATENATE("HONGOLDONIA D.O.O.,"," RUJANSKA 4,"," 10000 ZAGREB,"," OIB: 7925585026")</f>
        <v>HONGOLDONIA D.O.O., RUJANSKA 4, 10000 ZAGREB, OIB: 7925585026</v>
      </c>
      <c r="H2598" s="4"/>
      <c r="I2598" s="1" t="s">
        <v>494</v>
      </c>
      <c r="J2598" s="1" t="s">
        <v>1293</v>
      </c>
      <c r="K2598" s="6" t="str">
        <f>"1.100.000,00"</f>
        <v>1.100.000,00</v>
      </c>
      <c r="L2598" s="6" t="str">
        <f>"275.000,00"</f>
        <v>275.000,00</v>
      </c>
      <c r="M2598" s="6" t="str">
        <f>"1.375.000,00"</f>
        <v>1.375.000,00</v>
      </c>
      <c r="N2598" s="7"/>
      <c r="O2598" s="7"/>
      <c r="P2598" s="6" t="str">
        <f>""</f>
        <v/>
      </c>
      <c r="Q2598" s="7"/>
      <c r="R2598" s="1"/>
      <c r="S2598" s="1" t="str">
        <f>"NOS-122-B/18"</f>
        <v>NOS-122-B/18</v>
      </c>
      <c r="T2598" s="2" t="s">
        <v>33</v>
      </c>
    </row>
    <row r="2599" spans="1:20" ht="25.5" x14ac:dyDescent="0.25">
      <c r="A2599" s="1">
        <v>2595</v>
      </c>
      <c r="B2599" s="1" t="str">
        <f t="shared" si="258"/>
        <v>2018-2905</v>
      </c>
      <c r="C2599" s="2" t="s">
        <v>1291</v>
      </c>
      <c r="D2599" s="1" t="s">
        <v>197</v>
      </c>
      <c r="E2599" s="3" t="str">
        <f>""</f>
        <v/>
      </c>
      <c r="F2599" s="2" t="s">
        <v>27</v>
      </c>
      <c r="G2599" s="2" t="str">
        <f>CONCATENATE("HONGOLDONIA D.O.O.,"," RUJANSKA 4,"," 10000 ZAGREB,"," OIB: 7925585026")</f>
        <v>HONGOLDONIA D.O.O., RUJANSKA 4, 10000 ZAGREB, OIB: 7925585026</v>
      </c>
      <c r="H2599" s="4"/>
      <c r="I2599" s="1" t="s">
        <v>639</v>
      </c>
      <c r="J2599" s="1" t="s">
        <v>303</v>
      </c>
      <c r="K2599" s="6" t="str">
        <f>"45.472,50"</f>
        <v>45.472,50</v>
      </c>
      <c r="L2599" s="6" t="str">
        <f>"11.245,63"</f>
        <v>11.245,63</v>
      </c>
      <c r="M2599" s="6" t="str">
        <f>"56.228,13"</f>
        <v>56.228,13</v>
      </c>
      <c r="N2599" s="5">
        <v>43623</v>
      </c>
      <c r="O2599" s="7"/>
      <c r="P2599" s="6" t="str">
        <f>"56.228,12"</f>
        <v>56.228,12</v>
      </c>
      <c r="Q2599" s="7"/>
      <c r="R2599" s="1"/>
      <c r="S2599" s="1" t="str">
        <f>"1-19/NOS-122-B/18"</f>
        <v>1-19/NOS-122-B/18</v>
      </c>
      <c r="T2599" s="2" t="s">
        <v>33</v>
      </c>
    </row>
    <row r="2600" spans="1:20" ht="25.5" x14ac:dyDescent="0.25">
      <c r="A2600" s="1">
        <v>2596</v>
      </c>
      <c r="B2600" s="1" t="str">
        <f t="shared" si="258"/>
        <v>2018-2905</v>
      </c>
      <c r="C2600" s="2" t="s">
        <v>1291</v>
      </c>
      <c r="D2600" s="1" t="s">
        <v>197</v>
      </c>
      <c r="E2600" s="3" t="str">
        <f>""</f>
        <v/>
      </c>
      <c r="F2600" s="2" t="s">
        <v>27</v>
      </c>
      <c r="G2600" s="2" t="str">
        <f>CONCATENATE("HONGOLDONIA D.O.O.,"," RUJANSKA 4,"," 10000 ZAGREB,"," OIB: 7925585026")</f>
        <v>HONGOLDONIA D.O.O., RUJANSKA 4, 10000 ZAGREB, OIB: 7925585026</v>
      </c>
      <c r="H2600" s="4"/>
      <c r="I2600" s="1" t="s">
        <v>403</v>
      </c>
      <c r="J2600" s="1" t="s">
        <v>404</v>
      </c>
      <c r="K2600" s="6" t="str">
        <f>"66.597,00"</f>
        <v>66.597,00</v>
      </c>
      <c r="L2600" s="6" t="str">
        <f>"16.649,25"</f>
        <v>16.649,25</v>
      </c>
      <c r="M2600" s="6" t="str">
        <f>"83.246,25"</f>
        <v>83.246,25</v>
      </c>
      <c r="N2600" s="5">
        <v>43661</v>
      </c>
      <c r="O2600" s="7"/>
      <c r="P2600" s="6" t="str">
        <f>"83.247,50"</f>
        <v>83.247,50</v>
      </c>
      <c r="Q2600" s="7"/>
      <c r="R2600" s="1"/>
      <c r="S2600" s="1" t="str">
        <f>"3-19/NOS-122-B/18"</f>
        <v>3-19/NOS-122-B/18</v>
      </c>
      <c r="T2600" s="2" t="s">
        <v>33</v>
      </c>
    </row>
    <row r="2601" spans="1:20" ht="38.25" x14ac:dyDescent="0.25">
      <c r="A2601" s="1">
        <v>2597</v>
      </c>
      <c r="B2601" s="1" t="str">
        <f t="shared" si="258"/>
        <v>2018-2905</v>
      </c>
      <c r="C2601" s="2" t="s">
        <v>1291</v>
      </c>
      <c r="D2601" s="1" t="s">
        <v>197</v>
      </c>
      <c r="E2601" s="3" t="str">
        <f>"2018/S 0F2-0025330"</f>
        <v>2018/S 0F2-0025330</v>
      </c>
      <c r="F2601" s="2" t="s">
        <v>23</v>
      </c>
      <c r="G2601" s="2" t="str">
        <f>CONCATENATE("TECHNO SPIN D.O.O.,"," ULICA GRADA WIRGESA 2,"," 10430 SAMOBOR,"," OIB: 81538666662")</f>
        <v>TECHNO SPIN D.O.O., ULICA GRADA WIRGESA 2, 10430 SAMOBOR, OIB: 81538666662</v>
      </c>
      <c r="H2601" s="4"/>
      <c r="I2601" s="1" t="s">
        <v>494</v>
      </c>
      <c r="J2601" s="1" t="s">
        <v>1293</v>
      </c>
      <c r="K2601" s="6" t="str">
        <f>"800.000,00"</f>
        <v>800.000,00</v>
      </c>
      <c r="L2601" s="6" t="str">
        <f>"200.000,00"</f>
        <v>200.000,00</v>
      </c>
      <c r="M2601" s="6" t="str">
        <f>"1.000.000,00"</f>
        <v>1.000.000,00</v>
      </c>
      <c r="N2601" s="7"/>
      <c r="O2601" s="7"/>
      <c r="P2601" s="6" t="str">
        <f>""</f>
        <v/>
      </c>
      <c r="Q2601" s="7"/>
      <c r="R2601" s="1"/>
      <c r="S2601" s="1" t="str">
        <f>"NOS-122-C/18"</f>
        <v>NOS-122-C/18</v>
      </c>
      <c r="T2601" s="2" t="s">
        <v>33</v>
      </c>
    </row>
    <row r="2602" spans="1:20" ht="25.5" x14ac:dyDescent="0.25">
      <c r="A2602" s="1">
        <v>2598</v>
      </c>
      <c r="B2602" s="1" t="str">
        <f t="shared" si="258"/>
        <v>2018-2905</v>
      </c>
      <c r="C2602" s="2" t="s">
        <v>1291</v>
      </c>
      <c r="D2602" s="1" t="s">
        <v>197</v>
      </c>
      <c r="E2602" s="3" t="str">
        <f>""</f>
        <v/>
      </c>
      <c r="F2602" s="2" t="s">
        <v>27</v>
      </c>
      <c r="G2602" s="2" t="str">
        <f>CONCATENATE("TECHNO SPIN D.O.O.,"," ULICA GRADA WIRGESA 2,"," 10430 SAMOBOR,"," OIB: 81538666662")</f>
        <v>TECHNO SPIN D.O.O., ULICA GRADA WIRGESA 2, 10430 SAMOBOR, OIB: 81538666662</v>
      </c>
      <c r="H2602" s="4"/>
      <c r="I2602" s="1" t="s">
        <v>628</v>
      </c>
      <c r="J2602" s="1" t="s">
        <v>121</v>
      </c>
      <c r="K2602" s="6" t="str">
        <f>"91.836,28"</f>
        <v>91.836,28</v>
      </c>
      <c r="L2602" s="6" t="str">
        <f>"22.959,07"</f>
        <v>22.959,07</v>
      </c>
      <c r="M2602" s="6" t="str">
        <f>"114.795,35"</f>
        <v>114.795,35</v>
      </c>
      <c r="N2602" s="5">
        <v>43671</v>
      </c>
      <c r="O2602" s="7"/>
      <c r="P2602" s="6" t="str">
        <f>"114.795,35"</f>
        <v>114.795,35</v>
      </c>
      <c r="Q2602" s="7"/>
      <c r="R2602" s="1"/>
      <c r="S2602" s="1" t="str">
        <f>"1-19/NOS-122-C/18"</f>
        <v>1-19/NOS-122-C/18</v>
      </c>
      <c r="T2602" s="2" t="s">
        <v>33</v>
      </c>
    </row>
    <row r="2603" spans="1:20" ht="38.25" x14ac:dyDescent="0.25">
      <c r="A2603" s="1">
        <v>2599</v>
      </c>
      <c r="B2603" s="1" t="str">
        <f t="shared" si="258"/>
        <v>2018-2905</v>
      </c>
      <c r="C2603" s="2" t="s">
        <v>1291</v>
      </c>
      <c r="D2603" s="1" t="s">
        <v>197</v>
      </c>
      <c r="E2603" s="3" t="str">
        <f>"2018/S 0F2-0025330"</f>
        <v>2018/S 0F2-0025330</v>
      </c>
      <c r="F2603" s="2" t="s">
        <v>23</v>
      </c>
      <c r="G2603" s="2" t="str">
        <f>CONCATENATE("POLJOOPSKRBA-TEHNO D.D.,"," SAMOBORSKA 96,"," 10000 ZAGREB,"," OIB: 5372167324")</f>
        <v>POLJOOPSKRBA-TEHNO D.D., SAMOBORSKA 96, 10000 ZAGREB, OIB: 5372167324</v>
      </c>
      <c r="H2603" s="4"/>
      <c r="I2603" s="1" t="s">
        <v>494</v>
      </c>
      <c r="J2603" s="1" t="s">
        <v>1293</v>
      </c>
      <c r="K2603" s="6" t="str">
        <f>"2.004.500,00"</f>
        <v>2.004.500,00</v>
      </c>
      <c r="L2603" s="6" t="str">
        <f>"501.125,00"</f>
        <v>501.125,00</v>
      </c>
      <c r="M2603" s="6" t="str">
        <f>"2.505.625,00"</f>
        <v>2.505.625,00</v>
      </c>
      <c r="N2603" s="7"/>
      <c r="O2603" s="7"/>
      <c r="P2603" s="6" t="str">
        <f>""</f>
        <v/>
      </c>
      <c r="Q2603" s="7"/>
      <c r="R2603" s="1"/>
      <c r="S2603" s="1" t="str">
        <f>"NOS-122-D/18"</f>
        <v>NOS-122-D/18</v>
      </c>
      <c r="T2603" s="2" t="s">
        <v>33</v>
      </c>
    </row>
    <row r="2604" spans="1:20" ht="25.5" x14ac:dyDescent="0.25">
      <c r="A2604" s="1">
        <v>2600</v>
      </c>
      <c r="B2604" s="1" t="str">
        <f t="shared" si="258"/>
        <v>2018-2905</v>
      </c>
      <c r="C2604" s="2" t="s">
        <v>1291</v>
      </c>
      <c r="D2604" s="1" t="s">
        <v>197</v>
      </c>
      <c r="E2604" s="3" t="str">
        <f>""</f>
        <v/>
      </c>
      <c r="F2604" s="2" t="s">
        <v>27</v>
      </c>
      <c r="G2604" s="2" t="str">
        <f>CONCATENATE("POLJOOPSKRBA-TEHNO D.D.,"," SAMOBORSKA 96,"," 10000 ZAGREB,"," OIB: 5372167324")</f>
        <v>POLJOOPSKRBA-TEHNO D.D., SAMOBORSKA 96, 10000 ZAGREB, OIB: 5372167324</v>
      </c>
      <c r="H2604" s="4"/>
      <c r="I2604" s="1" t="s">
        <v>639</v>
      </c>
      <c r="J2604" s="1" t="s">
        <v>251</v>
      </c>
      <c r="K2604" s="6" t="str">
        <f>"2.919,50"</f>
        <v>2.919,50</v>
      </c>
      <c r="L2604" s="6" t="str">
        <f>"729,88"</f>
        <v>729,88</v>
      </c>
      <c r="M2604" s="6" t="str">
        <f>"3.649,38"</f>
        <v>3.649,38</v>
      </c>
      <c r="N2604" s="5">
        <v>43627</v>
      </c>
      <c r="O2604" s="7"/>
      <c r="P2604" s="6" t="str">
        <f>"3.649,38"</f>
        <v>3.649,38</v>
      </c>
      <c r="Q2604" s="7"/>
      <c r="R2604" s="1"/>
      <c r="S2604" s="1" t="str">
        <f>"2-19/NOS-122-D/18"</f>
        <v>2-19/NOS-122-D/18</v>
      </c>
      <c r="T2604" s="2" t="s">
        <v>33</v>
      </c>
    </row>
    <row r="2605" spans="1:20" ht="25.5" x14ac:dyDescent="0.25">
      <c r="A2605" s="1">
        <v>2601</v>
      </c>
      <c r="B2605" s="1" t="str">
        <f t="shared" si="258"/>
        <v>2018-2905</v>
      </c>
      <c r="C2605" s="2" t="s">
        <v>1291</v>
      </c>
      <c r="D2605" s="1" t="s">
        <v>197</v>
      </c>
      <c r="E2605" s="3" t="str">
        <f>""</f>
        <v/>
      </c>
      <c r="F2605" s="2" t="s">
        <v>27</v>
      </c>
      <c r="G2605" s="2" t="str">
        <f>CONCATENATE("POLJOOPSKRBA-TEHNO D.D.,"," SAMOBORSKA 96,"," 10000 ZAGREB,"," OIB: 5372167324")</f>
        <v>POLJOOPSKRBA-TEHNO D.D., SAMOBORSKA 96, 10000 ZAGREB, OIB: 5372167324</v>
      </c>
      <c r="H2605" s="4"/>
      <c r="I2605" s="1" t="s">
        <v>403</v>
      </c>
      <c r="J2605" s="1" t="s">
        <v>404</v>
      </c>
      <c r="K2605" s="6" t="str">
        <f>"48.750,00"</f>
        <v>48.750,00</v>
      </c>
      <c r="L2605" s="6" t="str">
        <f>"12.187,50"</f>
        <v>12.187,50</v>
      </c>
      <c r="M2605" s="6" t="str">
        <f>"60.937,50"</f>
        <v>60.937,50</v>
      </c>
      <c r="N2605" s="5">
        <v>43672</v>
      </c>
      <c r="O2605" s="7"/>
      <c r="P2605" s="6" t="str">
        <f>"59.250,00"</f>
        <v>59.250,00</v>
      </c>
      <c r="Q2605" s="7"/>
      <c r="R2605" s="1"/>
      <c r="S2605" s="1" t="str">
        <f>"5-19/NOS-122-D/18"</f>
        <v>5-19/NOS-122-D/18</v>
      </c>
      <c r="T2605" s="2" t="s">
        <v>33</v>
      </c>
    </row>
    <row r="2606" spans="1:20" ht="38.25" x14ac:dyDescent="0.25">
      <c r="A2606" s="1">
        <v>2602</v>
      </c>
      <c r="B2606" s="1" t="str">
        <f t="shared" si="258"/>
        <v>2018-2905</v>
      </c>
      <c r="C2606" s="2" t="s">
        <v>1291</v>
      </c>
      <c r="D2606" s="1" t="s">
        <v>197</v>
      </c>
      <c r="E2606" s="3" t="str">
        <f>"2018/S 0F2-0025330"</f>
        <v>2018/S 0F2-0025330</v>
      </c>
      <c r="F2606" s="2" t="s">
        <v>23</v>
      </c>
      <c r="G2606" s="2" t="str">
        <f>CONCATENATE("AUTO-MAG D.O.O.,"," GORNJOSTUPNIČKA 1/d,"," 10255 GORNJI STUPNIK,"," OIB: 99940897955")</f>
        <v>AUTO-MAG D.O.O., GORNJOSTUPNIČKA 1/d, 10255 GORNJI STUPNIK, OIB: 99940897955</v>
      </c>
      <c r="H2606" s="4"/>
      <c r="I2606" s="1" t="s">
        <v>332</v>
      </c>
      <c r="J2606" s="1" t="s">
        <v>1292</v>
      </c>
      <c r="K2606" s="6" t="str">
        <f>"3.000.000,00"</f>
        <v>3.000.000,00</v>
      </c>
      <c r="L2606" s="6" t="str">
        <f>"750.000,00"</f>
        <v>750.000,00</v>
      </c>
      <c r="M2606" s="6" t="str">
        <f>"3.750.000,00"</f>
        <v>3.750.000,00</v>
      </c>
      <c r="N2606" s="7"/>
      <c r="O2606" s="7"/>
      <c r="P2606" s="6" t="str">
        <f>""</f>
        <v/>
      </c>
      <c r="Q2606" s="7"/>
      <c r="R2606" s="1"/>
      <c r="S2606" s="1" t="str">
        <f>"NOS-122-E/18"</f>
        <v>NOS-122-E/18</v>
      </c>
      <c r="T2606" s="2" t="s">
        <v>33</v>
      </c>
    </row>
    <row r="2607" spans="1:20" ht="38.25" x14ac:dyDescent="0.25">
      <c r="A2607" s="1">
        <v>2603</v>
      </c>
      <c r="B2607" s="1" t="str">
        <f t="shared" si="258"/>
        <v>2018-2905</v>
      </c>
      <c r="C2607" s="2" t="s">
        <v>1291</v>
      </c>
      <c r="D2607" s="1" t="s">
        <v>197</v>
      </c>
      <c r="E2607" s="3" t="str">
        <f>"2018/S 0F2-0025330"</f>
        <v>2018/S 0F2-0025330</v>
      </c>
      <c r="F2607" s="2" t="s">
        <v>23</v>
      </c>
      <c r="G2607" s="2" t="str">
        <f>CONCATENATE("VITIS D.O.O.,"," DINARSKI PUT 1C,"," 10000 ZAGREB,"," OIB: 96887244333")</f>
        <v>VITIS D.O.O., DINARSKI PUT 1C, 10000 ZAGREB, OIB: 96887244333</v>
      </c>
      <c r="H2607" s="4"/>
      <c r="I2607" s="1" t="s">
        <v>332</v>
      </c>
      <c r="J2607" s="1" t="s">
        <v>1292</v>
      </c>
      <c r="K2607" s="6" t="str">
        <f>"400.000,00"</f>
        <v>400.000,00</v>
      </c>
      <c r="L2607" s="6" t="str">
        <f>"100.000,00"</f>
        <v>100.000,00</v>
      </c>
      <c r="M2607" s="6" t="str">
        <f>"500.000,00"</f>
        <v>500.000,00</v>
      </c>
      <c r="N2607" s="7"/>
      <c r="O2607" s="7"/>
      <c r="P2607" s="6" t="str">
        <f>""</f>
        <v/>
      </c>
      <c r="Q2607" s="7"/>
      <c r="R2607" s="1"/>
      <c r="S2607" s="1" t="str">
        <f>"NOS-122-F/18"</f>
        <v>NOS-122-F/18</v>
      </c>
      <c r="T2607" s="2" t="s">
        <v>33</v>
      </c>
    </row>
    <row r="2608" spans="1:20" ht="25.5" x14ac:dyDescent="0.25">
      <c r="A2608" s="1">
        <v>2604</v>
      </c>
      <c r="B2608" s="1" t="str">
        <f t="shared" si="258"/>
        <v>2018-2905</v>
      </c>
      <c r="C2608" s="2" t="s">
        <v>1291</v>
      </c>
      <c r="D2608" s="1" t="s">
        <v>197</v>
      </c>
      <c r="E2608" s="3" t="str">
        <f>""</f>
        <v/>
      </c>
      <c r="F2608" s="2" t="s">
        <v>27</v>
      </c>
      <c r="G2608" s="2" t="str">
        <f>CONCATENATE("VITIS D.O.O.,"," DINARSKI PUT 1C,"," 10000 ZAGREB,"," OIB: 96887244333")</f>
        <v>VITIS D.O.O., DINARSKI PUT 1C, 10000 ZAGREB, OIB: 96887244333</v>
      </c>
      <c r="H2608" s="4"/>
      <c r="I2608" s="1" t="s">
        <v>424</v>
      </c>
      <c r="J2608" s="1" t="s">
        <v>121</v>
      </c>
      <c r="K2608" s="6" t="str">
        <f>"225.412,30"</f>
        <v>225.412,30</v>
      </c>
      <c r="L2608" s="6" t="str">
        <f>"56.353,08"</f>
        <v>56.353,08</v>
      </c>
      <c r="M2608" s="6" t="str">
        <f>"281.765,38"</f>
        <v>281.765,38</v>
      </c>
      <c r="N2608" s="5">
        <v>43649</v>
      </c>
      <c r="O2608" s="7"/>
      <c r="P2608" s="6" t="str">
        <f>"281.765,38"</f>
        <v>281.765,38</v>
      </c>
      <c r="Q2608" s="7"/>
      <c r="R2608" s="1"/>
      <c r="S2608" s="1" t="str">
        <f>"1-19/NOS-122-F/18"</f>
        <v>1-19/NOS-122-F/18</v>
      </c>
      <c r="T2608" s="2" t="s">
        <v>33</v>
      </c>
    </row>
    <row r="2609" spans="1:20" ht="38.25" x14ac:dyDescent="0.25">
      <c r="A2609" s="1">
        <v>2605</v>
      </c>
      <c r="B2609" s="1" t="str">
        <f t="shared" si="258"/>
        <v>2018-2905</v>
      </c>
      <c r="C2609" s="2" t="s">
        <v>1291</v>
      </c>
      <c r="D2609" s="1" t="s">
        <v>197</v>
      </c>
      <c r="E2609" s="3" t="str">
        <f>"2018/S 0F2-0025330"</f>
        <v>2018/S 0F2-0025330</v>
      </c>
      <c r="F2609" s="2" t="s">
        <v>23</v>
      </c>
      <c r="G2609" s="2" t="str">
        <f>CONCATENATE("TECHNO SPIN D.O.O.,"," ULICA GRADA WIRGESA 2,"," 10430 SAMOBOR,"," OIB: 81538666662")</f>
        <v>TECHNO SPIN D.O.O., ULICA GRADA WIRGESA 2, 10430 SAMOBOR, OIB: 81538666662</v>
      </c>
      <c r="H2609" s="4"/>
      <c r="I2609" s="1" t="s">
        <v>332</v>
      </c>
      <c r="J2609" s="1" t="s">
        <v>1292</v>
      </c>
      <c r="K2609" s="6" t="str">
        <f>"400.000,00"</f>
        <v>400.000,00</v>
      </c>
      <c r="L2609" s="6" t="str">
        <f>"100.000,00"</f>
        <v>100.000,00</v>
      </c>
      <c r="M2609" s="6" t="str">
        <f>"500.000,00"</f>
        <v>500.000,00</v>
      </c>
      <c r="N2609" s="7"/>
      <c r="O2609" s="7"/>
      <c r="P2609" s="6" t="str">
        <f>""</f>
        <v/>
      </c>
      <c r="Q2609" s="7"/>
      <c r="R2609" s="1"/>
      <c r="S2609" s="1" t="str">
        <f>"NOS-122-G/18"</f>
        <v>NOS-122-G/18</v>
      </c>
      <c r="T2609" s="2" t="s">
        <v>33</v>
      </c>
    </row>
    <row r="2610" spans="1:20" ht="25.5" x14ac:dyDescent="0.25">
      <c r="A2610" s="1">
        <v>2606</v>
      </c>
      <c r="B2610" s="1" t="str">
        <f t="shared" si="258"/>
        <v>2018-2905</v>
      </c>
      <c r="C2610" s="2" t="s">
        <v>1291</v>
      </c>
      <c r="D2610" s="1" t="s">
        <v>197</v>
      </c>
      <c r="E2610" s="3" t="str">
        <f>""</f>
        <v/>
      </c>
      <c r="F2610" s="2" t="s">
        <v>27</v>
      </c>
      <c r="G2610" s="2" t="str">
        <f>CONCATENATE("TECHNO SPIN D.O.O.,"," ULICA GRADA WIRGESA 2,"," 10430 SAMOBOR,"," OIB: 81538666662")</f>
        <v>TECHNO SPIN D.O.O., ULICA GRADA WIRGESA 2, 10430 SAMOBOR, OIB: 81538666662</v>
      </c>
      <c r="H2610" s="4"/>
      <c r="I2610" s="1" t="s">
        <v>25</v>
      </c>
      <c r="J2610" s="1" t="s">
        <v>121</v>
      </c>
      <c r="K2610" s="6" t="str">
        <f>"52.623,30"</f>
        <v>52.623,30</v>
      </c>
      <c r="L2610" s="6" t="str">
        <f>"13.155,83"</f>
        <v>13.155,83</v>
      </c>
      <c r="M2610" s="6" t="str">
        <f>"65.779,13"</f>
        <v>65.779,13</v>
      </c>
      <c r="N2610" s="5">
        <v>43607</v>
      </c>
      <c r="O2610" s="7"/>
      <c r="P2610" s="6" t="str">
        <f>"65.779,12"</f>
        <v>65.779,12</v>
      </c>
      <c r="Q2610" s="7"/>
      <c r="R2610" s="1"/>
      <c r="S2610" s="1" t="str">
        <f>"1-19/NOS-122-G/18"</f>
        <v>1-19/NOS-122-G/18</v>
      </c>
      <c r="T2610" s="2" t="s">
        <v>33</v>
      </c>
    </row>
    <row r="2611" spans="1:20" ht="38.25" x14ac:dyDescent="0.25">
      <c r="A2611" s="1">
        <v>2607</v>
      </c>
      <c r="B2611" s="1" t="str">
        <f t="shared" si="258"/>
        <v>2018-2905</v>
      </c>
      <c r="C2611" s="2" t="s">
        <v>1291</v>
      </c>
      <c r="D2611" s="1" t="s">
        <v>197</v>
      </c>
      <c r="E2611" s="3" t="str">
        <f>"2018/S 0F2-0025330"</f>
        <v>2018/S 0F2-0025330</v>
      </c>
      <c r="F2611" s="2" t="s">
        <v>23</v>
      </c>
      <c r="G2611" s="2" t="str">
        <f>CONCATENATE("AGRO - DOM,"," VL. ZORAN CRNOMARKOVIĆ I DUBRAVKO KUŠ,"," BUNIĆEVA 20,"," 10000 ZAGREB,"," OIB: 47865426584")</f>
        <v>AGRO - DOM, VL. ZORAN CRNOMARKOVIĆ I DUBRAVKO KUŠ, BUNIĆEVA 20, 10000 ZAGREB, OIB: 47865426584</v>
      </c>
      <c r="H2611" s="4"/>
      <c r="I2611" s="1" t="s">
        <v>499</v>
      </c>
      <c r="J2611" s="1" t="s">
        <v>1294</v>
      </c>
      <c r="K2611" s="6" t="str">
        <f>"2.010.000,00"</f>
        <v>2.010.000,00</v>
      </c>
      <c r="L2611" s="6" t="str">
        <f>"502.500,00"</f>
        <v>502.500,00</v>
      </c>
      <c r="M2611" s="6" t="str">
        <f>"2.512.500,00"</f>
        <v>2.512.500,00</v>
      </c>
      <c r="N2611" s="7"/>
      <c r="O2611" s="7"/>
      <c r="P2611" s="6" t="str">
        <f>""</f>
        <v/>
      </c>
      <c r="Q2611" s="7"/>
      <c r="R2611" s="1"/>
      <c r="S2611" s="1" t="str">
        <f>"NOS-122-H/18"</f>
        <v>NOS-122-H/18</v>
      </c>
      <c r="T2611" s="2" t="s">
        <v>33</v>
      </c>
    </row>
    <row r="2612" spans="1:20" ht="38.25" x14ac:dyDescent="0.25">
      <c r="A2612" s="1">
        <v>2608</v>
      </c>
      <c r="B2612" s="1" t="str">
        <f t="shared" si="258"/>
        <v>2018-2905</v>
      </c>
      <c r="C2612" s="2" t="s">
        <v>1291</v>
      </c>
      <c r="D2612" s="1" t="s">
        <v>197</v>
      </c>
      <c r="E2612" s="3" t="str">
        <f>""</f>
        <v/>
      </c>
      <c r="F2612" s="2" t="s">
        <v>27</v>
      </c>
      <c r="G2612" s="2" t="str">
        <f>CONCATENATE("AGRO - DOM,"," VL. ZORAN CRNOMARKOVIĆ I DUBRAVKO KUŠ,"," BUNIĆEVA 20,"," 10000 ZAGREB,"," OIB: 47865426584")</f>
        <v>AGRO - DOM, VL. ZORAN CRNOMARKOVIĆ I DUBRAVKO KUŠ, BUNIĆEVA 20, 10000 ZAGREB, OIB: 47865426584</v>
      </c>
      <c r="H2612" s="4"/>
      <c r="I2612" s="1" t="s">
        <v>638</v>
      </c>
      <c r="J2612" s="1" t="s">
        <v>114</v>
      </c>
      <c r="K2612" s="6" t="str">
        <f>"134.339,20"</f>
        <v>134.339,20</v>
      </c>
      <c r="L2612" s="6" t="str">
        <f>"33.584,80"</f>
        <v>33.584,80</v>
      </c>
      <c r="M2612" s="6" t="str">
        <f>"167.924,00"</f>
        <v>167.924,00</v>
      </c>
      <c r="N2612" s="5">
        <v>43665</v>
      </c>
      <c r="O2612" s="7"/>
      <c r="P2612" s="6" t="str">
        <f>"110.238,61"</f>
        <v>110.238,61</v>
      </c>
      <c r="Q2612" s="7"/>
      <c r="R2612" s="1"/>
      <c r="S2612" s="1" t="str">
        <f>"1-19/NOS-122-H/18"</f>
        <v>1-19/NOS-122-H/18</v>
      </c>
      <c r="T2612" s="2" t="s">
        <v>33</v>
      </c>
    </row>
    <row r="2613" spans="1:20" ht="38.25" x14ac:dyDescent="0.25">
      <c r="A2613" s="1">
        <v>2609</v>
      </c>
      <c r="B2613" s="1" t="str">
        <f t="shared" si="258"/>
        <v>2018-2905</v>
      </c>
      <c r="C2613" s="2" t="s">
        <v>1291</v>
      </c>
      <c r="D2613" s="1" t="s">
        <v>197</v>
      </c>
      <c r="E2613" s="3" t="str">
        <f>"2018/S 0F2-0025330"</f>
        <v>2018/S 0F2-0025330</v>
      </c>
      <c r="F2613" s="2" t="s">
        <v>23</v>
      </c>
      <c r="G2613" s="2" t="str">
        <f>CONCATENATE("AGRO-HONOR D.O.O.,"," KRALJA TOMISLAVA 82,"," 31300 BELI MANASTIR,"," OIB: 82775399135")</f>
        <v>AGRO-HONOR D.O.O., KRALJA TOMISLAVA 82, 31300 BELI MANASTIR, OIB: 82775399135</v>
      </c>
      <c r="H2613" s="4"/>
      <c r="I2613" s="1" t="s">
        <v>494</v>
      </c>
      <c r="J2613" s="1" t="s">
        <v>1293</v>
      </c>
      <c r="K2613" s="6" t="str">
        <f>"42.000,00"</f>
        <v>42.000,00</v>
      </c>
      <c r="L2613" s="6" t="str">
        <f>"10.500,00"</f>
        <v>10.500,00</v>
      </c>
      <c r="M2613" s="6" t="str">
        <f>"52.500,00"</f>
        <v>52.500,00</v>
      </c>
      <c r="N2613" s="7"/>
      <c r="O2613" s="7"/>
      <c r="P2613" s="6" t="str">
        <f>""</f>
        <v/>
      </c>
      <c r="Q2613" s="7"/>
      <c r="R2613" s="1"/>
      <c r="S2613" s="1" t="str">
        <f>"NOS-122-I/18"</f>
        <v>NOS-122-I/18</v>
      </c>
      <c r="T2613" s="2" t="s">
        <v>33</v>
      </c>
    </row>
    <row r="2614" spans="1:20" ht="38.25" x14ac:dyDescent="0.25">
      <c r="A2614" s="1">
        <v>2610</v>
      </c>
      <c r="B2614" s="1" t="str">
        <f t="shared" si="258"/>
        <v>2018-2905</v>
      </c>
      <c r="C2614" s="2" t="s">
        <v>1291</v>
      </c>
      <c r="D2614" s="1" t="s">
        <v>197</v>
      </c>
      <c r="E2614" s="3" t="str">
        <f>"2018/S 0F2-0025330"</f>
        <v>2018/S 0F2-0025330</v>
      </c>
      <c r="F2614" s="2" t="s">
        <v>23</v>
      </c>
      <c r="G2614" s="2" t="str">
        <f>CONCATENATE("POLJOOPSKRBA-TEHNO D.D.,"," SAMOBORSKA 96,"," 10000 ZAGREB,"," OIB: 5372167324")</f>
        <v>POLJOOPSKRBA-TEHNO D.D., SAMOBORSKA 96, 10000 ZAGREB, OIB: 5372167324</v>
      </c>
      <c r="H2614" s="4"/>
      <c r="I2614" s="1" t="s">
        <v>332</v>
      </c>
      <c r="J2614" s="1" t="s">
        <v>1292</v>
      </c>
      <c r="K2614" s="6" t="str">
        <f>"32.000,00"</f>
        <v>32.000,00</v>
      </c>
      <c r="L2614" s="6" t="str">
        <f>"8.000,00"</f>
        <v>8.000,00</v>
      </c>
      <c r="M2614" s="6" t="str">
        <f>"40.000,00"</f>
        <v>40.000,00</v>
      </c>
      <c r="N2614" s="7"/>
      <c r="O2614" s="7"/>
      <c r="P2614" s="6" t="str">
        <f>""</f>
        <v/>
      </c>
      <c r="Q2614" s="7"/>
      <c r="R2614" s="1"/>
      <c r="S2614" s="1" t="str">
        <f>"NOS-122-J/18"</f>
        <v>NOS-122-J/18</v>
      </c>
      <c r="T2614" s="2" t="s">
        <v>33</v>
      </c>
    </row>
    <row r="2615" spans="1:20" ht="38.25" x14ac:dyDescent="0.25">
      <c r="A2615" s="1">
        <v>2611</v>
      </c>
      <c r="B2615" s="1" t="str">
        <f t="shared" si="258"/>
        <v>2018-2905</v>
      </c>
      <c r="C2615" s="2" t="s">
        <v>1291</v>
      </c>
      <c r="D2615" s="1" t="s">
        <v>197</v>
      </c>
      <c r="E2615" s="3" t="str">
        <f>"2018/S 0F2-0025330"</f>
        <v>2018/S 0F2-0025330</v>
      </c>
      <c r="F2615" s="2" t="s">
        <v>23</v>
      </c>
      <c r="G2615" s="2" t="str">
        <f>CONCATENATE("AGRO - DOM,"," VL. ZORAN CRNOMARKOVIĆ I DUBRAVKO KUŠ,"," BUNIĆEVA 20,"," 10000 ZAGREB,"," OIB: 47865426584")</f>
        <v>AGRO - DOM, VL. ZORAN CRNOMARKOVIĆ I DUBRAVKO KUŠ, BUNIĆEVA 20, 10000 ZAGREB, OIB: 47865426584</v>
      </c>
      <c r="H2615" s="4"/>
      <c r="I2615" s="1" t="s">
        <v>332</v>
      </c>
      <c r="J2615" s="1" t="s">
        <v>1292</v>
      </c>
      <c r="K2615" s="6" t="str">
        <f>"200.000,00"</f>
        <v>200.000,00</v>
      </c>
      <c r="L2615" s="6" t="str">
        <f>"50.000,00"</f>
        <v>50.000,00</v>
      </c>
      <c r="M2615" s="6" t="str">
        <f>"250.000,00"</f>
        <v>250.000,00</v>
      </c>
      <c r="N2615" s="7"/>
      <c r="O2615" s="7"/>
      <c r="P2615" s="6" t="str">
        <f>""</f>
        <v/>
      </c>
      <c r="Q2615" s="7"/>
      <c r="R2615" s="1"/>
      <c r="S2615" s="1" t="str">
        <f>"NOS-122-K/18"</f>
        <v>NOS-122-K/18</v>
      </c>
      <c r="T2615" s="2" t="s">
        <v>33</v>
      </c>
    </row>
    <row r="2616" spans="1:20" ht="38.25" x14ac:dyDescent="0.25">
      <c r="A2616" s="1">
        <v>2612</v>
      </c>
      <c r="B2616" s="1" t="str">
        <f t="shared" si="258"/>
        <v>2018-2905</v>
      </c>
      <c r="C2616" s="2" t="s">
        <v>1291</v>
      </c>
      <c r="D2616" s="1" t="s">
        <v>197</v>
      </c>
      <c r="E2616" s="3" t="str">
        <f>""</f>
        <v/>
      </c>
      <c r="F2616" s="2" t="s">
        <v>27</v>
      </c>
      <c r="G2616" s="2" t="str">
        <f>CONCATENATE("AGRO - DOM,"," VL. ZORAN CRNOMARKOVIĆ I DUBRAVKO KUŠ,"," BUNIĆEVA 20,"," 10000 ZAGREB,"," OIB: 47865426584")</f>
        <v>AGRO - DOM, VL. ZORAN CRNOMARKOVIĆ I DUBRAVKO KUŠ, BUNIĆEVA 20, 10000 ZAGREB, OIB: 47865426584</v>
      </c>
      <c r="H2616" s="4"/>
      <c r="I2616" s="1" t="s">
        <v>639</v>
      </c>
      <c r="J2616" s="1" t="s">
        <v>436</v>
      </c>
      <c r="K2616" s="6" t="str">
        <f>"6.610,00"</f>
        <v>6.610,00</v>
      </c>
      <c r="L2616" s="6" t="str">
        <f>"1.652,50"</f>
        <v>1.652,50</v>
      </c>
      <c r="M2616" s="6" t="str">
        <f>"8.262,50"</f>
        <v>8.262,50</v>
      </c>
      <c r="N2616" s="5">
        <v>43684</v>
      </c>
      <c r="O2616" s="7"/>
      <c r="P2616" s="6" t="str">
        <f>"8.262,50"</f>
        <v>8.262,50</v>
      </c>
      <c r="Q2616" s="7"/>
      <c r="R2616" s="1"/>
      <c r="S2616" s="1" t="str">
        <f>"1-19/NOS-122-K/18"</f>
        <v>1-19/NOS-122-K/18</v>
      </c>
      <c r="T2616" s="2" t="s">
        <v>33</v>
      </c>
    </row>
    <row r="2617" spans="1:20" ht="38.25" x14ac:dyDescent="0.25">
      <c r="A2617" s="1">
        <v>2613</v>
      </c>
      <c r="B2617" s="1" t="str">
        <f>"2018-1746"</f>
        <v>2018-1746</v>
      </c>
      <c r="C2617" s="2" t="s">
        <v>1295</v>
      </c>
      <c r="D2617" s="1" t="s">
        <v>49</v>
      </c>
      <c r="E2617" s="3" t="str">
        <f>"2019/S 0F2-0000187"</f>
        <v>2019/S 0F2-0000187</v>
      </c>
      <c r="F2617" s="2" t="s">
        <v>23</v>
      </c>
      <c r="G2617" s="2" t="str">
        <f>CONCATENATE("KING ICT D.O.O.,"," BUZINSKI PRILAZ 10,"," 10010 ZAGREB,"," OIB: 67001695549")</f>
        <v>KING ICT D.O.O., BUZINSKI PRILAZ 10, 10010 ZAGREB, OIB: 67001695549</v>
      </c>
      <c r="H2617" s="4"/>
      <c r="I2617" s="1" t="s">
        <v>332</v>
      </c>
      <c r="J2617" s="1" t="s">
        <v>1292</v>
      </c>
      <c r="K2617" s="6" t="str">
        <f>"2.000.000,00"</f>
        <v>2.000.000,00</v>
      </c>
      <c r="L2617" s="6" t="str">
        <f>"500.000,00"</f>
        <v>500.000,00</v>
      </c>
      <c r="M2617" s="6" t="str">
        <f>"2.500.000,00"</f>
        <v>2.500.000,00</v>
      </c>
      <c r="N2617" s="7"/>
      <c r="O2617" s="7"/>
      <c r="P2617" s="6" t="str">
        <f>""</f>
        <v/>
      </c>
      <c r="Q2617" s="7"/>
      <c r="R2617" s="1"/>
      <c r="S2617" s="1" t="str">
        <f>"NOS-123-A/18"</f>
        <v>NOS-123-A/18</v>
      </c>
      <c r="T2617" s="2" t="s">
        <v>33</v>
      </c>
    </row>
    <row r="2618" spans="1:20" ht="38.25" x14ac:dyDescent="0.25">
      <c r="A2618" s="1">
        <v>2614</v>
      </c>
      <c r="B2618" s="1" t="str">
        <f>"2018-1746"</f>
        <v>2018-1746</v>
      </c>
      <c r="C2618" s="2" t="s">
        <v>1295</v>
      </c>
      <c r="D2618" s="4"/>
      <c r="E2618" s="3" t="str">
        <f>""</f>
        <v/>
      </c>
      <c r="F2618" s="2" t="s">
        <v>27</v>
      </c>
      <c r="G2618" s="2" t="str">
        <f>CONCATENATE("KING ICT D.O.O.,"," BUZINSKI PRILAZ 10,"," 10010 ZAGREB,"," OIB: 67001695549")</f>
        <v>KING ICT D.O.O., BUZINSKI PRILAZ 10, 10010 ZAGREB, OIB: 67001695549</v>
      </c>
      <c r="H2618" s="4"/>
      <c r="I2618" s="1" t="s">
        <v>639</v>
      </c>
      <c r="J2618" s="1" t="s">
        <v>619</v>
      </c>
      <c r="K2618" s="6" t="str">
        <f>"493.044,48"</f>
        <v>493.044,48</v>
      </c>
      <c r="L2618" s="6" t="str">
        <f>"123.261,12"</f>
        <v>123.261,12</v>
      </c>
      <c r="M2618" s="6" t="str">
        <f>"616.305,60"</f>
        <v>616.305,60</v>
      </c>
      <c r="N2618" s="5">
        <v>43677</v>
      </c>
      <c r="O2618" s="7"/>
      <c r="P2618" s="6" t="str">
        <f>"154.076,40"</f>
        <v>154.076,40</v>
      </c>
      <c r="Q2618" s="7"/>
      <c r="R2618" s="1"/>
      <c r="S2618" s="1" t="str">
        <f>"1-19/NOS-123-A/18"</f>
        <v>1-19/NOS-123-A/18</v>
      </c>
      <c r="T2618" s="2" t="s">
        <v>33</v>
      </c>
    </row>
    <row r="2619" spans="1:20" ht="38.25" x14ac:dyDescent="0.25">
      <c r="A2619" s="1">
        <v>2615</v>
      </c>
      <c r="B2619" s="1" t="str">
        <f>"2018-1746"</f>
        <v>2018-1746</v>
      </c>
      <c r="C2619" s="2" t="s">
        <v>1295</v>
      </c>
      <c r="D2619" s="1" t="s">
        <v>49</v>
      </c>
      <c r="E2619" s="3" t="str">
        <f>"2019/S 0F2-0000187"</f>
        <v>2019/S 0F2-0000187</v>
      </c>
      <c r="F2619" s="2" t="s">
        <v>23</v>
      </c>
      <c r="G2619" s="2" t="str">
        <f>CONCATENATE("COMBIS D.O.O.,"," BAŠTIJANOVA 52A,"," 10000 ZAGREB,"," OIB: 91678676896")</f>
        <v>COMBIS D.O.O., BAŠTIJANOVA 52A, 10000 ZAGREB, OIB: 91678676896</v>
      </c>
      <c r="H2619" s="4"/>
      <c r="I2619" s="1" t="s">
        <v>332</v>
      </c>
      <c r="J2619" s="1" t="s">
        <v>1292</v>
      </c>
      <c r="K2619" s="6" t="str">
        <f>"1.500.000,00"</f>
        <v>1.500.000,00</v>
      </c>
      <c r="L2619" s="6" t="str">
        <f>"375.000,00"</f>
        <v>375.000,00</v>
      </c>
      <c r="M2619" s="6" t="str">
        <f>"1.875.000,00"</f>
        <v>1.875.000,00</v>
      </c>
      <c r="N2619" s="7"/>
      <c r="O2619" s="7"/>
      <c r="P2619" s="6" t="str">
        <f>""</f>
        <v/>
      </c>
      <c r="Q2619" s="7"/>
      <c r="R2619" s="1"/>
      <c r="S2619" s="1" t="str">
        <f>"NOS-123-B/18"</f>
        <v>NOS-123-B/18</v>
      </c>
      <c r="T2619" s="2" t="s">
        <v>33</v>
      </c>
    </row>
    <row r="2620" spans="1:20" ht="89.25" x14ac:dyDescent="0.25">
      <c r="A2620" s="1">
        <v>2616</v>
      </c>
      <c r="B2620" s="1" t="str">
        <f>"2018-2829"</f>
        <v>2018-2829</v>
      </c>
      <c r="C2620" s="2" t="s">
        <v>1296</v>
      </c>
      <c r="D2620" s="1" t="s">
        <v>603</v>
      </c>
      <c r="E2620" s="3" t="str">
        <f>"2018/S 0F2-0020407"</f>
        <v>2018/S 0F2-0020407</v>
      </c>
      <c r="F2620" s="2" t="s">
        <v>23</v>
      </c>
      <c r="G2620" s="2" t="str">
        <f>CONCATENATE("INSTEL PROMET D.O.O.,"," REMETINEČKIH ŽRTAVA 16,"," 10000 ZAGREB,"," OIB: 25913868025",CHAR(10),"SELEKTA PRIMA D.O.O.,"," I. TRNAVA 49,"," 10000 ZAGREB,"," OIB: 68651120977",CHAR(10),"PISMORAD D.D.,"," III MALEŠNICA 12,"," 10000 ZAGREB,"," OIB: 33260306505")</f>
        <v>INSTEL PROMET D.O.O., REMETINEČKIH ŽRTAVA 16, 10000 ZAGREB, OIB: 25913868025
SELEKTA PRIMA D.O.O., I. TRNAVA 49, 10000 ZAGREB, OIB: 68651120977
PISMORAD D.D., III MALEŠNICA 12, 10000 ZAGREB, OIB: 33260306505</v>
      </c>
      <c r="H2620" s="4"/>
      <c r="I2620" s="1" t="s">
        <v>455</v>
      </c>
      <c r="J2620" s="1" t="s">
        <v>1297</v>
      </c>
      <c r="K2620" s="6" t="str">
        <f>"1.800.000,00"</f>
        <v>1.800.000,00</v>
      </c>
      <c r="L2620" s="6" t="str">
        <f>"450.000,00"</f>
        <v>450.000,00</v>
      </c>
      <c r="M2620" s="6" t="str">
        <f>"2.250.000,00"</f>
        <v>2.250.000,00</v>
      </c>
      <c r="N2620" s="7"/>
      <c r="O2620" s="7"/>
      <c r="P2620" s="6" t="str">
        <f>""</f>
        <v/>
      </c>
      <c r="Q2620" s="7"/>
      <c r="R2620" s="1"/>
      <c r="S2620" s="1" t="str">
        <f>"NOS-124/18"</f>
        <v>NOS-124/18</v>
      </c>
      <c r="T2620" s="2" t="s">
        <v>33</v>
      </c>
    </row>
    <row r="2621" spans="1:20" ht="38.25" x14ac:dyDescent="0.25">
      <c r="A2621" s="1">
        <v>2617</v>
      </c>
      <c r="B2621" s="1" t="str">
        <f>"2018-2829"</f>
        <v>2018-2829</v>
      </c>
      <c r="C2621" s="2" t="s">
        <v>1296</v>
      </c>
      <c r="D2621" s="1" t="s">
        <v>603</v>
      </c>
      <c r="E2621" s="3" t="str">
        <f>""</f>
        <v/>
      </c>
      <c r="F2621" s="2" t="s">
        <v>27</v>
      </c>
      <c r="G2621" s="2" t="str">
        <f>CONCATENATE("SELEKTA PRIMA D.O.O.,"," I. TRNAVA 49,"," 10000 ZAGREB,"," OIB: 68651120977")</f>
        <v>SELEKTA PRIMA D.O.O., I. TRNAVA 49, 10000 ZAGREB, OIB: 68651120977</v>
      </c>
      <c r="H2621" s="4"/>
      <c r="I2621" s="1" t="s">
        <v>628</v>
      </c>
      <c r="J2621" s="1" t="s">
        <v>469</v>
      </c>
      <c r="K2621" s="6" t="str">
        <f>"1.350,00"</f>
        <v>1.350,00</v>
      </c>
      <c r="L2621" s="6" t="str">
        <f>"337,50"</f>
        <v>337,50</v>
      </c>
      <c r="M2621" s="6" t="str">
        <f>"1.687,50"</f>
        <v>1.687,50</v>
      </c>
      <c r="N2621" s="5">
        <v>43630</v>
      </c>
      <c r="O2621" s="7"/>
      <c r="P2621" s="6" t="str">
        <f>"1.687,50"</f>
        <v>1.687,50</v>
      </c>
      <c r="Q2621" s="7"/>
      <c r="R2621" s="1"/>
      <c r="S2621" s="1" t="str">
        <f>"1-19/NOS-124/18"</f>
        <v>1-19/NOS-124/18</v>
      </c>
      <c r="T2621" s="2" t="s">
        <v>33</v>
      </c>
    </row>
    <row r="2622" spans="1:20" ht="38.25" x14ac:dyDescent="0.25">
      <c r="A2622" s="1">
        <v>2618</v>
      </c>
      <c r="B2622" s="1" t="str">
        <f>"2018-2837"</f>
        <v>2018-2837</v>
      </c>
      <c r="C2622" s="2" t="s">
        <v>1298</v>
      </c>
      <c r="D2622" s="1" t="s">
        <v>119</v>
      </c>
      <c r="E2622" s="3" t="str">
        <f>"2019/S 0F2-0000191"</f>
        <v>2019/S 0F2-0000191</v>
      </c>
      <c r="F2622" s="2" t="s">
        <v>23</v>
      </c>
      <c r="G2622" s="2" t="str">
        <f>CONCATENATE("GEORAD D.O.O.,"," KORNATSKA 1,"," 10000 ZAGREB,"," OIB: 49756748234")</f>
        <v>GEORAD D.O.O., KORNATSKA 1, 10000 ZAGREB, OIB: 49756748234</v>
      </c>
      <c r="H2622" s="1" t="str">
        <f>CONCATENATE("BK MONTAŽA D.O.O.,"," OIB: 80580557122")</f>
        <v>BK MONTAŽA D.O.O., OIB: 80580557122</v>
      </c>
      <c r="I2622" s="1" t="s">
        <v>401</v>
      </c>
      <c r="J2622" s="1" t="s">
        <v>1016</v>
      </c>
      <c r="K2622" s="6" t="str">
        <f>"8.000.000,00"</f>
        <v>8.000.000,00</v>
      </c>
      <c r="L2622" s="6" t="str">
        <f>"2.000.000,00"</f>
        <v>2.000.000,00</v>
      </c>
      <c r="M2622" s="6" t="str">
        <f>"10.000.000,00"</f>
        <v>10.000.000,00</v>
      </c>
      <c r="N2622" s="7"/>
      <c r="O2622" s="7"/>
      <c r="P2622" s="6" t="str">
        <f>""</f>
        <v/>
      </c>
      <c r="Q2622" s="7"/>
      <c r="R2622" s="1"/>
      <c r="S2622" s="1" t="str">
        <f>"NOS-125/18"</f>
        <v>NOS-125/18</v>
      </c>
      <c r="T2622" s="2" t="s">
        <v>29</v>
      </c>
    </row>
    <row r="2623" spans="1:20" ht="38.25" x14ac:dyDescent="0.25">
      <c r="A2623" s="1">
        <v>2619</v>
      </c>
      <c r="B2623" s="1" t="str">
        <f>"2018-2837"</f>
        <v>2018-2837</v>
      </c>
      <c r="C2623" s="2" t="s">
        <v>1298</v>
      </c>
      <c r="D2623" s="1" t="s">
        <v>119</v>
      </c>
      <c r="E2623" s="3" t="str">
        <f>""</f>
        <v/>
      </c>
      <c r="F2623" s="2" t="s">
        <v>27</v>
      </c>
      <c r="G2623" s="2" t="str">
        <f>CONCATENATE("GEORAD D.O.O.,"," KORNATSKA 1,"," 10000 ZAGREB,"," OIB: 49756748234")</f>
        <v>GEORAD D.O.O., KORNATSKA 1, 10000 ZAGREB, OIB: 49756748234</v>
      </c>
      <c r="H2623" s="1" t="str">
        <f>CONCATENATE("BK MONTAŽA D.O.O.,"," OIB: 80580557122")</f>
        <v>BK MONTAŽA D.O.O., OIB: 80580557122</v>
      </c>
      <c r="I2623" s="1" t="s">
        <v>628</v>
      </c>
      <c r="J2623" s="1" t="s">
        <v>827</v>
      </c>
      <c r="K2623" s="6" t="str">
        <f>"247.883,00"</f>
        <v>247.883,00</v>
      </c>
      <c r="L2623" s="6" t="str">
        <f>"0,00"</f>
        <v>0,00</v>
      </c>
      <c r="M2623" s="6" t="str">
        <f>"0,00"</f>
        <v>0,00</v>
      </c>
      <c r="N2623" s="1" t="s">
        <v>117</v>
      </c>
      <c r="O2623" s="7"/>
      <c r="P2623" s="6" t="str">
        <f>"0,00"</f>
        <v>0,00</v>
      </c>
      <c r="Q2623" s="7"/>
      <c r="R2623" s="1"/>
      <c r="S2623" s="1" t="str">
        <f>"1-19/NOS-125/18"</f>
        <v>1-19/NOS-125/18</v>
      </c>
      <c r="T2623" s="2" t="s">
        <v>29</v>
      </c>
    </row>
    <row r="2624" spans="1:20" ht="38.25" x14ac:dyDescent="0.25">
      <c r="A2624" s="1">
        <v>2620</v>
      </c>
      <c r="B2624" s="1" t="str">
        <f>"2018-2837"</f>
        <v>2018-2837</v>
      </c>
      <c r="C2624" s="2" t="s">
        <v>1298</v>
      </c>
      <c r="D2624" s="1" t="s">
        <v>119</v>
      </c>
      <c r="E2624" s="3" t="str">
        <f>""</f>
        <v/>
      </c>
      <c r="F2624" s="2" t="s">
        <v>27</v>
      </c>
      <c r="G2624" s="2" t="str">
        <f>CONCATENATE("GEORAD D.O.O.,"," KORNATSKA 1,"," 10000 ZAGREB,"," OIB: 49756748234")</f>
        <v>GEORAD D.O.O., KORNATSKA 1, 10000 ZAGREB, OIB: 49756748234</v>
      </c>
      <c r="H2624" s="1" t="str">
        <f>CONCATENATE("BK MONTAŽA D.O.O.,"," OIB: 80580557122")</f>
        <v>BK MONTAŽA D.O.O., OIB: 80580557122</v>
      </c>
      <c r="I2624" s="1" t="s">
        <v>440</v>
      </c>
      <c r="J2624" s="1" t="s">
        <v>323</v>
      </c>
      <c r="K2624" s="6" t="str">
        <f>"535.493,30"</f>
        <v>535.493,30</v>
      </c>
      <c r="L2624" s="6" t="str">
        <f>"97.911,85"</f>
        <v>97.911,85</v>
      </c>
      <c r="M2624" s="6" t="str">
        <f>"489.559,24"</f>
        <v>489.559,24</v>
      </c>
      <c r="N2624" s="5">
        <v>43671</v>
      </c>
      <c r="O2624" s="7"/>
      <c r="P2624" s="6" t="str">
        <f>"489.559,24"</f>
        <v>489.559,24</v>
      </c>
      <c r="Q2624" s="7"/>
      <c r="R2624" s="1"/>
      <c r="S2624" s="1" t="str">
        <f>"2-19/NOS-125/18"</f>
        <v>2-19/NOS-125/18</v>
      </c>
      <c r="T2624" s="2" t="s">
        <v>29</v>
      </c>
    </row>
    <row r="2625" spans="1:20" ht="38.25" x14ac:dyDescent="0.25">
      <c r="A2625" s="1">
        <v>2621</v>
      </c>
      <c r="B2625" s="1" t="str">
        <f>"2018-3132"</f>
        <v>2018-3132</v>
      </c>
      <c r="C2625" s="2" t="s">
        <v>258</v>
      </c>
      <c r="D2625" s="1" t="s">
        <v>259</v>
      </c>
      <c r="E2625" s="3" t="str">
        <f>"2018/S 0F2-0034338"</f>
        <v>2018/S 0F2-0034338</v>
      </c>
      <c r="F2625" s="2" t="s">
        <v>23</v>
      </c>
      <c r="G2625" s="2" t="str">
        <f>CONCATENATE("AQUACHEM D.O.O.,"," JALŠEVEČKI ODVOJAK 17,"," 10310 IVANIĆ GRAD,"," OIB: 17436320396")</f>
        <v>AQUACHEM D.O.O., JALŠEVEČKI ODVOJAK 17, 10310 IVANIĆ GRAD, OIB: 17436320396</v>
      </c>
      <c r="H2625" s="4"/>
      <c r="I2625" s="1" t="s">
        <v>494</v>
      </c>
      <c r="J2625" s="1" t="s">
        <v>1293</v>
      </c>
      <c r="K2625" s="6" t="str">
        <f>"1.000.000,00"</f>
        <v>1.000.000,00</v>
      </c>
      <c r="L2625" s="6" t="str">
        <f>"250.000,00"</f>
        <v>250.000,00</v>
      </c>
      <c r="M2625" s="6" t="str">
        <f>"1.250.000,00"</f>
        <v>1.250.000,00</v>
      </c>
      <c r="N2625" s="7"/>
      <c r="O2625" s="7"/>
      <c r="P2625" s="6" t="str">
        <f>""</f>
        <v/>
      </c>
      <c r="Q2625" s="7"/>
      <c r="R2625" s="1"/>
      <c r="S2625" s="1" t="str">
        <f>"NOS-127-A/18"</f>
        <v>NOS-127-A/18</v>
      </c>
      <c r="T2625" s="2" t="s">
        <v>33</v>
      </c>
    </row>
    <row r="2626" spans="1:20" ht="38.25" x14ac:dyDescent="0.25">
      <c r="A2626" s="1">
        <v>2622</v>
      </c>
      <c r="B2626" s="1" t="str">
        <f>"2018-3132"</f>
        <v>2018-3132</v>
      </c>
      <c r="C2626" s="2" t="s">
        <v>258</v>
      </c>
      <c r="D2626" s="1" t="s">
        <v>259</v>
      </c>
      <c r="E2626" s="3" t="str">
        <f>"2018/S 0F2-0034338"</f>
        <v>2018/S 0F2-0034338</v>
      </c>
      <c r="F2626" s="2" t="s">
        <v>23</v>
      </c>
      <c r="G2626" s="2" t="str">
        <f>CONCATENATE("NOVI DROP D.O.O.,"," SVETOG ANTONA 22,"," 52466 NOVIGRAD (CITTANOVA),"," OIB: 01551071528")</f>
        <v>NOVI DROP D.O.O., SVETOG ANTONA 22, 52466 NOVIGRAD (CITTANOVA), OIB: 01551071528</v>
      </c>
      <c r="H2626" s="4"/>
      <c r="I2626" s="1" t="s">
        <v>494</v>
      </c>
      <c r="J2626" s="1" t="s">
        <v>1293</v>
      </c>
      <c r="K2626" s="6" t="str">
        <f>"480.000,00"</f>
        <v>480.000,00</v>
      </c>
      <c r="L2626" s="6" t="str">
        <f>"120.000,00"</f>
        <v>120.000,00</v>
      </c>
      <c r="M2626" s="6" t="str">
        <f>"600.000,00"</f>
        <v>600.000,00</v>
      </c>
      <c r="N2626" s="7"/>
      <c r="O2626" s="7"/>
      <c r="P2626" s="6" t="str">
        <f>""</f>
        <v/>
      </c>
      <c r="Q2626" s="7"/>
      <c r="R2626" s="1"/>
      <c r="S2626" s="1" t="str">
        <f>"NOS-127-B/18"</f>
        <v>NOS-127-B/18</v>
      </c>
      <c r="T2626" s="2" t="s">
        <v>33</v>
      </c>
    </row>
    <row r="2627" spans="1:20" ht="38.25" x14ac:dyDescent="0.25">
      <c r="A2627" s="1">
        <v>2623</v>
      </c>
      <c r="B2627" s="1" t="str">
        <f>"2018-2830"</f>
        <v>2018-2830</v>
      </c>
      <c r="C2627" s="2" t="s">
        <v>1299</v>
      </c>
      <c r="D2627" s="1" t="s">
        <v>1300</v>
      </c>
      <c r="E2627" s="3" t="str">
        <f>"2018/S 0F2-0036844"</f>
        <v>2018/S 0F2-0036844</v>
      </c>
      <c r="F2627" s="2" t="s">
        <v>23</v>
      </c>
      <c r="G2627" s="2" t="str">
        <f>CONCATENATE("MEŠIĆ COM D.O.O.,"," STROJARSKA 22,"," 10 000 ZAGREB,"," OIB: 16308837296")</f>
        <v>MEŠIĆ COM D.O.O., STROJARSKA 22, 10 000 ZAGREB, OIB: 16308837296</v>
      </c>
      <c r="H2627" s="4"/>
      <c r="I2627" s="1" t="s">
        <v>481</v>
      </c>
      <c r="J2627" s="1" t="s">
        <v>1301</v>
      </c>
      <c r="K2627" s="6" t="str">
        <f>"4.100.000,00"</f>
        <v>4.100.000,00</v>
      </c>
      <c r="L2627" s="6" t="str">
        <f>"1.025.000,00"</f>
        <v>1.025.000,00</v>
      </c>
      <c r="M2627" s="6" t="str">
        <f>"5.125.000,00"</f>
        <v>5.125.000,00</v>
      </c>
      <c r="N2627" s="7"/>
      <c r="O2627" s="7"/>
      <c r="P2627" s="6" t="str">
        <f>""</f>
        <v/>
      </c>
      <c r="Q2627" s="7"/>
      <c r="R2627" s="1"/>
      <c r="S2627" s="1" t="str">
        <f>"NOS-128-B/18"</f>
        <v>NOS-128-B/18</v>
      </c>
      <c r="T2627" s="2" t="s">
        <v>33</v>
      </c>
    </row>
    <row r="2628" spans="1:20" ht="38.25" x14ac:dyDescent="0.25">
      <c r="A2628" s="1">
        <v>2624</v>
      </c>
      <c r="B2628" s="1" t="str">
        <f>"2018-3108"</f>
        <v>2018-3108</v>
      </c>
      <c r="C2628" s="2" t="s">
        <v>326</v>
      </c>
      <c r="D2628" s="1" t="s">
        <v>327</v>
      </c>
      <c r="E2628" s="3" t="str">
        <f>"2019/S 0F2-0002675"</f>
        <v>2019/S 0F2-0002675</v>
      </c>
      <c r="F2628" s="2" t="s">
        <v>23</v>
      </c>
      <c r="G2628" s="2" t="str">
        <f>CONCATENATE("MEĐIMURJE-PLIN D.O.O.,"," OBRTNIČKA 4,"," 40000 ČAKOVEC,"," OIB: 290359336")</f>
        <v>MEĐIMURJE-PLIN D.O.O., OBRTNIČKA 4, 40000 ČAKOVEC, OIB: 290359336</v>
      </c>
      <c r="H2628" s="4"/>
      <c r="I2628" s="1" t="s">
        <v>321</v>
      </c>
      <c r="J2628" s="1" t="s">
        <v>918</v>
      </c>
      <c r="K2628" s="6" t="str">
        <f>"1.120.000,00"</f>
        <v>1.120.000,00</v>
      </c>
      <c r="L2628" s="6" t="str">
        <f>"280.000,00"</f>
        <v>280.000,00</v>
      </c>
      <c r="M2628" s="6" t="str">
        <f>"1.400.000,00"</f>
        <v>1.400.000,00</v>
      </c>
      <c r="N2628" s="7"/>
      <c r="O2628" s="7"/>
      <c r="P2628" s="6" t="str">
        <f>""</f>
        <v/>
      </c>
      <c r="Q2628" s="7"/>
      <c r="R2628" s="1"/>
      <c r="S2628" s="1" t="str">
        <f>"NOS-129/18"</f>
        <v>NOS-129/18</v>
      </c>
      <c r="T2628" s="2" t="s">
        <v>538</v>
      </c>
    </row>
    <row r="2629" spans="1:20" ht="38.25" x14ac:dyDescent="0.25">
      <c r="A2629" s="1">
        <v>2625</v>
      </c>
      <c r="B2629" s="1" t="str">
        <f>"2018-3090"</f>
        <v>2018-3090</v>
      </c>
      <c r="C2629" s="2" t="s">
        <v>1302</v>
      </c>
      <c r="D2629" s="1" t="s">
        <v>197</v>
      </c>
      <c r="E2629" s="3" t="str">
        <f>"2018/S 0F2-0032816"</f>
        <v>2018/S 0F2-0032816</v>
      </c>
      <c r="F2629" s="2" t="s">
        <v>23</v>
      </c>
      <c r="G2629" s="2" t="str">
        <f>CONCATENATE("NOVOCOMMERCE INTERNATIONAL D.O.O.,"," OIB: 6818905798")</f>
        <v>NOVOCOMMERCE INTERNATIONAL D.O.O., OIB: 6818905798</v>
      </c>
      <c r="H2629" s="4"/>
      <c r="I2629" s="1" t="s">
        <v>481</v>
      </c>
      <c r="J2629" s="1" t="s">
        <v>1301</v>
      </c>
      <c r="K2629" s="6" t="str">
        <f>"100.000,00"</f>
        <v>100.000,00</v>
      </c>
      <c r="L2629" s="6" t="str">
        <f>"25.000,00"</f>
        <v>25.000,00</v>
      </c>
      <c r="M2629" s="6" t="str">
        <f>"125.000,00"</f>
        <v>125.000,00</v>
      </c>
      <c r="N2629" s="7"/>
      <c r="O2629" s="7"/>
      <c r="P2629" s="6" t="str">
        <f>""</f>
        <v/>
      </c>
      <c r="Q2629" s="7"/>
      <c r="R2629" s="1"/>
      <c r="S2629" s="1" t="str">
        <f>"NOS-130-F/18"</f>
        <v>NOS-130-F/18</v>
      </c>
      <c r="T2629" s="2" t="s">
        <v>33</v>
      </c>
    </row>
    <row r="2630" spans="1:20" ht="38.25" x14ac:dyDescent="0.25">
      <c r="A2630" s="1">
        <v>2626</v>
      </c>
      <c r="B2630" s="1" t="str">
        <f>"2018-3090"</f>
        <v>2018-3090</v>
      </c>
      <c r="C2630" s="2" t="s">
        <v>1302</v>
      </c>
      <c r="D2630" s="1" t="s">
        <v>197</v>
      </c>
      <c r="E2630" s="3" t="str">
        <f>"2018/S 0F2-0032816"</f>
        <v>2018/S 0F2-0032816</v>
      </c>
      <c r="F2630" s="2" t="s">
        <v>23</v>
      </c>
      <c r="G2630" s="2" t="str">
        <f>CONCATENATE("IDM ČOTIĆ D.O.O.,"," SLAVKA KOVAČIĆA 26,"," 10360 SESVETE,"," OIB: 82413844944")</f>
        <v>IDM ČOTIĆ D.O.O., SLAVKA KOVAČIĆA 26, 10360 SESVETE, OIB: 82413844944</v>
      </c>
      <c r="H2630" s="4"/>
      <c r="I2630" s="1" t="s">
        <v>64</v>
      </c>
      <c r="J2630" s="1" t="s">
        <v>1289</v>
      </c>
      <c r="K2630" s="6" t="str">
        <f>"250.000,00"</f>
        <v>250.000,00</v>
      </c>
      <c r="L2630" s="6" t="str">
        <f>"62.500,00"</f>
        <v>62.500,00</v>
      </c>
      <c r="M2630" s="6" t="str">
        <f>"312.500,00"</f>
        <v>312.500,00</v>
      </c>
      <c r="N2630" s="7"/>
      <c r="O2630" s="7"/>
      <c r="P2630" s="6" t="str">
        <f>""</f>
        <v/>
      </c>
      <c r="Q2630" s="7"/>
      <c r="R2630" s="1"/>
      <c r="S2630" s="1" t="str">
        <f>"NOS-130-G/18"</f>
        <v>NOS-130-G/18</v>
      </c>
      <c r="T2630" s="2" t="s">
        <v>33</v>
      </c>
    </row>
    <row r="2631" spans="1:20" ht="38.25" x14ac:dyDescent="0.25">
      <c r="A2631" s="1">
        <v>2627</v>
      </c>
      <c r="B2631" s="1" t="str">
        <f>"2018-3090"</f>
        <v>2018-3090</v>
      </c>
      <c r="C2631" s="2" t="s">
        <v>1302</v>
      </c>
      <c r="D2631" s="1" t="s">
        <v>197</v>
      </c>
      <c r="E2631" s="3" t="str">
        <f>"2018/S 0F2-0032816"</f>
        <v>2018/S 0F2-0032816</v>
      </c>
      <c r="F2631" s="2" t="s">
        <v>23</v>
      </c>
      <c r="G2631" s="2" t="str">
        <f>CONCATENATE("IDM ČOTIĆ D.O.O.,"," SLAVKA KOVAČIĆA 26,"," 10360 SESVETE,"," OIB: 82413844944")</f>
        <v>IDM ČOTIĆ D.O.O., SLAVKA KOVAČIĆA 26, 10360 SESVETE, OIB: 82413844944</v>
      </c>
      <c r="H2631" s="4"/>
      <c r="I2631" s="1" t="s">
        <v>355</v>
      </c>
      <c r="J2631" s="1" t="s">
        <v>1303</v>
      </c>
      <c r="K2631" s="6" t="str">
        <f>"100.000,00"</f>
        <v>100.000,00</v>
      </c>
      <c r="L2631" s="6" t="str">
        <f>"25.000,00"</f>
        <v>25.000,00</v>
      </c>
      <c r="M2631" s="6" t="str">
        <f>"125.000,00"</f>
        <v>125.000,00</v>
      </c>
      <c r="N2631" s="7"/>
      <c r="O2631" s="7"/>
      <c r="P2631" s="6" t="str">
        <f>""</f>
        <v/>
      </c>
      <c r="Q2631" s="7"/>
      <c r="R2631" s="1"/>
      <c r="S2631" s="1" t="str">
        <f>"NOS-130-I/18"</f>
        <v>NOS-130-I/18</v>
      </c>
      <c r="T2631" s="2" t="s">
        <v>33</v>
      </c>
    </row>
    <row r="2632" spans="1:20" ht="38.25" x14ac:dyDescent="0.25">
      <c r="A2632" s="1">
        <v>2628</v>
      </c>
      <c r="B2632" s="1" t="str">
        <f>"2018-3090"</f>
        <v>2018-3090</v>
      </c>
      <c r="C2632" s="2" t="s">
        <v>1302</v>
      </c>
      <c r="D2632" s="1" t="s">
        <v>197</v>
      </c>
      <c r="E2632" s="3" t="str">
        <f>"2018/S 0F2-0032816"</f>
        <v>2018/S 0F2-0032816</v>
      </c>
      <c r="F2632" s="2" t="s">
        <v>23</v>
      </c>
      <c r="G2632" s="2" t="str">
        <f>CONCATENATE("IDM ČOTIĆ D.O.O.,"," SLAVKA KOVAČIĆA 26,"," 10360 SESVETE,"," OIB: 82413844944")</f>
        <v>IDM ČOTIĆ D.O.O., SLAVKA KOVAČIĆA 26, 10360 SESVETE, OIB: 82413844944</v>
      </c>
      <c r="H2632" s="4"/>
      <c r="I2632" s="1" t="s">
        <v>481</v>
      </c>
      <c r="J2632" s="1" t="s">
        <v>1301</v>
      </c>
      <c r="K2632" s="6" t="str">
        <f>"50.000,00"</f>
        <v>50.000,00</v>
      </c>
      <c r="L2632" s="6" t="str">
        <f>"12.500,00"</f>
        <v>12.500,00</v>
      </c>
      <c r="M2632" s="6" t="str">
        <f>"62.500,00"</f>
        <v>62.500,00</v>
      </c>
      <c r="N2632" s="7"/>
      <c r="O2632" s="7"/>
      <c r="P2632" s="6" t="str">
        <f>""</f>
        <v/>
      </c>
      <c r="Q2632" s="7"/>
      <c r="R2632" s="1"/>
      <c r="S2632" s="1" t="str">
        <f>"NOS-130-J/18"</f>
        <v>NOS-130-J/18</v>
      </c>
      <c r="T2632" s="2" t="s">
        <v>33</v>
      </c>
    </row>
    <row r="2633" spans="1:20" ht="38.25" x14ac:dyDescent="0.25">
      <c r="A2633" s="1">
        <v>2629</v>
      </c>
      <c r="B2633" s="1" t="str">
        <f>"2018-3090"</f>
        <v>2018-3090</v>
      </c>
      <c r="C2633" s="2" t="s">
        <v>1302</v>
      </c>
      <c r="D2633" s="1" t="s">
        <v>197</v>
      </c>
      <c r="E2633" s="3" t="str">
        <f>"2018/S 0F2-0032816"</f>
        <v>2018/S 0F2-0032816</v>
      </c>
      <c r="F2633" s="2" t="s">
        <v>23</v>
      </c>
      <c r="G2633" s="2" t="str">
        <f>CONCATENATE("IDM ČOTIĆ D.O.O.,"," SLAVKA KOVAČIĆA 26,"," 10360 SESVETE,"," OIB: 82413844944")</f>
        <v>IDM ČOTIĆ D.O.O., SLAVKA KOVAČIĆA 26, 10360 SESVETE, OIB: 82413844944</v>
      </c>
      <c r="H2633" s="4"/>
      <c r="I2633" s="1" t="s">
        <v>64</v>
      </c>
      <c r="J2633" s="1" t="s">
        <v>1289</v>
      </c>
      <c r="K2633" s="6" t="str">
        <f>"50.000,00"</f>
        <v>50.000,00</v>
      </c>
      <c r="L2633" s="6" t="str">
        <f>"12.500,00"</f>
        <v>12.500,00</v>
      </c>
      <c r="M2633" s="6" t="str">
        <f>"62.500,00"</f>
        <v>62.500,00</v>
      </c>
      <c r="N2633" s="7"/>
      <c r="O2633" s="7"/>
      <c r="P2633" s="6" t="str">
        <f>""</f>
        <v/>
      </c>
      <c r="Q2633" s="7"/>
      <c r="R2633" s="1"/>
      <c r="S2633" s="1" t="str">
        <f>"NOS-130-K/18"</f>
        <v>NOS-130-K/18</v>
      </c>
      <c r="T2633" s="2" t="s">
        <v>33</v>
      </c>
    </row>
    <row r="2634" spans="1:20" ht="114.75" x14ac:dyDescent="0.25">
      <c r="A2634" s="1">
        <v>2630</v>
      </c>
      <c r="B2634" s="1" t="str">
        <f>"2018-2794"</f>
        <v>2018-2794</v>
      </c>
      <c r="C2634" s="2" t="s">
        <v>813</v>
      </c>
      <c r="D2634" s="1" t="s">
        <v>814</v>
      </c>
      <c r="E2634" s="3" t="str">
        <f>"2018/S 0F2-0021956"</f>
        <v>2018/S 0F2-0021956</v>
      </c>
      <c r="F2634" s="2" t="s">
        <v>23</v>
      </c>
      <c r="G2634" s="2" t="str">
        <f>CONCATENATE("NARODNE NOVINE D.D.,"," OIB: 64546066176",CHAR(10),"INSAKO D.O.O.,"," PUŽEVA 11,"," 10000 ZAGREB,"," OIB: 39851720584")</f>
        <v>NARODNE NOVINE D.D., OIB: 64546066176
INSAKO D.O.O., PUŽEVA 11, 10000 ZAGREB, OIB: 39851720584</v>
      </c>
      <c r="H2634" s="4"/>
      <c r="I2634" s="1" t="s">
        <v>308</v>
      </c>
      <c r="J2634" s="1" t="s">
        <v>1304</v>
      </c>
      <c r="K2634" s="6" t="str">
        <f>"3.885.000,00"</f>
        <v>3.885.000,00</v>
      </c>
      <c r="L2634" s="6" t="str">
        <f>"971.250,00"</f>
        <v>971.250,00</v>
      </c>
      <c r="M2634" s="6" t="str">
        <f>"4.856.250,00"</f>
        <v>4.856.250,00</v>
      </c>
      <c r="N2634" s="7"/>
      <c r="O2634" s="7"/>
      <c r="P2634" s="6" t="str">
        <f>""</f>
        <v/>
      </c>
      <c r="Q2634" s="7"/>
      <c r="R2634" s="1"/>
      <c r="S2634" s="1" t="str">
        <f>"NOS-131-ZGH/18"</f>
        <v>NOS-131-ZGH/18</v>
      </c>
      <c r="T2634" s="2" t="s">
        <v>58</v>
      </c>
    </row>
    <row r="2635" spans="1:20" ht="25.5" x14ac:dyDescent="0.25">
      <c r="A2635" s="1">
        <v>2631</v>
      </c>
      <c r="B2635" s="1" t="str">
        <f>"2018-2794"</f>
        <v>2018-2794</v>
      </c>
      <c r="C2635" s="2" t="s">
        <v>813</v>
      </c>
      <c r="D2635" s="4"/>
      <c r="E2635" s="3" t="str">
        <f>""</f>
        <v/>
      </c>
      <c r="F2635" s="2" t="s">
        <v>27</v>
      </c>
      <c r="G2635" s="2" t="str">
        <f>CONCATENATE("INSAKO D.O.O.,"," PUŽEVA 11,"," 10000 ZAGREB,"," OIB: 39851720584")</f>
        <v>INSAKO D.O.O., PUŽEVA 11, 10000 ZAGREB, OIB: 39851720584</v>
      </c>
      <c r="H2635" s="4"/>
      <c r="I2635" s="1" t="s">
        <v>642</v>
      </c>
      <c r="J2635" s="1" t="s">
        <v>619</v>
      </c>
      <c r="K2635" s="6" t="str">
        <f>"62.332,30"</f>
        <v>62.332,30</v>
      </c>
      <c r="L2635" s="6" t="str">
        <f>"15.583,08"</f>
        <v>15.583,08</v>
      </c>
      <c r="M2635" s="6" t="str">
        <f>"77.915,38"</f>
        <v>77.915,38</v>
      </c>
      <c r="N2635" s="1" t="s">
        <v>117</v>
      </c>
      <c r="O2635" s="7"/>
      <c r="P2635" s="6" t="str">
        <f>""</f>
        <v/>
      </c>
      <c r="Q2635" s="7"/>
      <c r="R2635" s="1"/>
      <c r="S2635" s="1" t="str">
        <f>"1-19/NOS-131-ZGH/18"</f>
        <v>1-19/NOS-131-ZGH/18</v>
      </c>
      <c r="T2635" s="2" t="s">
        <v>33</v>
      </c>
    </row>
    <row r="2636" spans="1:20" ht="25.5" x14ac:dyDescent="0.25">
      <c r="A2636" s="1">
        <v>2632</v>
      </c>
      <c r="B2636" s="1" t="str">
        <f>"2018-2794"</f>
        <v>2018-2794</v>
      </c>
      <c r="C2636" s="2" t="s">
        <v>813</v>
      </c>
      <c r="D2636" s="1" t="s">
        <v>814</v>
      </c>
      <c r="E2636" s="3" t="str">
        <f>""</f>
        <v/>
      </c>
      <c r="F2636" s="2" t="s">
        <v>27</v>
      </c>
      <c r="G2636" s="2" t="str">
        <f>CONCATENATE("NARODNE NOVINE D.D.,"," OIB: 64546066176")</f>
        <v>NARODNE NOVINE D.D., OIB: 64546066176</v>
      </c>
      <c r="H2636" s="4"/>
      <c r="I2636" s="1" t="s">
        <v>435</v>
      </c>
      <c r="J2636" s="1" t="s">
        <v>492</v>
      </c>
      <c r="K2636" s="6" t="str">
        <f>"8.912,10"</f>
        <v>8.912,10</v>
      </c>
      <c r="L2636" s="6" t="str">
        <f>"2.228,03"</f>
        <v>2.228,03</v>
      </c>
      <c r="M2636" s="6" t="str">
        <f>"11.140,13"</f>
        <v>11.140,13</v>
      </c>
      <c r="N2636" s="5">
        <v>43623</v>
      </c>
      <c r="O2636" s="7"/>
      <c r="P2636" s="6" t="str">
        <f>"11.140,12"</f>
        <v>11.140,12</v>
      </c>
      <c r="Q2636" s="7"/>
      <c r="R2636" s="1"/>
      <c r="S2636" s="1" t="str">
        <f>"2-19/NOS-131-ZGH/18"</f>
        <v>2-19/NOS-131-ZGH/18</v>
      </c>
      <c r="T2636" s="2" t="s">
        <v>33</v>
      </c>
    </row>
    <row r="2637" spans="1:20" ht="76.5" x14ac:dyDescent="0.25">
      <c r="A2637" s="1">
        <v>2633</v>
      </c>
      <c r="B2637" s="1" t="str">
        <f>"2018-2794"</f>
        <v>2018-2794</v>
      </c>
      <c r="C2637" s="2" t="s">
        <v>813</v>
      </c>
      <c r="D2637" s="1" t="s">
        <v>814</v>
      </c>
      <c r="E2637" s="3" t="str">
        <f>""</f>
        <v/>
      </c>
      <c r="F2637" s="2" t="s">
        <v>27</v>
      </c>
      <c r="G2637" s="2" t="str">
        <f>CONCATENATE("INSAKO D.O.O.,"," PUŽEVA 11,"," 10000 ZAGREB,"," OIB: 39851720584")</f>
        <v>INSAKO D.O.O., PUŽEVA 11, 10000 ZAGREB, OIB: 39851720584</v>
      </c>
      <c r="H2637" s="4"/>
      <c r="I2637" s="1" t="s">
        <v>424</v>
      </c>
      <c r="J2637" s="1" t="s">
        <v>114</v>
      </c>
      <c r="K2637" s="6" t="str">
        <f>"56.949,70"</f>
        <v>56.949,70</v>
      </c>
      <c r="L2637" s="6" t="str">
        <f>"14.237,43"</f>
        <v>14.237,43</v>
      </c>
      <c r="M2637" s="6" t="str">
        <f>"71.187,13"</f>
        <v>71.187,13</v>
      </c>
      <c r="N2637" s="5">
        <v>43650</v>
      </c>
      <c r="O2637" s="7"/>
      <c r="P2637" s="6" t="str">
        <f>"36.296,12"</f>
        <v>36.296,12</v>
      </c>
      <c r="Q2637" s="7"/>
      <c r="R2637" s="1"/>
      <c r="S2637" s="1" t="str">
        <f>"5-19/NOS-131-ZGH/18"</f>
        <v>5-19/NOS-131-ZGH/18</v>
      </c>
      <c r="T2637" s="2" t="s">
        <v>671</v>
      </c>
    </row>
    <row r="2638" spans="1:20" ht="38.25" x14ac:dyDescent="0.25">
      <c r="A2638" s="1">
        <v>2634</v>
      </c>
      <c r="B2638" s="1" t="str">
        <f>"2018-2844"</f>
        <v>2018-2844</v>
      </c>
      <c r="C2638" s="2" t="s">
        <v>1305</v>
      </c>
      <c r="D2638" s="1" t="s">
        <v>922</v>
      </c>
      <c r="E2638" s="3" t="str">
        <f>"2019/S 0F2-0004441"</f>
        <v>2019/S 0F2-0004441</v>
      </c>
      <c r="F2638" s="2" t="s">
        <v>23</v>
      </c>
      <c r="G2638" s="2" t="str">
        <f>CONCATENATE("TEMPORIUM GRADNJA D.O.O.,"," LJUTOMERSKA ULICA 33A,"," 10000 ZAGREB,"," OIB: 6285048268")</f>
        <v>TEMPORIUM GRADNJA D.O.O., LJUTOMERSKA ULICA 33A, 10000 ZAGREB, OIB: 6285048268</v>
      </c>
      <c r="H2638" s="1" t="str">
        <f>CONCATENATE("INSTAL-PROM D.O.O.,"," OIB: 21231984689")</f>
        <v>INSTAL-PROM D.O.O., OIB: 21231984689</v>
      </c>
      <c r="I2638" s="1" t="s">
        <v>320</v>
      </c>
      <c r="J2638" s="1" t="s">
        <v>1306</v>
      </c>
      <c r="K2638" s="6" t="str">
        <f>"3.000.000,00"</f>
        <v>3.000.000,00</v>
      </c>
      <c r="L2638" s="6" t="str">
        <f>"750.000,00"</f>
        <v>750.000,00</v>
      </c>
      <c r="M2638" s="6" t="str">
        <f>"3.750.000,00"</f>
        <v>3.750.000,00</v>
      </c>
      <c r="N2638" s="7"/>
      <c r="O2638" s="7"/>
      <c r="P2638" s="6" t="str">
        <f>""</f>
        <v/>
      </c>
      <c r="Q2638" s="7"/>
      <c r="R2638" s="1"/>
      <c r="S2638" s="1" t="str">
        <f>"NOS-132/18"</f>
        <v>NOS-132/18</v>
      </c>
      <c r="T2638" s="2" t="s">
        <v>29</v>
      </c>
    </row>
    <row r="2639" spans="1:20" ht="76.5" x14ac:dyDescent="0.25">
      <c r="A2639" s="1">
        <v>2635</v>
      </c>
      <c r="B2639" s="1" t="str">
        <f>"2018-2911"</f>
        <v>2018-2911</v>
      </c>
      <c r="C2639" s="2" t="s">
        <v>1307</v>
      </c>
      <c r="D2639" s="1" t="s">
        <v>826</v>
      </c>
      <c r="E2639" s="3" t="str">
        <f>"2018/S 0F2-0010060"</f>
        <v>2018/S 0F2-0010060</v>
      </c>
      <c r="F2639" s="2" t="s">
        <v>23</v>
      </c>
      <c r="G2639" s="2" t="str">
        <f>CONCATENATE("TED D.O.O.,"," VRHOVČEV VIJENAC 84,"," 10000 ZAGREB,"," OIB: 22740118957")</f>
        <v>TED D.O.O., VRHOVČEV VIJENAC 84, 10000 ZAGREB, OIB: 22740118957</v>
      </c>
      <c r="H2639" s="4"/>
      <c r="I2639" s="1" t="s">
        <v>642</v>
      </c>
      <c r="J2639" s="1" t="s">
        <v>1308</v>
      </c>
      <c r="K2639" s="6" t="str">
        <f>"2.500.000,00"</f>
        <v>2.500.000,00</v>
      </c>
      <c r="L2639" s="6" t="str">
        <f>"625.000,00"</f>
        <v>625.000,00</v>
      </c>
      <c r="M2639" s="6" t="str">
        <f>"3.125.000,00"</f>
        <v>3.125.000,00</v>
      </c>
      <c r="N2639" s="7"/>
      <c r="O2639" s="7"/>
      <c r="P2639" s="6" t="str">
        <f>""</f>
        <v/>
      </c>
      <c r="Q2639" s="7"/>
      <c r="R2639" s="1"/>
      <c r="S2639" s="1" t="str">
        <f>"NOS-133/18"</f>
        <v>NOS-133/18</v>
      </c>
      <c r="T2639" s="2" t="s">
        <v>1309</v>
      </c>
    </row>
    <row r="2640" spans="1:20" ht="51" x14ac:dyDescent="0.25">
      <c r="A2640" s="1">
        <v>2636</v>
      </c>
      <c r="B2640" s="1" t="str">
        <f>"2018-3163"</f>
        <v>2018-3163</v>
      </c>
      <c r="C2640" s="2" t="s">
        <v>1310</v>
      </c>
      <c r="D2640" s="1" t="s">
        <v>910</v>
      </c>
      <c r="E2640" s="3" t="str">
        <f>"2018/S 0F2-0036778"</f>
        <v>2018/S 0F2-0036778</v>
      </c>
      <c r="F2640" s="2" t="s">
        <v>23</v>
      </c>
      <c r="G2640" s="2" t="str">
        <f>CONCATENATE("CE-ZA-R D.O.O.,"," JOSIPA LONČARA 15,"," 10090 ZAGREB,"," OIB: 03860945174")</f>
        <v>CE-ZA-R D.O.O., JOSIPA LONČARA 15, 10090 ZAGREB, OIB: 03860945174</v>
      </c>
      <c r="H2640" s="4"/>
      <c r="I2640" s="1" t="s">
        <v>396</v>
      </c>
      <c r="J2640" s="1" t="s">
        <v>1311</v>
      </c>
      <c r="K2640" s="6" t="str">
        <f>"15.000.000,00"</f>
        <v>15.000.000,00</v>
      </c>
      <c r="L2640" s="6" t="str">
        <f>"3.750.000,00"</f>
        <v>3.750.000,00</v>
      </c>
      <c r="M2640" s="6" t="str">
        <f>"18.750.000,00"</f>
        <v>18.750.000,00</v>
      </c>
      <c r="N2640" s="7"/>
      <c r="O2640" s="7"/>
      <c r="P2640" s="6" t="str">
        <f>""</f>
        <v/>
      </c>
      <c r="Q2640" s="7"/>
      <c r="R2640" s="1"/>
      <c r="S2640" s="1" t="str">
        <f>"NOS-134-A/18"</f>
        <v>NOS-134-A/18</v>
      </c>
      <c r="T2640" s="2" t="s">
        <v>33</v>
      </c>
    </row>
    <row r="2641" spans="1:20" ht="51" x14ac:dyDescent="0.25">
      <c r="A2641" s="1">
        <v>2637</v>
      </c>
      <c r="B2641" s="1" t="str">
        <f>"2018-3163"</f>
        <v>2018-3163</v>
      </c>
      <c r="C2641" s="2" t="s">
        <v>1310</v>
      </c>
      <c r="D2641" s="1" t="s">
        <v>910</v>
      </c>
      <c r="E2641" s="3" t="str">
        <f>"2018/S 0F2-0036778"</f>
        <v>2018/S 0F2-0036778</v>
      </c>
      <c r="F2641" s="2" t="s">
        <v>23</v>
      </c>
      <c r="G2641" s="2" t="str">
        <f>CONCATENATE("REGENERACIJA D.O.O.,"," PRILAZ DR. FRANJE TUĐMANA 15,"," 49210 ZABOK,"," OIB: 66421949049")</f>
        <v>REGENERACIJA D.O.O., PRILAZ DR. FRANJE TUĐMANA 15, 49210 ZABOK, OIB: 66421949049</v>
      </c>
      <c r="H2641" s="4"/>
      <c r="I2641" s="1" t="s">
        <v>638</v>
      </c>
      <c r="J2641" s="1" t="s">
        <v>1312</v>
      </c>
      <c r="K2641" s="6" t="str">
        <f>"460.000,00"</f>
        <v>460.000,00</v>
      </c>
      <c r="L2641" s="6" t="str">
        <f>"115.000,00"</f>
        <v>115.000,00</v>
      </c>
      <c r="M2641" s="6" t="str">
        <f>"575.000,00"</f>
        <v>575.000,00</v>
      </c>
      <c r="N2641" s="7"/>
      <c r="O2641" s="7"/>
      <c r="P2641" s="6" t="str">
        <f>""</f>
        <v/>
      </c>
      <c r="Q2641" s="7"/>
      <c r="R2641" s="1"/>
      <c r="S2641" s="1" t="str">
        <f>"NOS-134-B/18"</f>
        <v>NOS-134-B/18</v>
      </c>
      <c r="T2641" s="2" t="s">
        <v>33</v>
      </c>
    </row>
    <row r="2642" spans="1:20" ht="63.75" x14ac:dyDescent="0.25">
      <c r="A2642" s="1">
        <v>2638</v>
      </c>
      <c r="B2642" s="1" t="str">
        <f t="shared" ref="B2642:B2673" si="259">"2018-2782"</f>
        <v>2018-2782</v>
      </c>
      <c r="C2642" s="2" t="s">
        <v>75</v>
      </c>
      <c r="D2642" s="1" t="s">
        <v>76</v>
      </c>
      <c r="E2642" s="3" t="str">
        <f>"2018/S 0F2-0027344"</f>
        <v>2018/S 0F2-0027344</v>
      </c>
      <c r="F2642" s="2" t="s">
        <v>23</v>
      </c>
      <c r="G2642" s="2" t="str">
        <f>CONCATENATE("PREHRAMBENA INDUSTRIJA VINDIJA D.D.,"," MEĐIMURSKA 6,"," 42000 VARAŽDIN,"," OIB: 44138062462",CHAR(10),"VELPRO-CENTAR PLUS D.O.O.,"," MARIJANA ČAVIĆA 1,"," 10000 ZAGREB,"," OIB: 81169150175")</f>
        <v>PREHRAMBENA INDUSTRIJA VINDIJA D.D., MEĐIMURSKA 6, 42000 VARAŽDIN, OIB: 44138062462
VELPRO-CENTAR PLUS D.O.O., MARIJANA ČAVIĆA 1, 10000 ZAGREB, OIB: 81169150175</v>
      </c>
      <c r="H2642" s="4"/>
      <c r="I2642" s="1" t="s">
        <v>162</v>
      </c>
      <c r="J2642" s="1" t="s">
        <v>1313</v>
      </c>
      <c r="K2642" s="6" t="str">
        <f>"2.257.800,00"</f>
        <v>2.257.800,00</v>
      </c>
      <c r="L2642" s="6" t="str">
        <f>"564.450,00"</f>
        <v>564.450,00</v>
      </c>
      <c r="M2642" s="6" t="str">
        <f>"2.822.250,00"</f>
        <v>2.822.250,00</v>
      </c>
      <c r="N2642" s="7"/>
      <c r="O2642" s="7"/>
      <c r="P2642" s="6" t="str">
        <f>""</f>
        <v/>
      </c>
      <c r="Q2642" s="7"/>
      <c r="R2642" s="1"/>
      <c r="S2642" s="1" t="str">
        <f>"NOS-135-A/18"</f>
        <v>NOS-135-A/18</v>
      </c>
      <c r="T2642" s="2" t="s">
        <v>79</v>
      </c>
    </row>
    <row r="2643" spans="1:20" ht="38.25" x14ac:dyDescent="0.25">
      <c r="A2643" s="1">
        <v>2639</v>
      </c>
      <c r="B2643" s="1" t="str">
        <f t="shared" si="259"/>
        <v>2018-2782</v>
      </c>
      <c r="C2643" s="2" t="s">
        <v>75</v>
      </c>
      <c r="D2643" s="4"/>
      <c r="E2643" s="3" t="str">
        <f>""</f>
        <v/>
      </c>
      <c r="F2643" s="2" t="s">
        <v>27</v>
      </c>
      <c r="G2643" s="2" t="str">
        <f t="shared" ref="G2643:G2649" si="260">CONCATENATE("PREHRAMBENA INDUSTRIJA VINDIJA D.D.,"," MEĐIMURSKA 6,"," 42000 VARAŽDIN,"," OIB: 44138062462")</f>
        <v>PREHRAMBENA INDUSTRIJA VINDIJA D.D., MEĐIMURSKA 6, 42000 VARAŽDIN, OIB: 44138062462</v>
      </c>
      <c r="H2643" s="4"/>
      <c r="I2643" s="1" t="s">
        <v>396</v>
      </c>
      <c r="J2643" s="1" t="s">
        <v>516</v>
      </c>
      <c r="K2643" s="6" t="str">
        <f>"399.185,00"</f>
        <v>399.185,00</v>
      </c>
      <c r="L2643" s="6" t="str">
        <f>"99.796,25"</f>
        <v>99.796,25</v>
      </c>
      <c r="M2643" s="6" t="str">
        <f>"498.981,25"</f>
        <v>498.981,25</v>
      </c>
      <c r="N2643" s="1" t="s">
        <v>117</v>
      </c>
      <c r="O2643" s="7"/>
      <c r="P2643" s="6" t="str">
        <f>""</f>
        <v/>
      </c>
      <c r="Q2643" s="7"/>
      <c r="R2643" s="1"/>
      <c r="S2643" s="1" t="str">
        <f>"1-19/NOS-135-A/18"</f>
        <v>1-19/NOS-135-A/18</v>
      </c>
      <c r="T2643" s="2" t="s">
        <v>33</v>
      </c>
    </row>
    <row r="2644" spans="1:20" ht="38.25" x14ac:dyDescent="0.25">
      <c r="A2644" s="1">
        <v>2640</v>
      </c>
      <c r="B2644" s="1" t="str">
        <f t="shared" si="259"/>
        <v>2018-2782</v>
      </c>
      <c r="C2644" s="2" t="s">
        <v>75</v>
      </c>
      <c r="D2644" s="1" t="s">
        <v>76</v>
      </c>
      <c r="E2644" s="3" t="str">
        <f>""</f>
        <v/>
      </c>
      <c r="F2644" s="2" t="s">
        <v>27</v>
      </c>
      <c r="G2644" s="2" t="str">
        <f t="shared" si="260"/>
        <v>PREHRAMBENA INDUSTRIJA VINDIJA D.D., MEĐIMURSKA 6, 42000 VARAŽDIN, OIB: 44138062462</v>
      </c>
      <c r="H2644" s="4"/>
      <c r="I2644" s="1" t="s">
        <v>440</v>
      </c>
      <c r="J2644" s="1" t="s">
        <v>492</v>
      </c>
      <c r="K2644" s="6" t="str">
        <f>"535,80"</f>
        <v>535,80</v>
      </c>
      <c r="L2644" s="6" t="str">
        <f t="shared" ref="L2644:M2649" si="261">"0,00"</f>
        <v>0,00</v>
      </c>
      <c r="M2644" s="6" t="str">
        <f t="shared" si="261"/>
        <v>0,00</v>
      </c>
      <c r="N2644" s="1" t="s">
        <v>117</v>
      </c>
      <c r="O2644" s="7"/>
      <c r="P2644" s="6" t="str">
        <f t="shared" ref="P2644:P2649" si="262">"0,00"</f>
        <v>0,00</v>
      </c>
      <c r="Q2644" s="7"/>
      <c r="R2644" s="1"/>
      <c r="S2644" s="1" t="str">
        <f>"2-19/NOS-135-A/18"</f>
        <v>2-19/NOS-135-A/18</v>
      </c>
      <c r="T2644" s="2" t="s">
        <v>33</v>
      </c>
    </row>
    <row r="2645" spans="1:20" ht="38.25" x14ac:dyDescent="0.25">
      <c r="A2645" s="1">
        <v>2641</v>
      </c>
      <c r="B2645" s="1" t="str">
        <f t="shared" si="259"/>
        <v>2018-2782</v>
      </c>
      <c r="C2645" s="2" t="s">
        <v>75</v>
      </c>
      <c r="D2645" s="1" t="s">
        <v>76</v>
      </c>
      <c r="E2645" s="3" t="str">
        <f>""</f>
        <v/>
      </c>
      <c r="F2645" s="2" t="s">
        <v>27</v>
      </c>
      <c r="G2645" s="2" t="str">
        <f t="shared" si="260"/>
        <v>PREHRAMBENA INDUSTRIJA VINDIJA D.D., MEĐIMURSKA 6, 42000 VARAŽDIN, OIB: 44138062462</v>
      </c>
      <c r="H2645" s="4"/>
      <c r="I2645" s="1" t="s">
        <v>440</v>
      </c>
      <c r="J2645" s="1" t="s">
        <v>31</v>
      </c>
      <c r="K2645" s="6" t="str">
        <f>"1.206,20"</f>
        <v>1.206,20</v>
      </c>
      <c r="L2645" s="6" t="str">
        <f t="shared" si="261"/>
        <v>0,00</v>
      </c>
      <c r="M2645" s="6" t="str">
        <f t="shared" si="261"/>
        <v>0,00</v>
      </c>
      <c r="N2645" s="1" t="s">
        <v>117</v>
      </c>
      <c r="O2645" s="7"/>
      <c r="P2645" s="6" t="str">
        <f t="shared" si="262"/>
        <v>0,00</v>
      </c>
      <c r="Q2645" s="7"/>
      <c r="R2645" s="1"/>
      <c r="S2645" s="1" t="str">
        <f>"3-19/NOS-135-A/18"</f>
        <v>3-19/NOS-135-A/18</v>
      </c>
      <c r="T2645" s="17"/>
    </row>
    <row r="2646" spans="1:20" ht="38.25" x14ac:dyDescent="0.25">
      <c r="A2646" s="1">
        <v>2642</v>
      </c>
      <c r="B2646" s="1" t="str">
        <f t="shared" si="259"/>
        <v>2018-2782</v>
      </c>
      <c r="C2646" s="2" t="s">
        <v>75</v>
      </c>
      <c r="D2646" s="1" t="s">
        <v>76</v>
      </c>
      <c r="E2646" s="3" t="str">
        <f>""</f>
        <v/>
      </c>
      <c r="F2646" s="2" t="s">
        <v>27</v>
      </c>
      <c r="G2646" s="2" t="str">
        <f t="shared" si="260"/>
        <v>PREHRAMBENA INDUSTRIJA VINDIJA D.D., MEĐIMURSKA 6, 42000 VARAŽDIN, OIB: 44138062462</v>
      </c>
      <c r="H2646" s="4"/>
      <c r="I2646" s="1" t="s">
        <v>930</v>
      </c>
      <c r="J2646" s="1" t="s">
        <v>47</v>
      </c>
      <c r="K2646" s="6" t="str">
        <f>"2.850,20"</f>
        <v>2.850,20</v>
      </c>
      <c r="L2646" s="6" t="str">
        <f t="shared" si="261"/>
        <v>0,00</v>
      </c>
      <c r="M2646" s="6" t="str">
        <f t="shared" si="261"/>
        <v>0,00</v>
      </c>
      <c r="N2646" s="1" t="s">
        <v>117</v>
      </c>
      <c r="O2646" s="7"/>
      <c r="P2646" s="6" t="str">
        <f t="shared" si="262"/>
        <v>0,00</v>
      </c>
      <c r="Q2646" s="7"/>
      <c r="R2646" s="1"/>
      <c r="S2646" s="1" t="str">
        <f>"4-19/NOS-135-A/18"</f>
        <v>4-19/NOS-135-A/18</v>
      </c>
      <c r="T2646" s="2" t="s">
        <v>33</v>
      </c>
    </row>
    <row r="2647" spans="1:20" ht="38.25" x14ac:dyDescent="0.25">
      <c r="A2647" s="1">
        <v>2643</v>
      </c>
      <c r="B2647" s="1" t="str">
        <f t="shared" si="259"/>
        <v>2018-2782</v>
      </c>
      <c r="C2647" s="2" t="s">
        <v>75</v>
      </c>
      <c r="D2647" s="1" t="s">
        <v>76</v>
      </c>
      <c r="E2647" s="3" t="str">
        <f>""</f>
        <v/>
      </c>
      <c r="F2647" s="2" t="s">
        <v>27</v>
      </c>
      <c r="G2647" s="2" t="str">
        <f t="shared" si="260"/>
        <v>PREHRAMBENA INDUSTRIJA VINDIJA D.D., MEĐIMURSKA 6, 42000 VARAŽDIN, OIB: 44138062462</v>
      </c>
      <c r="H2647" s="4"/>
      <c r="I2647" s="1" t="s">
        <v>396</v>
      </c>
      <c r="J2647" s="1" t="s">
        <v>242</v>
      </c>
      <c r="K2647" s="6" t="str">
        <f>"1.388,20"</f>
        <v>1.388,20</v>
      </c>
      <c r="L2647" s="6" t="str">
        <f t="shared" si="261"/>
        <v>0,00</v>
      </c>
      <c r="M2647" s="6" t="str">
        <f t="shared" si="261"/>
        <v>0,00</v>
      </c>
      <c r="N2647" s="1" t="s">
        <v>117</v>
      </c>
      <c r="O2647" s="7"/>
      <c r="P2647" s="6" t="str">
        <f t="shared" si="262"/>
        <v>0,00</v>
      </c>
      <c r="Q2647" s="7"/>
      <c r="R2647" s="1"/>
      <c r="S2647" s="1" t="str">
        <f>"5-19/NOS-135-A/18"</f>
        <v>5-19/NOS-135-A/18</v>
      </c>
      <c r="T2647" s="2" t="s">
        <v>33</v>
      </c>
    </row>
    <row r="2648" spans="1:20" ht="38.25" x14ac:dyDescent="0.25">
      <c r="A2648" s="1">
        <v>2644</v>
      </c>
      <c r="B2648" s="1" t="str">
        <f t="shared" si="259"/>
        <v>2018-2782</v>
      </c>
      <c r="C2648" s="2" t="s">
        <v>75</v>
      </c>
      <c r="D2648" s="1" t="s">
        <v>76</v>
      </c>
      <c r="E2648" s="3" t="str">
        <f>""</f>
        <v/>
      </c>
      <c r="F2648" s="2" t="s">
        <v>27</v>
      </c>
      <c r="G2648" s="2" t="str">
        <f t="shared" si="260"/>
        <v>PREHRAMBENA INDUSTRIJA VINDIJA D.D., MEĐIMURSKA 6, 42000 VARAŽDIN, OIB: 44138062462</v>
      </c>
      <c r="H2648" s="4"/>
      <c r="I2648" s="1" t="s">
        <v>396</v>
      </c>
      <c r="J2648" s="1" t="s">
        <v>251</v>
      </c>
      <c r="K2648" s="6" t="str">
        <f>"8.251,00"</f>
        <v>8.251,00</v>
      </c>
      <c r="L2648" s="6" t="str">
        <f t="shared" si="261"/>
        <v>0,00</v>
      </c>
      <c r="M2648" s="6" t="str">
        <f t="shared" si="261"/>
        <v>0,00</v>
      </c>
      <c r="N2648" s="1" t="s">
        <v>117</v>
      </c>
      <c r="O2648" s="7"/>
      <c r="P2648" s="6" t="str">
        <f t="shared" si="262"/>
        <v>0,00</v>
      </c>
      <c r="Q2648" s="7"/>
      <c r="R2648" s="1"/>
      <c r="S2648" s="1" t="str">
        <f>"6-19/NOS-135-A/18"</f>
        <v>6-19/NOS-135-A/18</v>
      </c>
      <c r="T2648" s="2" t="s">
        <v>33</v>
      </c>
    </row>
    <row r="2649" spans="1:20" ht="38.25" x14ac:dyDescent="0.25">
      <c r="A2649" s="1">
        <v>2645</v>
      </c>
      <c r="B2649" s="1" t="str">
        <f t="shared" si="259"/>
        <v>2018-2782</v>
      </c>
      <c r="C2649" s="2" t="s">
        <v>75</v>
      </c>
      <c r="D2649" s="1" t="s">
        <v>76</v>
      </c>
      <c r="E2649" s="3" t="str">
        <f>""</f>
        <v/>
      </c>
      <c r="F2649" s="2" t="s">
        <v>27</v>
      </c>
      <c r="G2649" s="2" t="str">
        <f t="shared" si="260"/>
        <v>PREHRAMBENA INDUSTRIJA VINDIJA D.D., MEĐIMURSKA 6, 42000 VARAŽDIN, OIB: 44138062462</v>
      </c>
      <c r="H2649" s="4"/>
      <c r="I2649" s="1" t="s">
        <v>640</v>
      </c>
      <c r="J2649" s="1" t="s">
        <v>31</v>
      </c>
      <c r="K2649" s="6" t="str">
        <f>"936,10"</f>
        <v>936,10</v>
      </c>
      <c r="L2649" s="6" t="str">
        <f t="shared" si="261"/>
        <v>0,00</v>
      </c>
      <c r="M2649" s="6" t="str">
        <f t="shared" si="261"/>
        <v>0,00</v>
      </c>
      <c r="N2649" s="1" t="s">
        <v>117</v>
      </c>
      <c r="O2649" s="7"/>
      <c r="P2649" s="6" t="str">
        <f t="shared" si="262"/>
        <v>0,00</v>
      </c>
      <c r="Q2649" s="7"/>
      <c r="R2649" s="1"/>
      <c r="S2649" s="1" t="str">
        <f>"7-19/NOS-135-A/18"</f>
        <v>7-19/NOS-135-A/18</v>
      </c>
      <c r="T2649" s="17"/>
    </row>
    <row r="2650" spans="1:20" ht="63.75" x14ac:dyDescent="0.25">
      <c r="A2650" s="1">
        <v>2646</v>
      </c>
      <c r="B2650" s="1" t="str">
        <f t="shared" si="259"/>
        <v>2018-2782</v>
      </c>
      <c r="C2650" s="2" t="s">
        <v>75</v>
      </c>
      <c r="D2650" s="1" t="s">
        <v>76</v>
      </c>
      <c r="E2650" s="3" t="str">
        <f>"2018/S 0F2-0027344"</f>
        <v>2018/S 0F2-0027344</v>
      </c>
      <c r="F2650" s="2" t="s">
        <v>23</v>
      </c>
      <c r="G2650" s="2" t="str">
        <f t="shared" ref="G2650:G2661" si="263">CONCATENATE("VELPRO-CENTAR PLUS D.O.O.,"," MARIJANA ČAVIĆA 1,"," 10000 ZAGREB,"," OIB: 81169150175")</f>
        <v>VELPRO-CENTAR PLUS D.O.O., MARIJANA ČAVIĆA 1, 10000 ZAGREB, OIB: 81169150175</v>
      </c>
      <c r="H2650" s="4"/>
      <c r="I2650" s="1" t="s">
        <v>639</v>
      </c>
      <c r="J2650" s="1" t="s">
        <v>1314</v>
      </c>
      <c r="K2650" s="6" t="str">
        <f>"1.933.000,00"</f>
        <v>1.933.000,00</v>
      </c>
      <c r="L2650" s="6" t="str">
        <f>"483.250,00"</f>
        <v>483.250,00</v>
      </c>
      <c r="M2650" s="6" t="str">
        <f>"2.416.250,00"</f>
        <v>2.416.250,00</v>
      </c>
      <c r="N2650" s="7"/>
      <c r="O2650" s="7"/>
      <c r="P2650" s="6" t="str">
        <f>""</f>
        <v/>
      </c>
      <c r="Q2650" s="7"/>
      <c r="R2650" s="1"/>
      <c r="S2650" s="1" t="str">
        <f>"NOS-135-C/18"</f>
        <v>NOS-135-C/18</v>
      </c>
      <c r="T2650" s="2" t="s">
        <v>79</v>
      </c>
    </row>
    <row r="2651" spans="1:20" ht="25.5" x14ac:dyDescent="0.25">
      <c r="A2651" s="1">
        <v>2647</v>
      </c>
      <c r="B2651" s="1" t="str">
        <f t="shared" si="259"/>
        <v>2018-2782</v>
      </c>
      <c r="C2651" s="2" t="s">
        <v>75</v>
      </c>
      <c r="D2651" s="4"/>
      <c r="E2651" s="3" t="str">
        <f>""</f>
        <v/>
      </c>
      <c r="F2651" s="2" t="s">
        <v>27</v>
      </c>
      <c r="G2651" s="2" t="str">
        <f t="shared" si="263"/>
        <v>VELPRO-CENTAR PLUS D.O.O., MARIJANA ČAVIĆA 1, 10000 ZAGREB, OIB: 81169150175</v>
      </c>
      <c r="H2651" s="4"/>
      <c r="I2651" s="1" t="s">
        <v>640</v>
      </c>
      <c r="J2651" s="1" t="s">
        <v>516</v>
      </c>
      <c r="K2651" s="6" t="str">
        <f>"399.980,00"</f>
        <v>399.980,00</v>
      </c>
      <c r="L2651" s="6" t="str">
        <f>"99.995,00"</f>
        <v>99.995,00</v>
      </c>
      <c r="M2651" s="6" t="str">
        <f>"499.975,00"</f>
        <v>499.975,00</v>
      </c>
      <c r="N2651" s="5">
        <v>43677</v>
      </c>
      <c r="O2651" s="7"/>
      <c r="P2651" s="6" t="str">
        <f>"47.204,25"</f>
        <v>47.204,25</v>
      </c>
      <c r="Q2651" s="7"/>
      <c r="R2651" s="1"/>
      <c r="S2651" s="1" t="str">
        <f>"1-19/NOS-135-C/18"</f>
        <v>1-19/NOS-135-C/18</v>
      </c>
      <c r="T2651" s="2" t="s">
        <v>33</v>
      </c>
    </row>
    <row r="2652" spans="1:20" ht="25.5" x14ac:dyDescent="0.25">
      <c r="A2652" s="1">
        <v>2648</v>
      </c>
      <c r="B2652" s="1" t="str">
        <f t="shared" si="259"/>
        <v>2018-2782</v>
      </c>
      <c r="C2652" s="2" t="s">
        <v>75</v>
      </c>
      <c r="D2652" s="1" t="s">
        <v>76</v>
      </c>
      <c r="E2652" s="3" t="str">
        <f>""</f>
        <v/>
      </c>
      <c r="F2652" s="2" t="s">
        <v>27</v>
      </c>
      <c r="G2652" s="2" t="str">
        <f t="shared" si="263"/>
        <v>VELPRO-CENTAR PLUS D.O.O., MARIJANA ČAVIĆA 1, 10000 ZAGREB, OIB: 81169150175</v>
      </c>
      <c r="H2652" s="4"/>
      <c r="I2652" s="1" t="s">
        <v>440</v>
      </c>
      <c r="J2652" s="1" t="s">
        <v>492</v>
      </c>
      <c r="K2652" s="6" t="str">
        <f>"1.102,00"</f>
        <v>1.102,00</v>
      </c>
      <c r="L2652" s="6" t="str">
        <f>"263,00"</f>
        <v>263,00</v>
      </c>
      <c r="M2652" s="6" t="str">
        <f>"1.315,01"</f>
        <v>1.315,01</v>
      </c>
      <c r="N2652" s="5">
        <v>43636</v>
      </c>
      <c r="O2652" s="7"/>
      <c r="P2652" s="6" t="str">
        <f>"1.315,01"</f>
        <v>1.315,01</v>
      </c>
      <c r="Q2652" s="7"/>
      <c r="R2652" s="1"/>
      <c r="S2652" s="1" t="str">
        <f>"2-19/NOS-135-C/18"</f>
        <v>2-19/NOS-135-C/18</v>
      </c>
      <c r="T2652" s="2" t="s">
        <v>33</v>
      </c>
    </row>
    <row r="2653" spans="1:20" ht="25.5" x14ac:dyDescent="0.25">
      <c r="A2653" s="1">
        <v>2649</v>
      </c>
      <c r="B2653" s="1" t="str">
        <f t="shared" si="259"/>
        <v>2018-2782</v>
      </c>
      <c r="C2653" s="2" t="s">
        <v>75</v>
      </c>
      <c r="D2653" s="1" t="s">
        <v>76</v>
      </c>
      <c r="E2653" s="3" t="str">
        <f>""</f>
        <v/>
      </c>
      <c r="F2653" s="2" t="s">
        <v>27</v>
      </c>
      <c r="G2653" s="2" t="str">
        <f t="shared" si="263"/>
        <v>VELPRO-CENTAR PLUS D.O.O., MARIJANA ČAVIĆA 1, 10000 ZAGREB, OIB: 81169150175</v>
      </c>
      <c r="H2653" s="4"/>
      <c r="I2653" s="1" t="s">
        <v>440</v>
      </c>
      <c r="J2653" s="1" t="s">
        <v>492</v>
      </c>
      <c r="K2653" s="6" t="str">
        <f>"700,50"</f>
        <v>700,50</v>
      </c>
      <c r="L2653" s="6" t="str">
        <f>"212,50"</f>
        <v>212,50</v>
      </c>
      <c r="M2653" s="6" t="str">
        <f>"1.062,50"</f>
        <v>1.062,50</v>
      </c>
      <c r="N2653" s="5">
        <v>43634</v>
      </c>
      <c r="O2653" s="7"/>
      <c r="P2653" s="6" t="str">
        <f>"1.062,50"</f>
        <v>1.062,50</v>
      </c>
      <c r="Q2653" s="7"/>
      <c r="R2653" s="1"/>
      <c r="S2653" s="1" t="str">
        <f>"3-19/NOS-135-C/18"</f>
        <v>3-19/NOS-135-C/18</v>
      </c>
      <c r="T2653" s="2" t="s">
        <v>33</v>
      </c>
    </row>
    <row r="2654" spans="1:20" ht="25.5" x14ac:dyDescent="0.25">
      <c r="A2654" s="1">
        <v>2650</v>
      </c>
      <c r="B2654" s="1" t="str">
        <f t="shared" si="259"/>
        <v>2018-2782</v>
      </c>
      <c r="C2654" s="2" t="s">
        <v>75</v>
      </c>
      <c r="D2654" s="1" t="s">
        <v>76</v>
      </c>
      <c r="E2654" s="3" t="str">
        <f>""</f>
        <v/>
      </c>
      <c r="F2654" s="2" t="s">
        <v>27</v>
      </c>
      <c r="G2654" s="2" t="str">
        <f t="shared" si="263"/>
        <v>VELPRO-CENTAR PLUS D.O.O., MARIJANA ČAVIĆA 1, 10000 ZAGREB, OIB: 81169150175</v>
      </c>
      <c r="H2654" s="4"/>
      <c r="I2654" s="1" t="s">
        <v>930</v>
      </c>
      <c r="J2654" s="1" t="s">
        <v>492</v>
      </c>
      <c r="K2654" s="6" t="str">
        <f>"358,50"</f>
        <v>358,50</v>
      </c>
      <c r="L2654" s="6" t="str">
        <f>"175,15"</f>
        <v>175,15</v>
      </c>
      <c r="M2654" s="6" t="str">
        <f>"875,75"</f>
        <v>875,75</v>
      </c>
      <c r="N2654" s="5">
        <v>43642</v>
      </c>
      <c r="O2654" s="7"/>
      <c r="P2654" s="6" t="str">
        <f>"875,75"</f>
        <v>875,75</v>
      </c>
      <c r="Q2654" s="7"/>
      <c r="R2654" s="1"/>
      <c r="S2654" s="1" t="str">
        <f>"4-19/NOS-135-C/18"</f>
        <v>4-19/NOS-135-C/18</v>
      </c>
      <c r="T2654" s="2" t="s">
        <v>33</v>
      </c>
    </row>
    <row r="2655" spans="1:20" ht="25.5" x14ac:dyDescent="0.25">
      <c r="A2655" s="1">
        <v>2651</v>
      </c>
      <c r="B2655" s="1" t="str">
        <f t="shared" si="259"/>
        <v>2018-2782</v>
      </c>
      <c r="C2655" s="2" t="s">
        <v>75</v>
      </c>
      <c r="D2655" s="1" t="s">
        <v>76</v>
      </c>
      <c r="E2655" s="3" t="str">
        <f>""</f>
        <v/>
      </c>
      <c r="F2655" s="2" t="s">
        <v>27</v>
      </c>
      <c r="G2655" s="2" t="str">
        <f t="shared" si="263"/>
        <v>VELPRO-CENTAR PLUS D.O.O., MARIJANA ČAVIĆA 1, 10000 ZAGREB, OIB: 81169150175</v>
      </c>
      <c r="H2655" s="4"/>
      <c r="I2655" s="1" t="s">
        <v>930</v>
      </c>
      <c r="J2655" s="1" t="s">
        <v>492</v>
      </c>
      <c r="K2655" s="6" t="str">
        <f>"2.904,50"</f>
        <v>2.904,50</v>
      </c>
      <c r="L2655" s="6" t="str">
        <f>"723,80"</f>
        <v>723,80</v>
      </c>
      <c r="M2655" s="6" t="str">
        <f>"3.619,00"</f>
        <v>3.619,00</v>
      </c>
      <c r="N2655" s="5">
        <v>43640</v>
      </c>
      <c r="O2655" s="7"/>
      <c r="P2655" s="6" t="str">
        <f>"3.619,00"</f>
        <v>3.619,00</v>
      </c>
      <c r="Q2655" s="7"/>
      <c r="R2655" s="1"/>
      <c r="S2655" s="1" t="str">
        <f>"5-19/NOS-135-C/18"</f>
        <v>5-19/NOS-135-C/18</v>
      </c>
      <c r="T2655" s="2" t="s">
        <v>33</v>
      </c>
    </row>
    <row r="2656" spans="1:20" ht="25.5" x14ac:dyDescent="0.25">
      <c r="A2656" s="1">
        <v>2652</v>
      </c>
      <c r="B2656" s="1" t="str">
        <f t="shared" si="259"/>
        <v>2018-2782</v>
      </c>
      <c r="C2656" s="2" t="s">
        <v>75</v>
      </c>
      <c r="D2656" s="1" t="s">
        <v>76</v>
      </c>
      <c r="E2656" s="3" t="str">
        <f>""</f>
        <v/>
      </c>
      <c r="F2656" s="2" t="s">
        <v>27</v>
      </c>
      <c r="G2656" s="2" t="str">
        <f t="shared" si="263"/>
        <v>VELPRO-CENTAR PLUS D.O.O., MARIJANA ČAVIĆA 1, 10000 ZAGREB, OIB: 81169150175</v>
      </c>
      <c r="H2656" s="4"/>
      <c r="I2656" s="1" t="s">
        <v>396</v>
      </c>
      <c r="J2656" s="1" t="s">
        <v>242</v>
      </c>
      <c r="K2656" s="6" t="str">
        <f>"2.298,22"</f>
        <v>2.298,22</v>
      </c>
      <c r="L2656" s="6" t="str">
        <f>"0,00"</f>
        <v>0,00</v>
      </c>
      <c r="M2656" s="6" t="str">
        <f>"0,00"</f>
        <v>0,00</v>
      </c>
      <c r="N2656" s="1" t="s">
        <v>117</v>
      </c>
      <c r="O2656" s="7"/>
      <c r="P2656" s="6" t="str">
        <f>"0,00"</f>
        <v>0,00</v>
      </c>
      <c r="Q2656" s="7"/>
      <c r="R2656" s="1"/>
      <c r="S2656" s="1" t="str">
        <f>"6-19/NOS-135-C/18"</f>
        <v>6-19/NOS-135-C/18</v>
      </c>
      <c r="T2656" s="2" t="s">
        <v>33</v>
      </c>
    </row>
    <row r="2657" spans="1:20" ht="25.5" x14ac:dyDescent="0.25">
      <c r="A2657" s="1">
        <v>2653</v>
      </c>
      <c r="B2657" s="1" t="str">
        <f t="shared" si="259"/>
        <v>2018-2782</v>
      </c>
      <c r="C2657" s="2" t="s">
        <v>75</v>
      </c>
      <c r="D2657" s="1" t="s">
        <v>76</v>
      </c>
      <c r="E2657" s="3" t="str">
        <f>""</f>
        <v/>
      </c>
      <c r="F2657" s="2" t="s">
        <v>27</v>
      </c>
      <c r="G2657" s="2" t="str">
        <f t="shared" si="263"/>
        <v>VELPRO-CENTAR PLUS D.O.O., MARIJANA ČAVIĆA 1, 10000 ZAGREB, OIB: 81169150175</v>
      </c>
      <c r="H2657" s="4"/>
      <c r="I2657" s="1" t="s">
        <v>396</v>
      </c>
      <c r="J2657" s="1" t="s">
        <v>242</v>
      </c>
      <c r="K2657" s="6" t="str">
        <f>"1.143,00"</f>
        <v>1.143,00</v>
      </c>
      <c r="L2657" s="6" t="str">
        <f>"249,44"</f>
        <v>249,44</v>
      </c>
      <c r="M2657" s="6" t="str">
        <f>"1.247,20"</f>
        <v>1.247,20</v>
      </c>
      <c r="N2657" s="5">
        <v>43643</v>
      </c>
      <c r="O2657" s="7"/>
      <c r="P2657" s="6" t="str">
        <f>"1.247,20"</f>
        <v>1.247,20</v>
      </c>
      <c r="Q2657" s="7"/>
      <c r="R2657" s="1"/>
      <c r="S2657" s="1" t="str">
        <f>"7-19/NOS-135-C/18"</f>
        <v>7-19/NOS-135-C/18</v>
      </c>
      <c r="T2657" s="2" t="s">
        <v>33</v>
      </c>
    </row>
    <row r="2658" spans="1:20" ht="25.5" x14ac:dyDescent="0.25">
      <c r="A2658" s="1">
        <v>2654</v>
      </c>
      <c r="B2658" s="1" t="str">
        <f t="shared" si="259"/>
        <v>2018-2782</v>
      </c>
      <c r="C2658" s="2" t="s">
        <v>75</v>
      </c>
      <c r="D2658" s="1" t="s">
        <v>76</v>
      </c>
      <c r="E2658" s="3" t="str">
        <f>""</f>
        <v/>
      </c>
      <c r="F2658" s="2" t="s">
        <v>27</v>
      </c>
      <c r="G2658" s="2" t="str">
        <f t="shared" si="263"/>
        <v>VELPRO-CENTAR PLUS D.O.O., MARIJANA ČAVIĆA 1, 10000 ZAGREB, OIB: 81169150175</v>
      </c>
      <c r="H2658" s="4"/>
      <c r="I2658" s="1" t="s">
        <v>396</v>
      </c>
      <c r="J2658" s="1" t="s">
        <v>242</v>
      </c>
      <c r="K2658" s="6" t="str">
        <f>"1.413,40"</f>
        <v>1.413,40</v>
      </c>
      <c r="L2658" s="6" t="str">
        <f>"414,04"</f>
        <v>414,04</v>
      </c>
      <c r="M2658" s="6" t="str">
        <f>"2.070,19"</f>
        <v>2.070,19</v>
      </c>
      <c r="N2658" s="5">
        <v>43647</v>
      </c>
      <c r="O2658" s="7"/>
      <c r="P2658" s="6" t="str">
        <f>"2.070,19"</f>
        <v>2.070,19</v>
      </c>
      <c r="Q2658" s="7"/>
      <c r="R2658" s="1"/>
      <c r="S2658" s="1" t="str">
        <f>"8-19/NOS-135-C/18"</f>
        <v>8-19/NOS-135-C/18</v>
      </c>
      <c r="T2658" s="2" t="s">
        <v>33</v>
      </c>
    </row>
    <row r="2659" spans="1:20" ht="25.5" x14ac:dyDescent="0.25">
      <c r="A2659" s="1">
        <v>2655</v>
      </c>
      <c r="B2659" s="1" t="str">
        <f t="shared" si="259"/>
        <v>2018-2782</v>
      </c>
      <c r="C2659" s="2" t="s">
        <v>75</v>
      </c>
      <c r="D2659" s="1" t="s">
        <v>76</v>
      </c>
      <c r="E2659" s="3" t="str">
        <f>""</f>
        <v/>
      </c>
      <c r="F2659" s="2" t="s">
        <v>27</v>
      </c>
      <c r="G2659" s="2" t="str">
        <f t="shared" si="263"/>
        <v>VELPRO-CENTAR PLUS D.O.O., MARIJANA ČAVIĆA 1, 10000 ZAGREB, OIB: 81169150175</v>
      </c>
      <c r="H2659" s="4"/>
      <c r="I2659" s="1" t="s">
        <v>638</v>
      </c>
      <c r="J2659" s="1" t="s">
        <v>251</v>
      </c>
      <c r="K2659" s="6" t="str">
        <f>"4.498,00"</f>
        <v>4.498,00</v>
      </c>
      <c r="L2659" s="6" t="str">
        <f>"1.192,53"</f>
        <v>1.192,53</v>
      </c>
      <c r="M2659" s="6" t="str">
        <f>"5.962,63"</f>
        <v>5.962,63</v>
      </c>
      <c r="N2659" s="5">
        <v>43645</v>
      </c>
      <c r="O2659" s="7"/>
      <c r="P2659" s="6" t="str">
        <f>"5.962,62"</f>
        <v>5.962,62</v>
      </c>
      <c r="Q2659" s="7"/>
      <c r="R2659" s="1"/>
      <c r="S2659" s="1" t="str">
        <f>"9-19/NOS-135-C/18"</f>
        <v>9-19/NOS-135-C/18</v>
      </c>
      <c r="T2659" s="2" t="s">
        <v>33</v>
      </c>
    </row>
    <row r="2660" spans="1:20" ht="25.5" x14ac:dyDescent="0.25">
      <c r="A2660" s="1">
        <v>2656</v>
      </c>
      <c r="B2660" s="1" t="str">
        <f t="shared" si="259"/>
        <v>2018-2782</v>
      </c>
      <c r="C2660" s="2" t="s">
        <v>75</v>
      </c>
      <c r="D2660" s="1" t="s">
        <v>76</v>
      </c>
      <c r="E2660" s="3" t="str">
        <f>""</f>
        <v/>
      </c>
      <c r="F2660" s="2" t="s">
        <v>27</v>
      </c>
      <c r="G2660" s="2" t="str">
        <f t="shared" si="263"/>
        <v>VELPRO-CENTAR PLUS D.O.O., MARIJANA ČAVIĆA 1, 10000 ZAGREB, OIB: 81169150175</v>
      </c>
      <c r="H2660" s="4"/>
      <c r="I2660" s="1" t="s">
        <v>638</v>
      </c>
      <c r="J2660" s="1" t="s">
        <v>492</v>
      </c>
      <c r="K2660" s="6" t="str">
        <f>"1.712,00"</f>
        <v>1.712,00</v>
      </c>
      <c r="L2660" s="6" t="str">
        <f>"410,95"</f>
        <v>410,95</v>
      </c>
      <c r="M2660" s="6" t="str">
        <f>"2.054,75"</f>
        <v>2.054,75</v>
      </c>
      <c r="N2660" s="5">
        <v>43645</v>
      </c>
      <c r="O2660" s="7"/>
      <c r="P2660" s="6" t="str">
        <f>"2.054,75"</f>
        <v>2.054,75</v>
      </c>
      <c r="Q2660" s="7"/>
      <c r="R2660" s="1"/>
      <c r="S2660" s="1" t="str">
        <f>"10-19/NOS-135-C/18"</f>
        <v>10-19/NOS-135-C/18</v>
      </c>
      <c r="T2660" s="2" t="s">
        <v>33</v>
      </c>
    </row>
    <row r="2661" spans="1:20" ht="25.5" x14ac:dyDescent="0.25">
      <c r="A2661" s="1">
        <v>2657</v>
      </c>
      <c r="B2661" s="1" t="str">
        <f t="shared" si="259"/>
        <v>2018-2782</v>
      </c>
      <c r="C2661" s="2" t="s">
        <v>75</v>
      </c>
      <c r="D2661" s="1" t="s">
        <v>76</v>
      </c>
      <c r="E2661" s="3" t="str">
        <f>""</f>
        <v/>
      </c>
      <c r="F2661" s="2" t="s">
        <v>27</v>
      </c>
      <c r="G2661" s="2" t="str">
        <f t="shared" si="263"/>
        <v>VELPRO-CENTAR PLUS D.O.O., MARIJANA ČAVIĆA 1, 10000 ZAGREB, OIB: 81169150175</v>
      </c>
      <c r="H2661" s="4"/>
      <c r="I2661" s="1" t="s">
        <v>640</v>
      </c>
      <c r="J2661" s="1" t="s">
        <v>492</v>
      </c>
      <c r="K2661" s="6" t="str">
        <f>"305,52"</f>
        <v>305,52</v>
      </c>
      <c r="L2661" s="6" t="str">
        <f>"132,16"</f>
        <v>132,16</v>
      </c>
      <c r="M2661" s="6" t="str">
        <f>"660,80"</f>
        <v>660,80</v>
      </c>
      <c r="N2661" s="5">
        <v>43643</v>
      </c>
      <c r="O2661" s="7"/>
      <c r="P2661" s="6" t="str">
        <f>"660,80"</f>
        <v>660,80</v>
      </c>
      <c r="Q2661" s="7"/>
      <c r="R2661" s="1"/>
      <c r="S2661" s="1" t="str">
        <f>"11-19/NOS-135-C/18"</f>
        <v>11-19/NOS-135-C/18</v>
      </c>
      <c r="T2661" s="2" t="s">
        <v>33</v>
      </c>
    </row>
    <row r="2662" spans="1:20" ht="63.75" x14ac:dyDescent="0.25">
      <c r="A2662" s="1">
        <v>2658</v>
      </c>
      <c r="B2662" s="1" t="str">
        <f t="shared" si="259"/>
        <v>2018-2782</v>
      </c>
      <c r="C2662" s="2" t="s">
        <v>75</v>
      </c>
      <c r="D2662" s="1" t="s">
        <v>76</v>
      </c>
      <c r="E2662" s="3" t="str">
        <f>"2018/S 0F2-0027344"</f>
        <v>2018/S 0F2-0027344</v>
      </c>
      <c r="F2662" s="2" t="s">
        <v>23</v>
      </c>
      <c r="G2662" s="2" t="str">
        <f t="shared" ref="G2662:G2671" si="264">CONCATENATE("LEDO PLUS D.O.O.,"," OIB: 07179054")</f>
        <v>LEDO PLUS D.O.O., OIB: 07179054</v>
      </c>
      <c r="H2662" s="4"/>
      <c r="I2662" s="1" t="s">
        <v>639</v>
      </c>
      <c r="J2662" s="1" t="s">
        <v>1314</v>
      </c>
      <c r="K2662" s="6" t="str">
        <f>"1.096.000,00"</f>
        <v>1.096.000,00</v>
      </c>
      <c r="L2662" s="6" t="str">
        <f>"274.000,00"</f>
        <v>274.000,00</v>
      </c>
      <c r="M2662" s="6" t="str">
        <f>"1.370.000,00"</f>
        <v>1.370.000,00</v>
      </c>
      <c r="N2662" s="7"/>
      <c r="O2662" s="7"/>
      <c r="P2662" s="6" t="str">
        <f>""</f>
        <v/>
      </c>
      <c r="Q2662" s="7"/>
      <c r="R2662" s="1"/>
      <c r="S2662" s="1" t="str">
        <f>"NOS-135-D/18"</f>
        <v>NOS-135-D/18</v>
      </c>
      <c r="T2662" s="2" t="s">
        <v>79</v>
      </c>
    </row>
    <row r="2663" spans="1:20" ht="25.5" x14ac:dyDescent="0.25">
      <c r="A2663" s="1">
        <v>2659</v>
      </c>
      <c r="B2663" s="1" t="str">
        <f t="shared" si="259"/>
        <v>2018-2782</v>
      </c>
      <c r="C2663" s="2" t="s">
        <v>75</v>
      </c>
      <c r="D2663" s="1" t="s">
        <v>76</v>
      </c>
      <c r="E2663" s="3" t="str">
        <f>""</f>
        <v/>
      </c>
      <c r="F2663" s="2" t="s">
        <v>27</v>
      </c>
      <c r="G2663" s="2" t="str">
        <f t="shared" si="264"/>
        <v>LEDO PLUS D.O.O., OIB: 07179054</v>
      </c>
      <c r="H2663" s="4"/>
      <c r="I2663" s="1" t="s">
        <v>930</v>
      </c>
      <c r="J2663" s="1" t="s">
        <v>492</v>
      </c>
      <c r="K2663" s="6" t="str">
        <f>"400,00"</f>
        <v>400,00</v>
      </c>
      <c r="L2663" s="6" t="str">
        <f t="shared" ref="L2663:M2665" si="265">"0,00"</f>
        <v>0,00</v>
      </c>
      <c r="M2663" s="6" t="str">
        <f t="shared" si="265"/>
        <v>0,00</v>
      </c>
      <c r="N2663" s="1" t="s">
        <v>117</v>
      </c>
      <c r="O2663" s="7"/>
      <c r="P2663" s="6" t="str">
        <f>"0,00"</f>
        <v>0,00</v>
      </c>
      <c r="Q2663" s="7"/>
      <c r="R2663" s="1"/>
      <c r="S2663" s="1" t="str">
        <f>"2-19/NOS-135-D/18"</f>
        <v>2-19/NOS-135-D/18</v>
      </c>
      <c r="T2663" s="2" t="s">
        <v>33</v>
      </c>
    </row>
    <row r="2664" spans="1:20" ht="25.5" x14ac:dyDescent="0.25">
      <c r="A2664" s="1">
        <v>2660</v>
      </c>
      <c r="B2664" s="1" t="str">
        <f t="shared" si="259"/>
        <v>2018-2782</v>
      </c>
      <c r="C2664" s="2" t="s">
        <v>75</v>
      </c>
      <c r="D2664" s="1" t="s">
        <v>76</v>
      </c>
      <c r="E2664" s="3" t="str">
        <f>""</f>
        <v/>
      </c>
      <c r="F2664" s="2" t="s">
        <v>27</v>
      </c>
      <c r="G2664" s="2" t="str">
        <f t="shared" si="264"/>
        <v>LEDO PLUS D.O.O., OIB: 07179054</v>
      </c>
      <c r="H2664" s="4"/>
      <c r="I2664" s="1" t="s">
        <v>930</v>
      </c>
      <c r="J2664" s="1" t="s">
        <v>47</v>
      </c>
      <c r="K2664" s="6" t="str">
        <f>"856,00"</f>
        <v>856,00</v>
      </c>
      <c r="L2664" s="6" t="str">
        <f t="shared" si="265"/>
        <v>0,00</v>
      </c>
      <c r="M2664" s="6" t="str">
        <f t="shared" si="265"/>
        <v>0,00</v>
      </c>
      <c r="N2664" s="1" t="s">
        <v>117</v>
      </c>
      <c r="O2664" s="7"/>
      <c r="P2664" s="6" t="str">
        <f>"0,00"</f>
        <v>0,00</v>
      </c>
      <c r="Q2664" s="7"/>
      <c r="R2664" s="1"/>
      <c r="S2664" s="1" t="str">
        <f>"3-19/NOS-135-D/18"</f>
        <v>3-19/NOS-135-D/18</v>
      </c>
      <c r="T2664" s="2" t="s">
        <v>33</v>
      </c>
    </row>
    <row r="2665" spans="1:20" ht="25.5" x14ac:dyDescent="0.25">
      <c r="A2665" s="1">
        <v>2661</v>
      </c>
      <c r="B2665" s="1" t="str">
        <f t="shared" si="259"/>
        <v>2018-2782</v>
      </c>
      <c r="C2665" s="2" t="s">
        <v>75</v>
      </c>
      <c r="D2665" s="1" t="s">
        <v>76</v>
      </c>
      <c r="E2665" s="3" t="str">
        <f>""</f>
        <v/>
      </c>
      <c r="F2665" s="2" t="s">
        <v>27</v>
      </c>
      <c r="G2665" s="2" t="str">
        <f t="shared" si="264"/>
        <v>LEDO PLUS D.O.O., OIB: 07179054</v>
      </c>
      <c r="H2665" s="4"/>
      <c r="I2665" s="1" t="s">
        <v>396</v>
      </c>
      <c r="J2665" s="1" t="s">
        <v>47</v>
      </c>
      <c r="K2665" s="6" t="str">
        <f>"481,00"</f>
        <v>481,00</v>
      </c>
      <c r="L2665" s="6" t="str">
        <f t="shared" si="265"/>
        <v>0,00</v>
      </c>
      <c r="M2665" s="6" t="str">
        <f t="shared" si="265"/>
        <v>0,00</v>
      </c>
      <c r="N2665" s="1" t="s">
        <v>117</v>
      </c>
      <c r="O2665" s="7"/>
      <c r="P2665" s="6" t="str">
        <f>"0,00"</f>
        <v>0,00</v>
      </c>
      <c r="Q2665" s="7"/>
      <c r="R2665" s="1"/>
      <c r="S2665" s="1" t="str">
        <f>"4-19/NOS-135-D/18"</f>
        <v>4-19/NOS-135-D/18</v>
      </c>
      <c r="T2665" s="2" t="s">
        <v>33</v>
      </c>
    </row>
    <row r="2666" spans="1:20" ht="25.5" x14ac:dyDescent="0.25">
      <c r="A2666" s="1">
        <v>2662</v>
      </c>
      <c r="B2666" s="1" t="str">
        <f t="shared" si="259"/>
        <v>2018-2782</v>
      </c>
      <c r="C2666" s="2" t="s">
        <v>75</v>
      </c>
      <c r="D2666" s="1" t="s">
        <v>76</v>
      </c>
      <c r="E2666" s="3" t="str">
        <f>""</f>
        <v/>
      </c>
      <c r="F2666" s="2" t="s">
        <v>27</v>
      </c>
      <c r="G2666" s="2" t="str">
        <f t="shared" si="264"/>
        <v>LEDO PLUS D.O.O., OIB: 07179054</v>
      </c>
      <c r="H2666" s="4"/>
      <c r="I2666" s="1" t="s">
        <v>396</v>
      </c>
      <c r="J2666" s="1" t="s">
        <v>47</v>
      </c>
      <c r="K2666" s="6" t="str">
        <f>"927,00"</f>
        <v>927,00</v>
      </c>
      <c r="L2666" s="6" t="str">
        <f>"279,70"</f>
        <v>279,70</v>
      </c>
      <c r="M2666" s="6" t="str">
        <f>"1.398,50"</f>
        <v>1.398,50</v>
      </c>
      <c r="N2666" s="5">
        <v>43644</v>
      </c>
      <c r="O2666" s="7"/>
      <c r="P2666" s="6" t="str">
        <f>"1.398,50"</f>
        <v>1.398,50</v>
      </c>
      <c r="Q2666" s="7"/>
      <c r="R2666" s="1"/>
      <c r="S2666" s="1" t="str">
        <f>"5-19/NOS-135-D/18"</f>
        <v>5-19/NOS-135-D/18</v>
      </c>
      <c r="T2666" s="2" t="s">
        <v>33</v>
      </c>
    </row>
    <row r="2667" spans="1:20" ht="25.5" x14ac:dyDescent="0.25">
      <c r="A2667" s="1">
        <v>2663</v>
      </c>
      <c r="B2667" s="1" t="str">
        <f t="shared" si="259"/>
        <v>2018-2782</v>
      </c>
      <c r="C2667" s="2" t="s">
        <v>75</v>
      </c>
      <c r="D2667" s="1" t="s">
        <v>76</v>
      </c>
      <c r="E2667" s="3" t="str">
        <f>""</f>
        <v/>
      </c>
      <c r="F2667" s="2" t="s">
        <v>27</v>
      </c>
      <c r="G2667" s="2" t="str">
        <f t="shared" si="264"/>
        <v>LEDO PLUS D.O.O., OIB: 07179054</v>
      </c>
      <c r="H2667" s="4"/>
      <c r="I2667" s="1" t="s">
        <v>396</v>
      </c>
      <c r="J2667" s="1" t="s">
        <v>242</v>
      </c>
      <c r="K2667" s="6" t="str">
        <f>"203,00"</f>
        <v>203,00</v>
      </c>
      <c r="L2667" s="6" t="str">
        <f>"48,75"</f>
        <v>48,75</v>
      </c>
      <c r="M2667" s="6" t="str">
        <f>"243,75"</f>
        <v>243,75</v>
      </c>
      <c r="N2667" s="5">
        <v>43644</v>
      </c>
      <c r="O2667" s="7"/>
      <c r="P2667" s="6" t="str">
        <f>"243,75"</f>
        <v>243,75</v>
      </c>
      <c r="Q2667" s="7"/>
      <c r="R2667" s="1"/>
      <c r="S2667" s="1" t="str">
        <f>"6-19/NOS-135-D/18"</f>
        <v>6-19/NOS-135-D/18</v>
      </c>
      <c r="T2667" s="2" t="s">
        <v>33</v>
      </c>
    </row>
    <row r="2668" spans="1:20" ht="25.5" x14ac:dyDescent="0.25">
      <c r="A2668" s="1">
        <v>2664</v>
      </c>
      <c r="B2668" s="1" t="str">
        <f t="shared" si="259"/>
        <v>2018-2782</v>
      </c>
      <c r="C2668" s="2" t="s">
        <v>75</v>
      </c>
      <c r="D2668" s="1" t="s">
        <v>76</v>
      </c>
      <c r="E2668" s="3" t="str">
        <f>""</f>
        <v/>
      </c>
      <c r="F2668" s="2" t="s">
        <v>27</v>
      </c>
      <c r="G2668" s="2" t="str">
        <f t="shared" si="264"/>
        <v>LEDO PLUS D.O.O., OIB: 07179054</v>
      </c>
      <c r="H2668" s="4"/>
      <c r="I2668" s="1" t="s">
        <v>638</v>
      </c>
      <c r="J2668" s="1" t="s">
        <v>492</v>
      </c>
      <c r="K2668" s="6" t="str">
        <f>"736,00"</f>
        <v>736,00</v>
      </c>
      <c r="L2668" s="6" t="str">
        <f t="shared" ref="L2668:M2670" si="266">"0,00"</f>
        <v>0,00</v>
      </c>
      <c r="M2668" s="6" t="str">
        <f t="shared" si="266"/>
        <v>0,00</v>
      </c>
      <c r="N2668" s="1" t="s">
        <v>117</v>
      </c>
      <c r="O2668" s="7"/>
      <c r="P2668" s="6" t="str">
        <f>"0,00"</f>
        <v>0,00</v>
      </c>
      <c r="Q2668" s="7"/>
      <c r="R2668" s="1"/>
      <c r="S2668" s="1" t="str">
        <f>"7-19/NOS-135-D/18"</f>
        <v>7-19/NOS-135-D/18</v>
      </c>
      <c r="T2668" s="2" t="s">
        <v>33</v>
      </c>
    </row>
    <row r="2669" spans="1:20" ht="25.5" x14ac:dyDescent="0.25">
      <c r="A2669" s="1">
        <v>2665</v>
      </c>
      <c r="B2669" s="1" t="str">
        <f t="shared" si="259"/>
        <v>2018-2782</v>
      </c>
      <c r="C2669" s="2" t="s">
        <v>75</v>
      </c>
      <c r="D2669" s="1" t="s">
        <v>76</v>
      </c>
      <c r="E2669" s="3" t="str">
        <f>""</f>
        <v/>
      </c>
      <c r="F2669" s="2" t="s">
        <v>27</v>
      </c>
      <c r="G2669" s="2" t="str">
        <f t="shared" si="264"/>
        <v>LEDO PLUS D.O.O., OIB: 07179054</v>
      </c>
      <c r="H2669" s="4"/>
      <c r="I2669" s="1" t="s">
        <v>638</v>
      </c>
      <c r="J2669" s="1" t="s">
        <v>492</v>
      </c>
      <c r="K2669" s="6" t="str">
        <f>"1.414,08"</f>
        <v>1.414,08</v>
      </c>
      <c r="L2669" s="6" t="str">
        <f t="shared" si="266"/>
        <v>0,00</v>
      </c>
      <c r="M2669" s="6" t="str">
        <f t="shared" si="266"/>
        <v>0,00</v>
      </c>
      <c r="N2669" s="1" t="s">
        <v>117</v>
      </c>
      <c r="O2669" s="7"/>
      <c r="P2669" s="6" t="str">
        <f>"0,00"</f>
        <v>0,00</v>
      </c>
      <c r="Q2669" s="7"/>
      <c r="R2669" s="1"/>
      <c r="S2669" s="1" t="str">
        <f>"8-19/NOS-135-D/18"</f>
        <v>8-19/NOS-135-D/18</v>
      </c>
      <c r="T2669" s="2" t="s">
        <v>33</v>
      </c>
    </row>
    <row r="2670" spans="1:20" ht="25.5" x14ac:dyDescent="0.25">
      <c r="A2670" s="1">
        <v>2666</v>
      </c>
      <c r="B2670" s="1" t="str">
        <f t="shared" si="259"/>
        <v>2018-2782</v>
      </c>
      <c r="C2670" s="2" t="s">
        <v>75</v>
      </c>
      <c r="D2670" s="1" t="s">
        <v>76</v>
      </c>
      <c r="E2670" s="3" t="str">
        <f>""</f>
        <v/>
      </c>
      <c r="F2670" s="2" t="s">
        <v>27</v>
      </c>
      <c r="G2670" s="2" t="str">
        <f t="shared" si="264"/>
        <v>LEDO PLUS D.O.O., OIB: 07179054</v>
      </c>
      <c r="H2670" s="4"/>
      <c r="I2670" s="1" t="s">
        <v>638</v>
      </c>
      <c r="J2670" s="1" t="s">
        <v>47</v>
      </c>
      <c r="K2670" s="6" t="str">
        <f>"1.598,00"</f>
        <v>1.598,00</v>
      </c>
      <c r="L2670" s="6" t="str">
        <f t="shared" si="266"/>
        <v>0,00</v>
      </c>
      <c r="M2670" s="6" t="str">
        <f t="shared" si="266"/>
        <v>0,00</v>
      </c>
      <c r="N2670" s="1" t="s">
        <v>117</v>
      </c>
      <c r="O2670" s="7"/>
      <c r="P2670" s="6" t="str">
        <f>"0,00"</f>
        <v>0,00</v>
      </c>
      <c r="Q2670" s="7"/>
      <c r="R2670" s="1"/>
      <c r="S2670" s="1" t="str">
        <f>"9-19/NOS-135-D/18"</f>
        <v>9-19/NOS-135-D/18</v>
      </c>
      <c r="T2670" s="2" t="s">
        <v>33</v>
      </c>
    </row>
    <row r="2671" spans="1:20" ht="25.5" x14ac:dyDescent="0.25">
      <c r="A2671" s="1">
        <v>2667</v>
      </c>
      <c r="B2671" s="1" t="str">
        <f t="shared" si="259"/>
        <v>2018-2782</v>
      </c>
      <c r="C2671" s="2" t="s">
        <v>75</v>
      </c>
      <c r="D2671" s="1" t="s">
        <v>76</v>
      </c>
      <c r="E2671" s="3" t="str">
        <f>""</f>
        <v/>
      </c>
      <c r="F2671" s="2" t="s">
        <v>27</v>
      </c>
      <c r="G2671" s="2" t="str">
        <f t="shared" si="264"/>
        <v>LEDO PLUS D.O.O., OIB: 07179054</v>
      </c>
      <c r="H2671" s="4"/>
      <c r="I2671" s="1" t="s">
        <v>638</v>
      </c>
      <c r="J2671" s="1" t="s">
        <v>47</v>
      </c>
      <c r="K2671" s="6" t="str">
        <f>"1.074,50"</f>
        <v>1.074,50</v>
      </c>
      <c r="L2671" s="6" t="str">
        <f>"298,60"</f>
        <v>298,60</v>
      </c>
      <c r="M2671" s="6" t="str">
        <f>"1.493,00"</f>
        <v>1.493,00</v>
      </c>
      <c r="N2671" s="5">
        <v>43654</v>
      </c>
      <c r="O2671" s="7"/>
      <c r="P2671" s="6" t="str">
        <f>"1.493,00"</f>
        <v>1.493,00</v>
      </c>
      <c r="Q2671" s="7"/>
      <c r="R2671" s="1"/>
      <c r="S2671" s="1" t="str">
        <f>"10-19/NOS-135-D/18"</f>
        <v>10-19/NOS-135-D/18</v>
      </c>
      <c r="T2671" s="2" t="s">
        <v>33</v>
      </c>
    </row>
    <row r="2672" spans="1:20" ht="63.75" x14ac:dyDescent="0.25">
      <c r="A2672" s="1">
        <v>2668</v>
      </c>
      <c r="B2672" s="1" t="str">
        <f t="shared" si="259"/>
        <v>2018-2782</v>
      </c>
      <c r="C2672" s="2" t="s">
        <v>75</v>
      </c>
      <c r="D2672" s="1" t="s">
        <v>76</v>
      </c>
      <c r="E2672" s="3" t="str">
        <f>"2018/S 0F2-0027344"</f>
        <v>2018/S 0F2-0027344</v>
      </c>
      <c r="F2672" s="2" t="s">
        <v>23</v>
      </c>
      <c r="G2672" s="2" t="str">
        <f t="shared" ref="G2672:G2677" si="267">CONCATENATE("JADRANKA TRGOVINA D.O.O.,"," DRAŽICA 1,"," 51550 MALI LOŠINJ,"," OIB: 0219833759")</f>
        <v>JADRANKA TRGOVINA D.O.O., DRAŽICA 1, 51550 MALI LOŠINJ, OIB: 0219833759</v>
      </c>
      <c r="H2672" s="4"/>
      <c r="I2672" s="1" t="s">
        <v>639</v>
      </c>
      <c r="J2672" s="1" t="s">
        <v>1314</v>
      </c>
      <c r="K2672" s="6" t="str">
        <f>"1.674.000,00"</f>
        <v>1.674.000,00</v>
      </c>
      <c r="L2672" s="6" t="str">
        <f>"418.500,00"</f>
        <v>418.500,00</v>
      </c>
      <c r="M2672" s="6" t="str">
        <f>"2.092.500,00"</f>
        <v>2.092.500,00</v>
      </c>
      <c r="N2672" s="7"/>
      <c r="O2672" s="7"/>
      <c r="P2672" s="6" t="str">
        <f>""</f>
        <v/>
      </c>
      <c r="Q2672" s="7"/>
      <c r="R2672" s="1"/>
      <c r="S2672" s="1" t="str">
        <f>"NOS-135-E/18"</f>
        <v>NOS-135-E/18</v>
      </c>
      <c r="T2672" s="2" t="s">
        <v>79</v>
      </c>
    </row>
    <row r="2673" spans="1:20" ht="25.5" x14ac:dyDescent="0.25">
      <c r="A2673" s="1">
        <v>2669</v>
      </c>
      <c r="B2673" s="1" t="str">
        <f t="shared" si="259"/>
        <v>2018-2782</v>
      </c>
      <c r="C2673" s="2" t="s">
        <v>75</v>
      </c>
      <c r="D2673" s="4"/>
      <c r="E2673" s="3" t="str">
        <f>""</f>
        <v/>
      </c>
      <c r="F2673" s="2" t="s">
        <v>27</v>
      </c>
      <c r="G2673" s="2" t="str">
        <f t="shared" si="267"/>
        <v>JADRANKA TRGOVINA D.O.O., DRAŽICA 1, 51550 MALI LOŠINJ, OIB: 0219833759</v>
      </c>
      <c r="H2673" s="4"/>
      <c r="I2673" s="1" t="s">
        <v>396</v>
      </c>
      <c r="J2673" s="1" t="s">
        <v>516</v>
      </c>
      <c r="K2673" s="6" t="str">
        <f>"377.449,44"</f>
        <v>377.449,44</v>
      </c>
      <c r="L2673" s="6" t="str">
        <f>"94.362,36"</f>
        <v>94.362,36</v>
      </c>
      <c r="M2673" s="6" t="str">
        <f>"471.811,80"</f>
        <v>471.811,80</v>
      </c>
      <c r="N2673" s="5">
        <v>43668</v>
      </c>
      <c r="O2673" s="7"/>
      <c r="P2673" s="6" t="str">
        <f>"70.084,42"</f>
        <v>70.084,42</v>
      </c>
      <c r="Q2673" s="7"/>
      <c r="R2673" s="1"/>
      <c r="S2673" s="1" t="str">
        <f>"1-19/NOS-135-E/18"</f>
        <v>1-19/NOS-135-E/18</v>
      </c>
      <c r="T2673" s="2" t="s">
        <v>33</v>
      </c>
    </row>
    <row r="2674" spans="1:20" ht="25.5" x14ac:dyDescent="0.25">
      <c r="A2674" s="1">
        <v>2670</v>
      </c>
      <c r="B2674" s="1" t="str">
        <f t="shared" ref="B2674:B2692" si="268">"2018-2782"</f>
        <v>2018-2782</v>
      </c>
      <c r="C2674" s="2" t="s">
        <v>75</v>
      </c>
      <c r="D2674" s="1" t="s">
        <v>76</v>
      </c>
      <c r="E2674" s="3" t="str">
        <f>""</f>
        <v/>
      </c>
      <c r="F2674" s="2" t="s">
        <v>27</v>
      </c>
      <c r="G2674" s="2" t="str">
        <f t="shared" si="267"/>
        <v>JADRANKA TRGOVINA D.O.O., DRAŽICA 1, 51550 MALI LOŠINJ, OIB: 0219833759</v>
      </c>
      <c r="H2674" s="4"/>
      <c r="I2674" s="1" t="s">
        <v>930</v>
      </c>
      <c r="J2674" s="1" t="s">
        <v>1082</v>
      </c>
      <c r="K2674" s="6" t="str">
        <f>"16.045,55"</f>
        <v>16.045,55</v>
      </c>
      <c r="L2674" s="6" t="str">
        <f>"4.078,70"</f>
        <v>4.078,70</v>
      </c>
      <c r="M2674" s="6" t="str">
        <f>"20.393,49"</f>
        <v>20.393,49</v>
      </c>
      <c r="N2674" s="5">
        <v>43651</v>
      </c>
      <c r="O2674" s="7"/>
      <c r="P2674" s="6" t="str">
        <f>"20.393,49"</f>
        <v>20.393,49</v>
      </c>
      <c r="Q2674" s="7"/>
      <c r="R2674" s="1"/>
      <c r="S2674" s="1" t="str">
        <f>"2-19/NOS-135-E/18"</f>
        <v>2-19/NOS-135-E/18</v>
      </c>
      <c r="T2674" s="2" t="s">
        <v>33</v>
      </c>
    </row>
    <row r="2675" spans="1:20" ht="25.5" x14ac:dyDescent="0.25">
      <c r="A2675" s="1">
        <v>2671</v>
      </c>
      <c r="B2675" s="1" t="str">
        <f t="shared" si="268"/>
        <v>2018-2782</v>
      </c>
      <c r="C2675" s="2" t="s">
        <v>75</v>
      </c>
      <c r="D2675" s="1" t="s">
        <v>76</v>
      </c>
      <c r="E2675" s="3" t="str">
        <f>""</f>
        <v/>
      </c>
      <c r="F2675" s="2" t="s">
        <v>27</v>
      </c>
      <c r="G2675" s="2" t="str">
        <f t="shared" si="267"/>
        <v>JADRANKA TRGOVINA D.O.O., DRAŽICA 1, 51550 MALI LOŠINJ, OIB: 0219833759</v>
      </c>
      <c r="H2675" s="4"/>
      <c r="I2675" s="1" t="s">
        <v>396</v>
      </c>
      <c r="J2675" s="1" t="s">
        <v>242</v>
      </c>
      <c r="K2675" s="6" t="str">
        <f>"15.965,22"</f>
        <v>15.965,22</v>
      </c>
      <c r="L2675" s="6" t="str">
        <f>"4.212,68"</f>
        <v>4.212,68</v>
      </c>
      <c r="M2675" s="6" t="str">
        <f>"21.063,40"</f>
        <v>21.063,40</v>
      </c>
      <c r="N2675" s="5">
        <v>43651</v>
      </c>
      <c r="O2675" s="7"/>
      <c r="P2675" s="6" t="str">
        <f>"21.063,40"</f>
        <v>21.063,40</v>
      </c>
      <c r="Q2675" s="7"/>
      <c r="R2675" s="1"/>
      <c r="S2675" s="1" t="str">
        <f>"3-19/NOS-135-E/18"</f>
        <v>3-19/NOS-135-E/18</v>
      </c>
      <c r="T2675" s="2" t="s">
        <v>33</v>
      </c>
    </row>
    <row r="2676" spans="1:20" ht="25.5" x14ac:dyDescent="0.25">
      <c r="A2676" s="1">
        <v>2672</v>
      </c>
      <c r="B2676" s="1" t="str">
        <f t="shared" si="268"/>
        <v>2018-2782</v>
      </c>
      <c r="C2676" s="2" t="s">
        <v>75</v>
      </c>
      <c r="D2676" s="1" t="s">
        <v>76</v>
      </c>
      <c r="E2676" s="3" t="str">
        <f>""</f>
        <v/>
      </c>
      <c r="F2676" s="2" t="s">
        <v>27</v>
      </c>
      <c r="G2676" s="2" t="str">
        <f t="shared" si="267"/>
        <v>JADRANKA TRGOVINA D.O.O., DRAŽICA 1, 51550 MALI LOŠINJ, OIB: 0219833759</v>
      </c>
      <c r="H2676" s="4"/>
      <c r="I2676" s="1" t="s">
        <v>403</v>
      </c>
      <c r="J2676" s="1" t="s">
        <v>242</v>
      </c>
      <c r="K2676" s="6" t="str">
        <f>"22.091,13"</f>
        <v>22.091,13</v>
      </c>
      <c r="L2676" s="6" t="str">
        <f>"2.816,13"</f>
        <v>2.816,13</v>
      </c>
      <c r="M2676" s="6" t="str">
        <f>"14.080,65"</f>
        <v>14.080,65</v>
      </c>
      <c r="N2676" s="5">
        <v>43651</v>
      </c>
      <c r="O2676" s="7"/>
      <c r="P2676" s="6" t="str">
        <f>"14.080,65"</f>
        <v>14.080,65</v>
      </c>
      <c r="Q2676" s="7"/>
      <c r="R2676" s="1"/>
      <c r="S2676" s="1" t="str">
        <f>"4-19/NOS-135-E/18"</f>
        <v>4-19/NOS-135-E/18</v>
      </c>
      <c r="T2676" s="2" t="s">
        <v>33</v>
      </c>
    </row>
    <row r="2677" spans="1:20" ht="25.5" x14ac:dyDescent="0.25">
      <c r="A2677" s="1">
        <v>2673</v>
      </c>
      <c r="B2677" s="1" t="str">
        <f t="shared" si="268"/>
        <v>2018-2782</v>
      </c>
      <c r="C2677" s="2" t="s">
        <v>75</v>
      </c>
      <c r="D2677" s="1" t="s">
        <v>76</v>
      </c>
      <c r="E2677" s="3" t="str">
        <f>""</f>
        <v/>
      </c>
      <c r="F2677" s="2" t="s">
        <v>27</v>
      </c>
      <c r="G2677" s="2" t="str">
        <f t="shared" si="267"/>
        <v>JADRANKA TRGOVINA D.O.O., DRAŽICA 1, 51550 MALI LOŠINJ, OIB: 0219833759</v>
      </c>
      <c r="H2677" s="4"/>
      <c r="I2677" s="1" t="s">
        <v>403</v>
      </c>
      <c r="J2677" s="1" t="s">
        <v>492</v>
      </c>
      <c r="K2677" s="6" t="str">
        <f>"5.033,00"</f>
        <v>5.033,00</v>
      </c>
      <c r="L2677" s="6" t="str">
        <f>"1.240,23"</f>
        <v>1.240,23</v>
      </c>
      <c r="M2677" s="6" t="str">
        <f>"6.201,13"</f>
        <v>6.201,13</v>
      </c>
      <c r="N2677" s="5">
        <v>43661</v>
      </c>
      <c r="O2677" s="7"/>
      <c r="P2677" s="6" t="str">
        <f>"6.201,12"</f>
        <v>6.201,12</v>
      </c>
      <c r="Q2677" s="7"/>
      <c r="R2677" s="1"/>
      <c r="S2677" s="1" t="str">
        <f>"5-19/NOS-135-E/18"</f>
        <v>5-19/NOS-135-E/18</v>
      </c>
      <c r="T2677" s="2" t="s">
        <v>33</v>
      </c>
    </row>
    <row r="2678" spans="1:20" ht="63.75" x14ac:dyDescent="0.25">
      <c r="A2678" s="1">
        <v>2674</v>
      </c>
      <c r="B2678" s="1" t="str">
        <f t="shared" si="268"/>
        <v>2018-2782</v>
      </c>
      <c r="C2678" s="2" t="s">
        <v>75</v>
      </c>
      <c r="D2678" s="1" t="s">
        <v>76</v>
      </c>
      <c r="E2678" s="3" t="str">
        <f>"2018/S 0F2-0027344"</f>
        <v>2018/S 0F2-0027344</v>
      </c>
      <c r="F2678" s="2" t="s">
        <v>23</v>
      </c>
      <c r="G2678" s="2" t="str">
        <f>CONCATENATE("VELPRO-CENTAR PLUS D.O.O.,"," MARIJANA ČAVIĆA 1,"," 10000 ZAGREB,"," OIB: 81169150175")</f>
        <v>VELPRO-CENTAR PLUS D.O.O., MARIJANA ČAVIĆA 1, 10000 ZAGREB, OIB: 81169150175</v>
      </c>
      <c r="H2678" s="4"/>
      <c r="I2678" s="1" t="s">
        <v>639</v>
      </c>
      <c r="J2678" s="1" t="s">
        <v>1314</v>
      </c>
      <c r="K2678" s="6" t="str">
        <f>"2.778.500,00"</f>
        <v>2.778.500,00</v>
      </c>
      <c r="L2678" s="6" t="str">
        <f>"694.625,00"</f>
        <v>694.625,00</v>
      </c>
      <c r="M2678" s="6" t="str">
        <f>"3.473.125,00"</f>
        <v>3.473.125,00</v>
      </c>
      <c r="N2678" s="7"/>
      <c r="O2678" s="7"/>
      <c r="P2678" s="6" t="str">
        <f>""</f>
        <v/>
      </c>
      <c r="Q2678" s="7"/>
      <c r="R2678" s="1"/>
      <c r="S2678" s="1" t="str">
        <f>"NOS-135-G/18"</f>
        <v>NOS-135-G/18</v>
      </c>
      <c r="T2678" s="2" t="s">
        <v>79</v>
      </c>
    </row>
    <row r="2679" spans="1:20" ht="25.5" x14ac:dyDescent="0.25">
      <c r="A2679" s="1">
        <v>2675</v>
      </c>
      <c r="B2679" s="1" t="str">
        <f t="shared" si="268"/>
        <v>2018-2782</v>
      </c>
      <c r="C2679" s="2" t="s">
        <v>75</v>
      </c>
      <c r="D2679" s="4"/>
      <c r="E2679" s="3" t="str">
        <f>""</f>
        <v/>
      </c>
      <c r="F2679" s="2" t="s">
        <v>27</v>
      </c>
      <c r="G2679" s="2" t="str">
        <f>CONCATENATE("VELPRO-CENTAR PLUS D.O.O.,"," MARIJANA ČAVIĆA 1,"," 10000 ZAGREB,"," OIB: 81169150175")</f>
        <v>VELPRO-CENTAR PLUS D.O.O., MARIJANA ČAVIĆA 1, 10000 ZAGREB, OIB: 81169150175</v>
      </c>
      <c r="H2679" s="4"/>
      <c r="I2679" s="1" t="s">
        <v>640</v>
      </c>
      <c r="J2679" s="1" t="s">
        <v>516</v>
      </c>
      <c r="K2679" s="6" t="str">
        <f>"599.982,37"</f>
        <v>599.982,37</v>
      </c>
      <c r="L2679" s="6" t="str">
        <f>"149.995,59"</f>
        <v>149.995,59</v>
      </c>
      <c r="M2679" s="6" t="str">
        <f>"749.977,96"</f>
        <v>749.977,96</v>
      </c>
      <c r="N2679" s="5">
        <v>43677</v>
      </c>
      <c r="O2679" s="7"/>
      <c r="P2679" s="6" t="str">
        <f>"42.202,15"</f>
        <v>42.202,15</v>
      </c>
      <c r="Q2679" s="7"/>
      <c r="R2679" s="1"/>
      <c r="S2679" s="1" t="str">
        <f>"1-19/NOS-135-G/18"</f>
        <v>1-19/NOS-135-G/18</v>
      </c>
      <c r="T2679" s="2" t="s">
        <v>33</v>
      </c>
    </row>
    <row r="2680" spans="1:20" ht="25.5" x14ac:dyDescent="0.25">
      <c r="A2680" s="1">
        <v>2676</v>
      </c>
      <c r="B2680" s="1" t="str">
        <f t="shared" si="268"/>
        <v>2018-2782</v>
      </c>
      <c r="C2680" s="2" t="s">
        <v>75</v>
      </c>
      <c r="D2680" s="1" t="s">
        <v>76</v>
      </c>
      <c r="E2680" s="3" t="str">
        <f>""</f>
        <v/>
      </c>
      <c r="F2680" s="2" t="s">
        <v>27</v>
      </c>
      <c r="G2680" s="2" t="str">
        <f>CONCATENATE("VELPRO-CENTAR PLUS D.O.O.,"," MARIJANA ČAVIĆA 1,"," 10000 ZAGREB,"," OIB: 81169150175")</f>
        <v>VELPRO-CENTAR PLUS D.O.O., MARIJANA ČAVIĆA 1, 10000 ZAGREB, OIB: 81169150175</v>
      </c>
      <c r="H2680" s="4"/>
      <c r="I2680" s="1" t="s">
        <v>930</v>
      </c>
      <c r="J2680" s="1" t="s">
        <v>492</v>
      </c>
      <c r="K2680" s="6" t="str">
        <f>"6.764,10"</f>
        <v>6.764,10</v>
      </c>
      <c r="L2680" s="6" t="str">
        <f>"1.540,93"</f>
        <v>1.540,93</v>
      </c>
      <c r="M2680" s="6" t="str">
        <f>"7.704,63"</f>
        <v>7.704,63</v>
      </c>
      <c r="N2680" s="5">
        <v>43644</v>
      </c>
      <c r="O2680" s="7"/>
      <c r="P2680" s="6" t="str">
        <f>"7.704,62"</f>
        <v>7.704,62</v>
      </c>
      <c r="Q2680" s="7"/>
      <c r="R2680" s="1"/>
      <c r="S2680" s="1" t="str">
        <f>"2-19/NOS-135-G/18"</f>
        <v>2-19/NOS-135-G/18</v>
      </c>
      <c r="T2680" s="2" t="s">
        <v>33</v>
      </c>
    </row>
    <row r="2681" spans="1:20" ht="25.5" x14ac:dyDescent="0.25">
      <c r="A2681" s="1">
        <v>2677</v>
      </c>
      <c r="B2681" s="1" t="str">
        <f t="shared" si="268"/>
        <v>2018-2782</v>
      </c>
      <c r="C2681" s="2" t="s">
        <v>75</v>
      </c>
      <c r="D2681" s="1" t="s">
        <v>76</v>
      </c>
      <c r="E2681" s="3" t="str">
        <f>""</f>
        <v/>
      </c>
      <c r="F2681" s="2" t="s">
        <v>27</v>
      </c>
      <c r="G2681" s="2" t="str">
        <f>CONCATENATE("VELPRO-CENTAR PLUS D.O.O.,"," MARIJANA ČAVIĆA 1,"," 10000 ZAGREB,"," OIB: 81169150175")</f>
        <v>VELPRO-CENTAR PLUS D.O.O., MARIJANA ČAVIĆA 1, 10000 ZAGREB, OIB: 81169150175</v>
      </c>
      <c r="H2681" s="4"/>
      <c r="I2681" s="1" t="s">
        <v>396</v>
      </c>
      <c r="J2681" s="1" t="s">
        <v>242</v>
      </c>
      <c r="K2681" s="6" t="str">
        <f>"546,80"</f>
        <v>546,80</v>
      </c>
      <c r="L2681" s="6" t="str">
        <f>"0,00"</f>
        <v>0,00</v>
      </c>
      <c r="M2681" s="6" t="str">
        <f>"0,00"</f>
        <v>0,00</v>
      </c>
      <c r="N2681" s="1" t="s">
        <v>117</v>
      </c>
      <c r="O2681" s="7"/>
      <c r="P2681" s="6" t="str">
        <f>"0,00"</f>
        <v>0,00</v>
      </c>
      <c r="Q2681" s="7"/>
      <c r="R2681" s="1"/>
      <c r="S2681" s="1" t="str">
        <f>"3-19/NOS-135-G/18"</f>
        <v>3-19/NOS-135-G/18</v>
      </c>
      <c r="T2681" s="2" t="s">
        <v>33</v>
      </c>
    </row>
    <row r="2682" spans="1:20" ht="25.5" x14ac:dyDescent="0.25">
      <c r="A2682" s="1">
        <v>2678</v>
      </c>
      <c r="B2682" s="1" t="str">
        <f t="shared" si="268"/>
        <v>2018-2782</v>
      </c>
      <c r="C2682" s="2" t="s">
        <v>75</v>
      </c>
      <c r="D2682" s="1" t="s">
        <v>76</v>
      </c>
      <c r="E2682" s="3" t="str">
        <f>""</f>
        <v/>
      </c>
      <c r="F2682" s="2" t="s">
        <v>27</v>
      </c>
      <c r="G2682" s="2" t="str">
        <f>CONCATENATE("VELPRO-CENTAR PLUS D.O.O.,"," MARIJANA ČAVIĆA 1,"," 10000 ZAGREB,"," OIB: 81169150175")</f>
        <v>VELPRO-CENTAR PLUS D.O.O., MARIJANA ČAVIĆA 1, 10000 ZAGREB, OIB: 81169150175</v>
      </c>
      <c r="H2682" s="4"/>
      <c r="I2682" s="1" t="s">
        <v>396</v>
      </c>
      <c r="J2682" s="1" t="s">
        <v>251</v>
      </c>
      <c r="K2682" s="6" t="str">
        <f>"18.197,49"</f>
        <v>18.197,49</v>
      </c>
      <c r="L2682" s="6" t="str">
        <f>"3.867,67"</f>
        <v>3.867,67</v>
      </c>
      <c r="M2682" s="6" t="str">
        <f>"19.338,34"</f>
        <v>19.338,34</v>
      </c>
      <c r="N2682" s="5">
        <v>43649</v>
      </c>
      <c r="O2682" s="7"/>
      <c r="P2682" s="6" t="str">
        <f>"19.338,34"</f>
        <v>19.338,34</v>
      </c>
      <c r="Q2682" s="7"/>
      <c r="R2682" s="1"/>
      <c r="S2682" s="1" t="str">
        <f>"4-19/NOS-135-G/18"</f>
        <v>4-19/NOS-135-G/18</v>
      </c>
      <c r="T2682" s="2" t="s">
        <v>33</v>
      </c>
    </row>
    <row r="2683" spans="1:20" ht="63.75" x14ac:dyDescent="0.25">
      <c r="A2683" s="1">
        <v>2679</v>
      </c>
      <c r="B2683" s="1" t="str">
        <f t="shared" si="268"/>
        <v>2018-2782</v>
      </c>
      <c r="C2683" s="2" t="s">
        <v>75</v>
      </c>
      <c r="D2683" s="1" t="s">
        <v>76</v>
      </c>
      <c r="E2683" s="3" t="str">
        <f>"2018/S 0F2-0027344"</f>
        <v>2018/S 0F2-0027344</v>
      </c>
      <c r="F2683" s="2" t="s">
        <v>23</v>
      </c>
      <c r="G2683" s="2" t="str">
        <f>CONCATENATE("ROTO DINAMIC D.O.O.,"," SAMOBORSKA CESTA 102,"," 10090 ZAGREB,"," OIB: 24723122482",CHAR(10),"VELPRO-CENTAR PLUS D.O.O.,"," MARIJANA ČAVIĆA 1,"," 10000 ZAGREB,"," OIB: 81169150175")</f>
        <v>ROTO DINAMIC D.O.O., SAMOBORSKA CESTA 102, 10090 ZAGREB, OIB: 24723122482
VELPRO-CENTAR PLUS D.O.O., MARIJANA ČAVIĆA 1, 10000 ZAGREB, OIB: 81169150175</v>
      </c>
      <c r="H2683" s="4"/>
      <c r="I2683" s="1" t="s">
        <v>162</v>
      </c>
      <c r="J2683" s="1" t="s">
        <v>1313</v>
      </c>
      <c r="K2683" s="6" t="str">
        <f>"1.935.700,00"</f>
        <v>1.935.700,00</v>
      </c>
      <c r="L2683" s="6" t="str">
        <f>"483.925,00"</f>
        <v>483.925,00</v>
      </c>
      <c r="M2683" s="6" t="str">
        <f>"2.419.625,00"</f>
        <v>2.419.625,00</v>
      </c>
      <c r="N2683" s="7"/>
      <c r="O2683" s="7"/>
      <c r="P2683" s="6" t="str">
        <f>""</f>
        <v/>
      </c>
      <c r="Q2683" s="7"/>
      <c r="R2683" s="1"/>
      <c r="S2683" s="1" t="str">
        <f>"NOS-135-H/18"</f>
        <v>NOS-135-H/18</v>
      </c>
      <c r="T2683" s="2" t="s">
        <v>79</v>
      </c>
    </row>
    <row r="2684" spans="1:20" ht="25.5" x14ac:dyDescent="0.25">
      <c r="A2684" s="1">
        <v>2680</v>
      </c>
      <c r="B2684" s="1" t="str">
        <f t="shared" si="268"/>
        <v>2018-2782</v>
      </c>
      <c r="C2684" s="2" t="s">
        <v>75</v>
      </c>
      <c r="D2684" s="4"/>
      <c r="E2684" s="3" t="str">
        <f>""</f>
        <v/>
      </c>
      <c r="F2684" s="2" t="s">
        <v>27</v>
      </c>
      <c r="G2684" s="2" t="str">
        <f>CONCATENATE("ROTO DINAMIC D.O.O.,"," SAMOBORSKA CESTA 102,"," 10090 ZAGREB,"," OIB: 24723122482")</f>
        <v>ROTO DINAMIC D.O.O., SAMOBORSKA CESTA 102, 10090 ZAGREB, OIB: 24723122482</v>
      </c>
      <c r="H2684" s="4"/>
      <c r="I2684" s="1" t="s">
        <v>638</v>
      </c>
      <c r="J2684" s="1" t="s">
        <v>516</v>
      </c>
      <c r="K2684" s="6" t="str">
        <f>"349.820,39"</f>
        <v>349.820,39</v>
      </c>
      <c r="L2684" s="6" t="str">
        <f>"87.455,10"</f>
        <v>87.455,10</v>
      </c>
      <c r="M2684" s="6" t="str">
        <f>"437.275,49"</f>
        <v>437.275,49</v>
      </c>
      <c r="N2684" s="5">
        <v>43676</v>
      </c>
      <c r="O2684" s="7"/>
      <c r="P2684" s="6" t="str">
        <f>"21.481,45"</f>
        <v>21.481,45</v>
      </c>
      <c r="Q2684" s="7"/>
      <c r="R2684" s="1"/>
      <c r="S2684" s="1" t="str">
        <f>"1-19/NOS-135-H/18"</f>
        <v>1-19/NOS-135-H/18</v>
      </c>
      <c r="T2684" s="2" t="s">
        <v>33</v>
      </c>
    </row>
    <row r="2685" spans="1:20" ht="25.5" x14ac:dyDescent="0.25">
      <c r="A2685" s="1">
        <v>2681</v>
      </c>
      <c r="B2685" s="1" t="str">
        <f t="shared" si="268"/>
        <v>2018-2782</v>
      </c>
      <c r="C2685" s="2" t="s">
        <v>75</v>
      </c>
      <c r="D2685" s="1" t="s">
        <v>76</v>
      </c>
      <c r="E2685" s="3" t="str">
        <f>""</f>
        <v/>
      </c>
      <c r="F2685" s="2" t="s">
        <v>27</v>
      </c>
      <c r="G2685" s="2" t="str">
        <f>CONCATENATE("ROTO DINAMIC D.O.O.,"," SAMOBORSKA CESTA 102,"," 10090 ZAGREB,"," OIB: 24723122482")</f>
        <v>ROTO DINAMIC D.O.O., SAMOBORSKA CESTA 102, 10090 ZAGREB, OIB: 24723122482</v>
      </c>
      <c r="H2685" s="4"/>
      <c r="I2685" s="1" t="s">
        <v>440</v>
      </c>
      <c r="J2685" s="1" t="s">
        <v>242</v>
      </c>
      <c r="K2685" s="6" t="str">
        <f>"529,56"</f>
        <v>529,56</v>
      </c>
      <c r="L2685" s="6" t="str">
        <f>"63,27"</f>
        <v>63,27</v>
      </c>
      <c r="M2685" s="6" t="str">
        <f>"316,35"</f>
        <v>316,35</v>
      </c>
      <c r="N2685" s="5">
        <v>43644</v>
      </c>
      <c r="O2685" s="7"/>
      <c r="P2685" s="6" t="str">
        <f>"316,35"</f>
        <v>316,35</v>
      </c>
      <c r="Q2685" s="7"/>
      <c r="R2685" s="1"/>
      <c r="S2685" s="1" t="str">
        <f>"2-19/NOS-135-H/18"</f>
        <v>2-19/NOS-135-H/18</v>
      </c>
      <c r="T2685" s="2" t="s">
        <v>33</v>
      </c>
    </row>
    <row r="2686" spans="1:20" ht="25.5" x14ac:dyDescent="0.25">
      <c r="A2686" s="1">
        <v>2682</v>
      </c>
      <c r="B2686" s="1" t="str">
        <f t="shared" si="268"/>
        <v>2018-2782</v>
      </c>
      <c r="C2686" s="2" t="s">
        <v>75</v>
      </c>
      <c r="D2686" s="1" t="s">
        <v>76</v>
      </c>
      <c r="E2686" s="3" t="str">
        <f>""</f>
        <v/>
      </c>
      <c r="F2686" s="2" t="s">
        <v>27</v>
      </c>
      <c r="G2686" s="2" t="str">
        <f>CONCATENATE("ROTO DINAMIC D.O.O.,"," SAMOBORSKA CESTA 102,"," 10090 ZAGREB,"," OIB: 24723122482")</f>
        <v>ROTO DINAMIC D.O.O., SAMOBORSKA CESTA 102, 10090 ZAGREB, OIB: 24723122482</v>
      </c>
      <c r="H2686" s="4"/>
      <c r="I2686" s="1" t="s">
        <v>440</v>
      </c>
      <c r="J2686" s="1" t="s">
        <v>242</v>
      </c>
      <c r="K2686" s="6" t="str">
        <f>"195,60"</f>
        <v>195,60</v>
      </c>
      <c r="L2686" s="6" t="str">
        <f>"0,00"</f>
        <v>0,00</v>
      </c>
      <c r="M2686" s="6" t="str">
        <f>"0,00"</f>
        <v>0,00</v>
      </c>
      <c r="N2686" s="1" t="s">
        <v>117</v>
      </c>
      <c r="O2686" s="7"/>
      <c r="P2686" s="6" t="str">
        <f>"0,00"</f>
        <v>0,00</v>
      </c>
      <c r="Q2686" s="7"/>
      <c r="R2686" s="1"/>
      <c r="S2686" s="1" t="str">
        <f>"3-19/NOS-135-H/18"</f>
        <v>3-19/NOS-135-H/18</v>
      </c>
      <c r="T2686" s="2" t="s">
        <v>33</v>
      </c>
    </row>
    <row r="2687" spans="1:20" ht="25.5" x14ac:dyDescent="0.25">
      <c r="A2687" s="1">
        <v>2683</v>
      </c>
      <c r="B2687" s="1" t="str">
        <f t="shared" si="268"/>
        <v>2018-2782</v>
      </c>
      <c r="C2687" s="2" t="s">
        <v>75</v>
      </c>
      <c r="D2687" s="1" t="s">
        <v>76</v>
      </c>
      <c r="E2687" s="3" t="str">
        <f>""</f>
        <v/>
      </c>
      <c r="F2687" s="2" t="s">
        <v>27</v>
      </c>
      <c r="G2687" s="2" t="str">
        <f>CONCATENATE("ROTO DINAMIC D.O.O.,"," SAMOBORSKA CESTA 102,"," 10090 ZAGREB,"," OIB: 24723122482")</f>
        <v>ROTO DINAMIC D.O.O., SAMOBORSKA CESTA 102, 10090 ZAGREB, OIB: 24723122482</v>
      </c>
      <c r="H2687" s="4"/>
      <c r="I2687" s="1" t="s">
        <v>930</v>
      </c>
      <c r="J2687" s="1" t="s">
        <v>47</v>
      </c>
      <c r="K2687" s="6" t="str">
        <f>"2.140,02"</f>
        <v>2.140,02</v>
      </c>
      <c r="L2687" s="6" t="str">
        <f>"0,00"</f>
        <v>0,00</v>
      </c>
      <c r="M2687" s="6" t="str">
        <f>"0,00"</f>
        <v>0,00</v>
      </c>
      <c r="N2687" s="1" t="s">
        <v>117</v>
      </c>
      <c r="O2687" s="7"/>
      <c r="P2687" s="6" t="str">
        <f>"0,00"</f>
        <v>0,00</v>
      </c>
      <c r="Q2687" s="7"/>
      <c r="R2687" s="1"/>
      <c r="S2687" s="1" t="str">
        <f>"4-19/NOS-135-H/18"</f>
        <v>4-19/NOS-135-H/18</v>
      </c>
      <c r="T2687" s="2" t="s">
        <v>33</v>
      </c>
    </row>
    <row r="2688" spans="1:20" ht="25.5" x14ac:dyDescent="0.25">
      <c r="A2688" s="1">
        <v>2684</v>
      </c>
      <c r="B2688" s="1" t="str">
        <f t="shared" si="268"/>
        <v>2018-2782</v>
      </c>
      <c r="C2688" s="2" t="s">
        <v>75</v>
      </c>
      <c r="D2688" s="1" t="s">
        <v>76</v>
      </c>
      <c r="E2688" s="3" t="str">
        <f>""</f>
        <v/>
      </c>
      <c r="F2688" s="2" t="s">
        <v>27</v>
      </c>
      <c r="G2688" s="2" t="str">
        <f>CONCATENATE("ROTO DINAMIC D.O.O.,"," SAMOBORSKA CESTA 102,"," 10090 ZAGREB,"," OIB: 24723122482")</f>
        <v>ROTO DINAMIC D.O.O., SAMOBORSKA CESTA 102, 10090 ZAGREB, OIB: 24723122482</v>
      </c>
      <c r="H2688" s="4"/>
      <c r="I2688" s="1" t="s">
        <v>403</v>
      </c>
      <c r="J2688" s="1" t="s">
        <v>31</v>
      </c>
      <c r="K2688" s="6" t="str">
        <f>"2.310,21"</f>
        <v>2.310,21</v>
      </c>
      <c r="L2688" s="6" t="str">
        <f>"577,55"</f>
        <v>577,55</v>
      </c>
      <c r="M2688" s="6" t="str">
        <f>"2.887,76"</f>
        <v>2.887,76</v>
      </c>
      <c r="N2688" s="5">
        <v>43648</v>
      </c>
      <c r="O2688" s="7"/>
      <c r="P2688" s="6" t="str">
        <f>"2.887,76"</f>
        <v>2.887,76</v>
      </c>
      <c r="Q2688" s="7"/>
      <c r="R2688" s="1"/>
      <c r="S2688" s="1" t="str">
        <f>"6-19/NOS-135-H/18"</f>
        <v>6-19/NOS-135-H/18</v>
      </c>
      <c r="T2688" s="2" t="s">
        <v>33</v>
      </c>
    </row>
    <row r="2689" spans="1:20" ht="63.75" x14ac:dyDescent="0.25">
      <c r="A2689" s="1">
        <v>2685</v>
      </c>
      <c r="B2689" s="1" t="str">
        <f t="shared" si="268"/>
        <v>2018-2782</v>
      </c>
      <c r="C2689" s="2" t="s">
        <v>75</v>
      </c>
      <c r="D2689" s="1" t="s">
        <v>76</v>
      </c>
      <c r="E2689" s="3" t="str">
        <f>"2018/S 0F2-0027344"</f>
        <v>2018/S 0F2-0027344</v>
      </c>
      <c r="F2689" s="2" t="s">
        <v>23</v>
      </c>
      <c r="G2689" s="2" t="str">
        <f>CONCATENATE("VELPRO-CENTAR PLUS D.O.O.,"," MARIJANA ČAVIĆA 1,"," 10000 ZAGREB,"," OIB: 81169150175")</f>
        <v>VELPRO-CENTAR PLUS D.O.O., MARIJANA ČAVIĆA 1, 10000 ZAGREB, OIB: 81169150175</v>
      </c>
      <c r="H2689" s="4"/>
      <c r="I2689" s="1" t="s">
        <v>639</v>
      </c>
      <c r="J2689" s="1" t="s">
        <v>1314</v>
      </c>
      <c r="K2689" s="6" t="str">
        <f>"835.000,00"</f>
        <v>835.000,00</v>
      </c>
      <c r="L2689" s="6" t="str">
        <f>"208.750,00"</f>
        <v>208.750,00</v>
      </c>
      <c r="M2689" s="6" t="str">
        <f>"1.043.750,00"</f>
        <v>1.043.750,00</v>
      </c>
      <c r="N2689" s="7"/>
      <c r="O2689" s="7"/>
      <c r="P2689" s="6" t="str">
        <f>""</f>
        <v/>
      </c>
      <c r="Q2689" s="7"/>
      <c r="R2689" s="1"/>
      <c r="S2689" s="1" t="str">
        <f>"NOS-135-I/18"</f>
        <v>NOS-135-I/18</v>
      </c>
      <c r="T2689" s="2" t="s">
        <v>79</v>
      </c>
    </row>
    <row r="2690" spans="1:20" ht="25.5" x14ac:dyDescent="0.25">
      <c r="A2690" s="1">
        <v>2686</v>
      </c>
      <c r="B2690" s="1" t="str">
        <f t="shared" si="268"/>
        <v>2018-2782</v>
      </c>
      <c r="C2690" s="2" t="s">
        <v>75</v>
      </c>
      <c r="D2690" s="4"/>
      <c r="E2690" s="3" t="str">
        <f>""</f>
        <v/>
      </c>
      <c r="F2690" s="2" t="s">
        <v>27</v>
      </c>
      <c r="G2690" s="2" t="str">
        <f>CONCATENATE("VELPRO-CENTAR PLUS D.O.O.,"," MARIJANA ČAVIĆA 1,"," 10000 ZAGREB,"," OIB: 81169150175")</f>
        <v>VELPRO-CENTAR PLUS D.O.O., MARIJANA ČAVIĆA 1, 10000 ZAGREB, OIB: 81169150175</v>
      </c>
      <c r="H2690" s="4"/>
      <c r="I2690" s="1" t="s">
        <v>640</v>
      </c>
      <c r="J2690" s="1" t="s">
        <v>516</v>
      </c>
      <c r="K2690" s="6" t="str">
        <f>"69.519,36"</f>
        <v>69.519,36</v>
      </c>
      <c r="L2690" s="6" t="str">
        <f>"17.379,84"</f>
        <v>17.379,84</v>
      </c>
      <c r="M2690" s="6" t="str">
        <f>"86.899,20"</f>
        <v>86.899,20</v>
      </c>
      <c r="N2690" s="5">
        <v>43677</v>
      </c>
      <c r="O2690" s="7"/>
      <c r="P2690" s="6" t="str">
        <f>"8.562,41"</f>
        <v>8.562,41</v>
      </c>
      <c r="Q2690" s="7"/>
      <c r="R2690" s="1"/>
      <c r="S2690" s="1" t="str">
        <f>"1-19/NOS-135-I/18"</f>
        <v>1-19/NOS-135-I/18</v>
      </c>
      <c r="T2690" s="2" t="s">
        <v>33</v>
      </c>
    </row>
    <row r="2691" spans="1:20" ht="25.5" x14ac:dyDescent="0.25">
      <c r="A2691" s="1">
        <v>2687</v>
      </c>
      <c r="B2691" s="1" t="str">
        <f t="shared" si="268"/>
        <v>2018-2782</v>
      </c>
      <c r="C2691" s="2" t="s">
        <v>75</v>
      </c>
      <c r="D2691" s="1" t="s">
        <v>76</v>
      </c>
      <c r="E2691" s="3" t="str">
        <f>""</f>
        <v/>
      </c>
      <c r="F2691" s="2" t="s">
        <v>27</v>
      </c>
      <c r="G2691" s="2" t="str">
        <f>CONCATENATE("VELPRO-CENTAR PLUS D.O.O.,"," MARIJANA ČAVIĆA 1,"," 10000 ZAGREB,"," OIB: 81169150175")</f>
        <v>VELPRO-CENTAR PLUS D.O.O., MARIJANA ČAVIĆA 1, 10000 ZAGREB, OIB: 81169150175</v>
      </c>
      <c r="H2691" s="4"/>
      <c r="I2691" s="1" t="s">
        <v>930</v>
      </c>
      <c r="J2691" s="1" t="s">
        <v>492</v>
      </c>
      <c r="K2691" s="6" t="str">
        <f>"577,96"</f>
        <v>577,96</v>
      </c>
      <c r="L2691" s="6" t="str">
        <f>"123,15"</f>
        <v>123,15</v>
      </c>
      <c r="M2691" s="6" t="str">
        <f>"615,75"</f>
        <v>615,75</v>
      </c>
      <c r="N2691" s="5">
        <v>43640</v>
      </c>
      <c r="O2691" s="7"/>
      <c r="P2691" s="6" t="str">
        <f>"615,75"</f>
        <v>615,75</v>
      </c>
      <c r="Q2691" s="7"/>
      <c r="R2691" s="1"/>
      <c r="S2691" s="1" t="str">
        <f>"2-19/NOS-135-I/18"</f>
        <v>2-19/NOS-135-I/18</v>
      </c>
      <c r="T2691" s="2" t="s">
        <v>33</v>
      </c>
    </row>
    <row r="2692" spans="1:20" ht="25.5" x14ac:dyDescent="0.25">
      <c r="A2692" s="1">
        <v>2688</v>
      </c>
      <c r="B2692" s="1" t="str">
        <f t="shared" si="268"/>
        <v>2018-2782</v>
      </c>
      <c r="C2692" s="2" t="s">
        <v>75</v>
      </c>
      <c r="D2692" s="1" t="s">
        <v>76</v>
      </c>
      <c r="E2692" s="3" t="str">
        <f>""</f>
        <v/>
      </c>
      <c r="F2692" s="2" t="s">
        <v>27</v>
      </c>
      <c r="G2692" s="2" t="str">
        <f>CONCATENATE("VELPRO-CENTAR PLUS D.O.O.,"," MARIJANA ČAVIĆA 1,"," 10000 ZAGREB,"," OIB: 81169150175")</f>
        <v>VELPRO-CENTAR PLUS D.O.O., MARIJANA ČAVIĆA 1, 10000 ZAGREB, OIB: 81169150175</v>
      </c>
      <c r="H2692" s="4"/>
      <c r="I2692" s="1" t="s">
        <v>638</v>
      </c>
      <c r="J2692" s="1" t="s">
        <v>492</v>
      </c>
      <c r="K2692" s="6" t="str">
        <f>"1.290,00"</f>
        <v>1.290,00</v>
      </c>
      <c r="L2692" s="6" t="str">
        <f>"404,64"</f>
        <v>404,64</v>
      </c>
      <c r="M2692" s="6" t="str">
        <f>"2.023,20"</f>
        <v>2.023,20</v>
      </c>
      <c r="N2692" s="5">
        <v>43647</v>
      </c>
      <c r="O2692" s="7"/>
      <c r="P2692" s="6" t="str">
        <f>"2.023,20"</f>
        <v>2.023,20</v>
      </c>
      <c r="Q2692" s="7"/>
      <c r="R2692" s="1"/>
      <c r="S2692" s="1" t="str">
        <f>"3-19/NOS-135-I/18"</f>
        <v>3-19/NOS-135-I/18</v>
      </c>
      <c r="T2692" s="2" t="s">
        <v>33</v>
      </c>
    </row>
    <row r="2693" spans="1:20" ht="76.5" x14ac:dyDescent="0.25">
      <c r="A2693" s="1">
        <v>2689</v>
      </c>
      <c r="B2693" s="1" t="str">
        <f>"2018-421"</f>
        <v>2018-421</v>
      </c>
      <c r="C2693" s="2" t="s">
        <v>1315</v>
      </c>
      <c r="D2693" s="1" t="s">
        <v>119</v>
      </c>
      <c r="E2693" s="3" t="str">
        <f>"2019/S 0F2-0005409"</f>
        <v>2019/S 0F2-0005409</v>
      </c>
      <c r="F2693" s="2" t="s">
        <v>23</v>
      </c>
      <c r="G2693" s="2" t="str">
        <f>CONCATENATE("NETIKS D.O.O.,"," SARAJEVSKA CESTA 60,"," 10000 ZAGREB,"," OIB: 22800932658",CHAR(10),"ELNA KABEL D.O.O.,"," SELSKA CESTA 217/1A,"," 10000 ZAGREB,"," OIB: 30540568710",CHAR(10),"ELEKTRO IMBER D.O.O.,"," NOVA CESTA 184,"," 10000 ZAGREB,"," OIB: 41188361058")</f>
        <v>NETIKS D.O.O., SARAJEVSKA CESTA 60, 10000 ZAGREB, OIB: 22800932658
ELNA KABEL D.O.O., SELSKA CESTA 217/1A, 10000 ZAGREB, OIB: 30540568710
ELEKTRO IMBER D.O.O., NOVA CESTA 184, 10000 ZAGREB, OIB: 41188361058</v>
      </c>
      <c r="H2693" s="4"/>
      <c r="I2693" s="1" t="s">
        <v>597</v>
      </c>
      <c r="J2693" s="1" t="s">
        <v>1316</v>
      </c>
      <c r="K2693" s="6" t="str">
        <f>"5.000.000,00"</f>
        <v>5.000.000,00</v>
      </c>
      <c r="L2693" s="6" t="str">
        <f>"1.250.000,00"</f>
        <v>1.250.000,00</v>
      </c>
      <c r="M2693" s="6" t="str">
        <f>"6.250.000,00"</f>
        <v>6.250.000,00</v>
      </c>
      <c r="N2693" s="7"/>
      <c r="O2693" s="7"/>
      <c r="P2693" s="6" t="str">
        <f>""</f>
        <v/>
      </c>
      <c r="Q2693" s="7"/>
      <c r="R2693" s="1"/>
      <c r="S2693" s="1" t="str">
        <f>"NOS-136/18"</f>
        <v>NOS-136/18</v>
      </c>
      <c r="T2693" s="2" t="s">
        <v>33</v>
      </c>
    </row>
    <row r="2694" spans="1:20" ht="114.75" x14ac:dyDescent="0.25">
      <c r="A2694" s="1">
        <v>2690</v>
      </c>
      <c r="B2694" s="1" t="str">
        <f>"2018-2852"</f>
        <v>2018-2852</v>
      </c>
      <c r="C2694" s="2" t="s">
        <v>1317</v>
      </c>
      <c r="D2694" s="1" t="s">
        <v>179</v>
      </c>
      <c r="E2694" s="3" t="str">
        <f>"2018/S 0F2-0033494"</f>
        <v>2018/S 0F2-0033494</v>
      </c>
      <c r="F2694" s="2" t="s">
        <v>23</v>
      </c>
      <c r="G2694" s="2" t="str">
        <f>CONCATENATE("AUTO HRVATSKA PRODAJNO SERVISNI CENTRI D.O.O.,"," ZASTAVNICE 25/C,"," 10251 HRVATSKI LESKOVAC,"," OIB: 87682591133",CHAR(10),"GUMIIMPEX - GRP D.O.O.,"," PAVLEKA MIŠKINE 64C,"," 42000 VARAŽDIN,"," OIB: 82298562620",CHAR(10),"VULKAL D.O.O.,"," SAMOBORSKA CESTA 310,"," 10000 ZAGREB,"," OIB: 90439696130",CHAR(10),"PNEUMATIK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2694" s="4"/>
      <c r="I2694" s="1" t="s">
        <v>440</v>
      </c>
      <c r="J2694" s="1" t="s">
        <v>1318</v>
      </c>
      <c r="K2694" s="6" t="str">
        <f>"1.700.000,00"</f>
        <v>1.700.000,00</v>
      </c>
      <c r="L2694" s="6" t="str">
        <f>"425.000,00"</f>
        <v>425.000,00</v>
      </c>
      <c r="M2694" s="6" t="str">
        <f>"2.125.000,00"</f>
        <v>2.125.000,00</v>
      </c>
      <c r="N2694" s="7"/>
      <c r="O2694" s="7"/>
      <c r="P2694" s="6" t="str">
        <f>""</f>
        <v/>
      </c>
      <c r="Q2694" s="7"/>
      <c r="R2694" s="1"/>
      <c r="S2694" s="1" t="str">
        <f>"NOS-137-A/18"</f>
        <v>NOS-137-A/18</v>
      </c>
      <c r="T2694" s="2" t="s">
        <v>26</v>
      </c>
    </row>
    <row r="2695" spans="1:20" ht="114.75" x14ac:dyDescent="0.25">
      <c r="A2695" s="1">
        <v>2691</v>
      </c>
      <c r="B2695" s="1" t="str">
        <f>"2018-2852"</f>
        <v>2018-2852</v>
      </c>
      <c r="C2695" s="2" t="s">
        <v>1317</v>
      </c>
      <c r="D2695" s="1" t="s">
        <v>179</v>
      </c>
      <c r="E2695" s="3" t="str">
        <f>"2018/S 0F2-0033494"</f>
        <v>2018/S 0F2-0033494</v>
      </c>
      <c r="F2695" s="2" t="s">
        <v>23</v>
      </c>
      <c r="G2695" s="2" t="str">
        <f>CONCATENATE("AUTO HRVATSKA PRODAJNO SERVISNI CENTRI D.O.O.,"," ZASTAVNICE 25/C,"," 10251 HRVATSKI LESKOVAC,"," OIB: 87682591133",CHAR(10),"GUMIIMPEX - GRP D.O.O.,"," PAVLEKA MIŠKINE 64C,"," 42000 VARAŽDIN,"," OIB: 82298562620",CHAR(10),"VULKAL D.O.O.,"," SAMOBORSKA CESTA 310,"," 10000 ZAGREB,"," OIB: 90439696130",CHAR(10),"PNEUMATIK D.O.O.,"," KARAŽNIK 2/A,"," 10000 ZAGREB,"," OIB: 68256909072")</f>
        <v>AUTO HRVATSKA PRODAJNO SERVISNI CENTRI D.O.O., ZASTAVNICE 25/C, 10251 HRVATSKI LESKOVAC, OIB: 87682591133
GUMIIMPEX - GRP D.O.O., PAVLEKA MIŠKINE 64C, 42000 VARAŽDIN, OIB: 82298562620
VULKAL D.O.O., SAMOBORSKA CESTA 310, 10000 ZAGREB, OIB: 90439696130
PNEUMATIK D.O.O., KARAŽNIK 2/A, 10000 ZAGREB, OIB: 68256909072</v>
      </c>
      <c r="H2695" s="4"/>
      <c r="I2695" s="1" t="s">
        <v>440</v>
      </c>
      <c r="J2695" s="1" t="s">
        <v>1318</v>
      </c>
      <c r="K2695" s="6" t="str">
        <f>"1.700.000,00"</f>
        <v>1.700.000,00</v>
      </c>
      <c r="L2695" s="6" t="str">
        <f>"425.000,00"</f>
        <v>425.000,00</v>
      </c>
      <c r="M2695" s="6" t="str">
        <f>"2.125.000,00"</f>
        <v>2.125.000,00</v>
      </c>
      <c r="N2695" s="7"/>
      <c r="O2695" s="7"/>
      <c r="P2695" s="6" t="str">
        <f>""</f>
        <v/>
      </c>
      <c r="Q2695" s="7"/>
      <c r="R2695" s="1"/>
      <c r="S2695" s="1" t="str">
        <f>"NOS-137-B/18"</f>
        <v>NOS-137-B/18</v>
      </c>
      <c r="T2695" s="2" t="s">
        <v>26</v>
      </c>
    </row>
    <row r="2696" spans="1:20" ht="102" x14ac:dyDescent="0.25">
      <c r="A2696" s="1">
        <v>2692</v>
      </c>
      <c r="B2696" s="1" t="str">
        <f>"2018-2852"</f>
        <v>2018-2852</v>
      </c>
      <c r="C2696" s="2" t="s">
        <v>1317</v>
      </c>
      <c r="D2696" s="1" t="s">
        <v>179</v>
      </c>
      <c r="E2696" s="3" t="str">
        <f>"2018/S 0F2-0033494"</f>
        <v>2018/S 0F2-0033494</v>
      </c>
      <c r="F2696" s="2" t="s">
        <v>23</v>
      </c>
      <c r="G2696" s="2" t="str">
        <f>CONCATENATE("GUMIIMPEX - GRP D.O.O.,"," PAVLEKA MIŠKINE 64C,"," 42000 VARAŽDIN,"," OIB: 82298562620",CHAR(10),"VULKAL D.O.O.,"," SAMOBORSKA CESTA 310,"," 10000 ZAGREB,"," OIB: 90439696130",CHAR(10),"PNEUMATIK D.O.O.,"," KARAŽNIK 2/A,"," 10000 ZAGREB,"," OIB: 68256909072",CHAR(10),"RATAR D.O.O.,"," VINOGRADSKA 140,"," 31000 OSIJEK,"," OIB: 65385344256")</f>
        <v>GUMIIMPEX - GRP D.O.O., PAVLEKA MIŠKINE 64C, 42000 VARAŽDIN, OIB: 82298562620
VULKAL D.O.O., SAMOBORSKA CESTA 310, 10000 ZAGREB, OIB: 90439696130
PNEUMATIK D.O.O., KARAŽNIK 2/A, 10000 ZAGREB, OIB: 68256909072
RATAR D.O.O., VINOGRADSKA 140, 31000 OSIJEK, OIB: 65385344256</v>
      </c>
      <c r="H2696" s="4"/>
      <c r="I2696" s="1" t="s">
        <v>440</v>
      </c>
      <c r="J2696" s="1" t="s">
        <v>1318</v>
      </c>
      <c r="K2696" s="6" t="str">
        <f>"600.000,00"</f>
        <v>600.000,00</v>
      </c>
      <c r="L2696" s="6" t="str">
        <f>"150.000,00"</f>
        <v>150.000,00</v>
      </c>
      <c r="M2696" s="6" t="str">
        <f>"750.000,00"</f>
        <v>750.000,00</v>
      </c>
      <c r="N2696" s="7"/>
      <c r="O2696" s="7"/>
      <c r="P2696" s="6" t="str">
        <f>""</f>
        <v/>
      </c>
      <c r="Q2696" s="7"/>
      <c r="R2696" s="1"/>
      <c r="S2696" s="1" t="str">
        <f>"NOS-137-C/18"</f>
        <v>NOS-137-C/18</v>
      </c>
      <c r="T2696" s="2" t="s">
        <v>26</v>
      </c>
    </row>
    <row r="2697" spans="1:20" ht="38.25" x14ac:dyDescent="0.25">
      <c r="A2697" s="1">
        <v>2693</v>
      </c>
      <c r="B2697" s="1" t="str">
        <f>"2018-3134"</f>
        <v>2018-3134</v>
      </c>
      <c r="C2697" s="2" t="s">
        <v>1319</v>
      </c>
      <c r="D2697" s="1" t="s">
        <v>1320</v>
      </c>
      <c r="E2697" s="3" t="str">
        <f>"2019/S 0F2-0000736"</f>
        <v>2019/S 0F2-0000736</v>
      </c>
      <c r="F2697" s="2" t="s">
        <v>23</v>
      </c>
      <c r="G2697" s="2" t="str">
        <f>CONCATENATE("OMEGA SOFTWARE D.O.O.,"," KAMENARKA 37,"," 10010 ZAGREB-SLOBOŠTINA,"," OIB: 40102169932")</f>
        <v>OMEGA SOFTWARE D.O.O., KAMENARKA 37, 10010 ZAGREB-SLOBOŠTINA, OIB: 40102169932</v>
      </c>
      <c r="H2697" s="4"/>
      <c r="I2697" s="1" t="s">
        <v>638</v>
      </c>
      <c r="J2697" s="1" t="s">
        <v>1312</v>
      </c>
      <c r="K2697" s="6" t="str">
        <f>"6.950.000,00"</f>
        <v>6.950.000,00</v>
      </c>
      <c r="L2697" s="6" t="str">
        <f>"1.737.500,00"</f>
        <v>1.737.500,00</v>
      </c>
      <c r="M2697" s="6" t="str">
        <f>"8.687.500,00"</f>
        <v>8.687.500,00</v>
      </c>
      <c r="N2697" s="7"/>
      <c r="O2697" s="7"/>
      <c r="P2697" s="6" t="str">
        <f>""</f>
        <v/>
      </c>
      <c r="Q2697" s="7"/>
      <c r="R2697" s="1"/>
      <c r="S2697" s="1" t="str">
        <f>"NOS-138/18"</f>
        <v>NOS-138/18</v>
      </c>
      <c r="T2697" s="2" t="s">
        <v>538</v>
      </c>
    </row>
    <row r="2698" spans="1:20" ht="38.25" x14ac:dyDescent="0.25">
      <c r="A2698" s="1">
        <v>2694</v>
      </c>
      <c r="B2698" s="1" t="str">
        <f>"2019-711"</f>
        <v>2019-711</v>
      </c>
      <c r="C2698" s="2" t="s">
        <v>1321</v>
      </c>
      <c r="D2698" s="1" t="s">
        <v>1322</v>
      </c>
      <c r="E2698" s="3" t="str">
        <f>""</f>
        <v/>
      </c>
      <c r="F2698" s="2" t="s">
        <v>1323</v>
      </c>
      <c r="G2698" s="2" t="str">
        <f>CONCATENATE("SEDRA CONSULTING D.O.O.,"," USKOPSKA 11,"," 10010 ZAGREB,"," OIB: 09177957072")</f>
        <v>SEDRA CONSULTING D.O.O., USKOPSKA 11, 10010 ZAGREB, OIB: 09177957072</v>
      </c>
      <c r="H2698" s="4"/>
      <c r="I2698" s="1" t="s">
        <v>266</v>
      </c>
      <c r="J2698" s="5">
        <v>43937</v>
      </c>
      <c r="K2698" s="6" t="str">
        <f>"58.000,00"</f>
        <v>58.000,00</v>
      </c>
      <c r="L2698" s="6" t="str">
        <f>"14.500,00"</f>
        <v>14.500,00</v>
      </c>
      <c r="M2698" s="6" t="str">
        <f>"72.500,00"</f>
        <v>72.500,00</v>
      </c>
      <c r="N2698" s="1" t="s">
        <v>117</v>
      </c>
      <c r="O2698" s="7"/>
      <c r="P2698" s="6" t="str">
        <f>""</f>
        <v/>
      </c>
      <c r="Q2698" s="7"/>
      <c r="R2698" s="1"/>
      <c r="S2698" s="1" t="str">
        <f>"GZ-446/2019"</f>
        <v>GZ-446/2019</v>
      </c>
      <c r="T2698" s="2" t="s">
        <v>29</v>
      </c>
    </row>
    <row r="2699" spans="1:20" ht="51" x14ac:dyDescent="0.25">
      <c r="A2699" s="1">
        <v>2695</v>
      </c>
      <c r="B2699" s="1" t="str">
        <f>"2012-2482"</f>
        <v>2012-2482</v>
      </c>
      <c r="C2699" s="2" t="s">
        <v>1324</v>
      </c>
      <c r="D2699" s="1" t="s">
        <v>1325</v>
      </c>
      <c r="E2699" s="3" t="str">
        <f>"2012/S 002-0044704"</f>
        <v>2012/S 002-0044704</v>
      </c>
      <c r="F2699" s="2" t="s">
        <v>23</v>
      </c>
      <c r="G2699" s="2" t="str">
        <f>CONCATENATE("INVESTINŽENJERING D.O.O.,"," TUŠKANOVA 41,"," 10000 ZAGREB,"," OIB: 78904416556")</f>
        <v>INVESTINŽENJERING D.O.O., TUŠKANOVA 41, 10000 ZAGREB, OIB: 78904416556</v>
      </c>
      <c r="H2699" s="4"/>
      <c r="I2699" s="1" t="s">
        <v>1326</v>
      </c>
      <c r="J2699" s="1" t="s">
        <v>941</v>
      </c>
      <c r="K2699" s="6" t="str">
        <f>"4.377.266,00"</f>
        <v>4.377.266,00</v>
      </c>
      <c r="L2699" s="6" t="str">
        <f>"1.094.316,50"</f>
        <v>1.094.316,50</v>
      </c>
      <c r="M2699" s="6" t="str">
        <f>"5.471.582,50"</f>
        <v>5.471.582,50</v>
      </c>
      <c r="N2699" s="5">
        <v>42704</v>
      </c>
      <c r="O2699" s="7"/>
      <c r="P2699" s="6" t="str">
        <f>"5.346.600,61"</f>
        <v>5.346.600,61</v>
      </c>
      <c r="Q2699" s="7"/>
      <c r="R2699" s="1"/>
      <c r="S2699" s="1" t="str">
        <f>"N-74/12"</f>
        <v>N-74/12</v>
      </c>
      <c r="T2699" s="2" t="s">
        <v>33</v>
      </c>
    </row>
    <row r="2700" spans="1:20" ht="89.25" x14ac:dyDescent="0.25">
      <c r="A2700" s="1">
        <v>2696</v>
      </c>
      <c r="B2700" s="1" t="str">
        <f>"2012-2482"</f>
        <v>2012-2482</v>
      </c>
      <c r="C2700" s="2" t="s">
        <v>1324</v>
      </c>
      <c r="D2700" s="1" t="s">
        <v>1325</v>
      </c>
      <c r="E2700" s="3" t="str">
        <f>"2012/S 002-0044704"</f>
        <v>2012/S 002-0044704</v>
      </c>
      <c r="F2700" s="2" t="s">
        <v>1327</v>
      </c>
      <c r="G2700" s="2" t="str">
        <f>CONCATENATE("INVESTINŽENJERING D.O.O.,"," TUŠKANOVA 41,"," 10000 ZAGREB,"," OIB: 78904416556")</f>
        <v>INVESTINŽENJERING D.O.O., TUŠKANOVA 41, 10000 ZAGREB, OIB: 78904416556</v>
      </c>
      <c r="H2700" s="4"/>
      <c r="I2700" s="1" t="s">
        <v>1328</v>
      </c>
      <c r="J2700" s="1" t="s">
        <v>941</v>
      </c>
      <c r="K2700" s="6" t="str">
        <f>"295.783,74"</f>
        <v>295.783,74</v>
      </c>
      <c r="L2700" s="6" t="str">
        <f>"73.945,94"</f>
        <v>73.945,94</v>
      </c>
      <c r="M2700" s="6" t="str">
        <f>"369.729,68"</f>
        <v>369.729,68</v>
      </c>
      <c r="N2700" s="5">
        <v>43574</v>
      </c>
      <c r="O2700" s="7"/>
      <c r="P2700" s="6" t="str">
        <f>"131.659,14"</f>
        <v>131.659,14</v>
      </c>
      <c r="Q2700" s="7"/>
      <c r="R2700" s="1"/>
      <c r="S2700" s="1" t="str">
        <f>"N-74/12-1"</f>
        <v>N-74/12-1</v>
      </c>
      <c r="T2700" s="2" t="s">
        <v>33</v>
      </c>
    </row>
    <row r="2701" spans="1:20" ht="38.25" x14ac:dyDescent="0.25">
      <c r="A2701" s="1">
        <v>2697</v>
      </c>
      <c r="B2701" s="1" t="str">
        <f>"2013-61"</f>
        <v>2013-61</v>
      </c>
      <c r="C2701" s="2" t="s">
        <v>1329</v>
      </c>
      <c r="D2701" s="1" t="s">
        <v>1330</v>
      </c>
      <c r="E2701" s="3" t="str">
        <f>"2013/S 002-0004752"</f>
        <v>2013/S 002-0004752</v>
      </c>
      <c r="F2701" s="2" t="s">
        <v>23</v>
      </c>
      <c r="G2701" s="2" t="str">
        <f>CONCATENATE("UNICREDIT LEASING CROATIA D.O.O.,"," HEINZELOVA 33,"," 10000 ZAGREB,"," OIB: 187361412")</f>
        <v>UNICREDIT LEASING CROATIA D.O.O., HEINZELOVA 33, 10000 ZAGREB, OIB: 187361412</v>
      </c>
      <c r="H2701" s="4"/>
      <c r="I2701" s="1" t="s">
        <v>1331</v>
      </c>
      <c r="J2701" s="1" t="s">
        <v>397</v>
      </c>
      <c r="K2701" s="6" t="str">
        <f>"287.107.910,20"</f>
        <v>287.107.910,20</v>
      </c>
      <c r="L2701" s="6" t="str">
        <f>"71.776.977,55"</f>
        <v>71.776.977,55</v>
      </c>
      <c r="M2701" s="6" t="str">
        <f>"358.884.887,75"</f>
        <v>358.884.887,75</v>
      </c>
      <c r="N2701" s="1" t="s">
        <v>117</v>
      </c>
      <c r="O2701" s="7"/>
      <c r="P2701" s="6" t="str">
        <f>""</f>
        <v/>
      </c>
      <c r="Q2701" s="7"/>
      <c r="R2701" s="1"/>
      <c r="S2701" s="1" t="str">
        <f>"N-40/13"</f>
        <v>N-40/13</v>
      </c>
      <c r="T2701" s="2" t="s">
        <v>33</v>
      </c>
    </row>
    <row r="2702" spans="1:20" ht="38.25" x14ac:dyDescent="0.25">
      <c r="A2702" s="1">
        <v>2698</v>
      </c>
      <c r="B2702" s="1" t="str">
        <f>"2013-61-A"</f>
        <v>2013-61-A</v>
      </c>
      <c r="C2702" s="2" t="s">
        <v>1329</v>
      </c>
      <c r="D2702" s="1" t="s">
        <v>1330</v>
      </c>
      <c r="E2702" s="3" t="str">
        <f>"2013/S  002-0004766"</f>
        <v>2013/S  002-0004766</v>
      </c>
      <c r="F2702" s="2" t="s">
        <v>23</v>
      </c>
      <c r="G2702" s="2" t="str">
        <f>CONCATENATE("HYPO ALPE-ADRIA-LEASING D.O.O.,"," SLAVONSKA AVENIJA 6A,"," 10000 ZAGREB,"," OIB: 03153152979")</f>
        <v>HYPO ALPE-ADRIA-LEASING D.O.O., SLAVONSKA AVENIJA 6A, 10000 ZAGREB, OIB: 03153152979</v>
      </c>
      <c r="H2702" s="4"/>
      <c r="I2702" s="1" t="s">
        <v>1331</v>
      </c>
      <c r="J2702" s="1" t="s">
        <v>1332</v>
      </c>
      <c r="K2702" s="6" t="str">
        <f>"208.231.013,76"</f>
        <v>208.231.013,76</v>
      </c>
      <c r="L2702" s="6" t="str">
        <f>"52.057.753,44"</f>
        <v>52.057.753,44</v>
      </c>
      <c r="M2702" s="6" t="str">
        <f>"260.288.767,20"</f>
        <v>260.288.767,20</v>
      </c>
      <c r="N2702" s="1" t="s">
        <v>117</v>
      </c>
      <c r="O2702" s="7"/>
      <c r="P2702" s="6" t="str">
        <f>""</f>
        <v/>
      </c>
      <c r="Q2702" s="7"/>
      <c r="R2702" s="1"/>
      <c r="S2702" s="1" t="str">
        <f>"N-41/13"</f>
        <v>N-41/13</v>
      </c>
      <c r="T2702" s="2" t="s">
        <v>33</v>
      </c>
    </row>
    <row r="2703" spans="1:20" ht="38.25" x14ac:dyDescent="0.25">
      <c r="A2703" s="1">
        <v>2699</v>
      </c>
      <c r="B2703" s="1" t="str">
        <f>"2013-61-B"</f>
        <v>2013-61-B</v>
      </c>
      <c r="C2703" s="2" t="s">
        <v>1329</v>
      </c>
      <c r="D2703" s="1" t="s">
        <v>1330</v>
      </c>
      <c r="E2703" s="3" t="str">
        <f>"2013/S 002-0004771"</f>
        <v>2013/S 002-0004771</v>
      </c>
      <c r="F2703" s="2" t="s">
        <v>23</v>
      </c>
      <c r="G2703" s="2" t="str">
        <f>CONCATENATE("ERSTE &amp; STEIERMÄRKISCHE S-LEASING D.O.O.,"," ZELINSKA 3,"," 10000 ZAGREB,"," OIB: 4655067166")</f>
        <v>ERSTE &amp; STEIERMÄRKISCHE S-LEASING D.O.O., ZELINSKA 3, 10000 ZAGREB, OIB: 4655067166</v>
      </c>
      <c r="H2703" s="4"/>
      <c r="I2703" s="1" t="s">
        <v>1331</v>
      </c>
      <c r="J2703" s="1" t="s">
        <v>1332</v>
      </c>
      <c r="K2703" s="6" t="str">
        <f>"149.779.433,24"</f>
        <v>149.779.433,24</v>
      </c>
      <c r="L2703" s="6" t="str">
        <f>"37.444.858,31"</f>
        <v>37.444.858,31</v>
      </c>
      <c r="M2703" s="6" t="str">
        <f>"187.224.291,55"</f>
        <v>187.224.291,55</v>
      </c>
      <c r="N2703" s="1" t="s">
        <v>117</v>
      </c>
      <c r="O2703" s="7"/>
      <c r="P2703" s="6" t="str">
        <f>""</f>
        <v/>
      </c>
      <c r="Q2703" s="7"/>
      <c r="R2703" s="1"/>
      <c r="S2703" s="1" t="str">
        <f>"N-42/13"</f>
        <v>N-42/13</v>
      </c>
      <c r="T2703" s="2" t="s">
        <v>33</v>
      </c>
    </row>
    <row r="2704" spans="1:20" ht="38.25" x14ac:dyDescent="0.25">
      <c r="A2704" s="1">
        <v>2700</v>
      </c>
      <c r="B2704" s="1" t="str">
        <f>"2013-61-C"</f>
        <v>2013-61-C</v>
      </c>
      <c r="C2704" s="2" t="s">
        <v>1329</v>
      </c>
      <c r="D2704" s="1" t="s">
        <v>1330</v>
      </c>
      <c r="E2704" s="3" t="str">
        <f>""</f>
        <v/>
      </c>
      <c r="F2704" s="2" t="s">
        <v>1088</v>
      </c>
      <c r="G2704" s="2" t="str">
        <f>CONCATENATE("UNICREDIT LEASING CROATIA D.O.O.,"," HEINZELOVA 33,"," 10000 ZAGREB,"," OIB: 187361412")</f>
        <v>UNICREDIT LEASING CROATIA D.O.O., HEINZELOVA 33, 10000 ZAGREB, OIB: 187361412</v>
      </c>
      <c r="H2704" s="4"/>
      <c r="I2704" s="1" t="s">
        <v>1333</v>
      </c>
      <c r="J2704" s="1" t="s">
        <v>1162</v>
      </c>
      <c r="K2704" s="6" t="str">
        <f>"286.726.020,79"</f>
        <v>286.726.020,79</v>
      </c>
      <c r="L2704" s="6" t="str">
        <f>"71.681.505,20"</f>
        <v>71.681.505,20</v>
      </c>
      <c r="M2704" s="6" t="str">
        <f>"358.407.525,99"</f>
        <v>358.407.525,99</v>
      </c>
      <c r="N2704" s="1" t="s">
        <v>117</v>
      </c>
      <c r="O2704" s="7"/>
      <c r="P2704" s="6" t="str">
        <f>""</f>
        <v/>
      </c>
      <c r="Q2704" s="7"/>
      <c r="R2704" s="1"/>
      <c r="S2704" s="1" t="str">
        <f>"N-51/13"</f>
        <v>N-51/13</v>
      </c>
      <c r="T2704" s="2" t="s">
        <v>33</v>
      </c>
    </row>
    <row r="2705" spans="1:20" ht="51" x14ac:dyDescent="0.25">
      <c r="A2705" s="1">
        <v>2701</v>
      </c>
      <c r="B2705" s="1" t="str">
        <f>"2013-3504"</f>
        <v>2013-3504</v>
      </c>
      <c r="C2705" s="2" t="s">
        <v>1334</v>
      </c>
      <c r="D2705" s="1" t="s">
        <v>523</v>
      </c>
      <c r="E2705" s="3" t="str">
        <f>""</f>
        <v/>
      </c>
      <c r="F2705" s="2" t="s">
        <v>1088</v>
      </c>
      <c r="G2705" s="2" t="str">
        <f>CONCATENATE("AUTOBUS D.O.O.,"," I. RESNIK 178,"," 10040 ZAGREB,"," OIB: 77383886713")</f>
        <v>AUTOBUS D.O.O., I. RESNIK 178, 10040 ZAGREB, OIB: 77383886713</v>
      </c>
      <c r="H2705" s="4"/>
      <c r="I2705" s="1" t="s">
        <v>1331</v>
      </c>
      <c r="J2705" s="1" t="s">
        <v>140</v>
      </c>
      <c r="K2705" s="6" t="str">
        <f>"63.993.470,03"</f>
        <v>63.993.470,03</v>
      </c>
      <c r="L2705" s="6" t="str">
        <f>"15.998.367,51"</f>
        <v>15.998.367,51</v>
      </c>
      <c r="M2705" s="6" t="str">
        <f>"79.991.837,54"</f>
        <v>79.991.837,54</v>
      </c>
      <c r="N2705" s="5">
        <v>43098</v>
      </c>
      <c r="O2705" s="7"/>
      <c r="P2705" s="6" t="str">
        <f>"69.694.498,34"</f>
        <v>69.694.498,34</v>
      </c>
      <c r="Q2705" s="7"/>
      <c r="R2705" s="1"/>
      <c r="S2705" s="1" t="str">
        <f>"N-58/13"</f>
        <v>N-58/13</v>
      </c>
      <c r="T2705" s="2" t="s">
        <v>33</v>
      </c>
    </row>
    <row r="2706" spans="1:20" ht="38.25" x14ac:dyDescent="0.25">
      <c r="A2706" s="1">
        <v>2702</v>
      </c>
      <c r="B2706" s="1" t="str">
        <f>"2013-3478"</f>
        <v>2013-3478</v>
      </c>
      <c r="C2706" s="2" t="s">
        <v>1335</v>
      </c>
      <c r="D2706" s="1" t="s">
        <v>1336</v>
      </c>
      <c r="E2706" s="3" t="str">
        <f>"2013/S  002-0065819"</f>
        <v>2013/S  002-0065819</v>
      </c>
      <c r="F2706" s="2" t="s">
        <v>23</v>
      </c>
      <c r="G2706" s="2" t="str">
        <f>CONCATENATE("PRIVREDNA BANKA ZAGREB D.D.,"," RADNIČKA CESTA 50,"," 10000 ZAGREB,"," OIB: 02535697732")</f>
        <v>PRIVREDNA BANKA ZAGREB D.D., RADNIČKA CESTA 50, 10000 ZAGREB, OIB: 02535697732</v>
      </c>
      <c r="H2706" s="4"/>
      <c r="I2706" s="1" t="s">
        <v>1337</v>
      </c>
      <c r="J2706" s="1" t="s">
        <v>1338</v>
      </c>
      <c r="K2706" s="6" t="str">
        <f>"15.973.896,74"</f>
        <v>15.973.896,74</v>
      </c>
      <c r="L2706" s="6" t="str">
        <f>"3.993.474,19"</f>
        <v>3.993.474,19</v>
      </c>
      <c r="M2706" s="6" t="str">
        <f>"19.967.370,93"</f>
        <v>19.967.370,93</v>
      </c>
      <c r="N2706" s="1" t="s">
        <v>117</v>
      </c>
      <c r="O2706" s="7"/>
      <c r="P2706" s="6" t="str">
        <f>""</f>
        <v/>
      </c>
      <c r="Q2706" s="7"/>
      <c r="R2706" s="1"/>
      <c r="S2706" s="1" t="str">
        <f>"N-92/13"</f>
        <v>N-92/13</v>
      </c>
      <c r="T2706" s="2" t="s">
        <v>33</v>
      </c>
    </row>
    <row r="2707" spans="1:20" ht="38.25" x14ac:dyDescent="0.25">
      <c r="A2707" s="1">
        <v>2703</v>
      </c>
      <c r="B2707" s="1" t="str">
        <f>"2013-3584"</f>
        <v>2013-3584</v>
      </c>
      <c r="C2707" s="2" t="s">
        <v>1339</v>
      </c>
      <c r="D2707" s="1" t="s">
        <v>1336</v>
      </c>
      <c r="E2707" s="3" t="str">
        <f>""</f>
        <v/>
      </c>
      <c r="F2707" s="2" t="s">
        <v>1088</v>
      </c>
      <c r="G2707" s="2" t="str">
        <f>CONCATENATE("ZAGREBAČKA BANKA D.D.,"," TRG BANA JOSIPA JELAČIĆA 10,"," 10000 ZAGREB,"," OIB: 92963223473")</f>
        <v>ZAGREBAČKA BANKA D.D., TRG BANA JOSIPA JELAČIĆA 10, 10000 ZAGREB, OIB: 92963223473</v>
      </c>
      <c r="H2707" s="4"/>
      <c r="I2707" s="1" t="s">
        <v>1340</v>
      </c>
      <c r="J2707" s="1" t="s">
        <v>1338</v>
      </c>
      <c r="K2707" s="6" t="str">
        <f>"29.942.550,77"</f>
        <v>29.942.550,77</v>
      </c>
      <c r="L2707" s="6" t="str">
        <f>"7.485.637,69"</f>
        <v>7.485.637,69</v>
      </c>
      <c r="M2707" s="6" t="str">
        <f>"37.428.188,46"</f>
        <v>37.428.188,46</v>
      </c>
      <c r="N2707" s="1" t="s">
        <v>117</v>
      </c>
      <c r="O2707" s="7"/>
      <c r="P2707" s="6" t="str">
        <f>""</f>
        <v/>
      </c>
      <c r="Q2707" s="7"/>
      <c r="R2707" s="1"/>
      <c r="S2707" s="1" t="str">
        <f>"N-98/13"</f>
        <v>N-98/13</v>
      </c>
      <c r="T2707" s="2" t="s">
        <v>33</v>
      </c>
    </row>
    <row r="2708" spans="1:20" ht="51" x14ac:dyDescent="0.25">
      <c r="A2708" s="1">
        <v>2704</v>
      </c>
      <c r="B2708" s="1" t="str">
        <f>"2014-2032"</f>
        <v>2014-2032</v>
      </c>
      <c r="C2708" s="2" t="s">
        <v>1341</v>
      </c>
      <c r="D2708" s="1" t="s">
        <v>1336</v>
      </c>
      <c r="E2708" s="3" t="str">
        <f>"2014/S 002-0010405"</f>
        <v>2014/S 002-0010405</v>
      </c>
      <c r="F2708" s="2" t="s">
        <v>23</v>
      </c>
      <c r="G2708" s="2" t="str">
        <f>CONCATENATE("PRIVREDNA BANKA ZAGREB D.D.,"," RADNIČKA CESTA 50,"," 10000 ZAGREB,"," OIB: 02535697732")</f>
        <v>PRIVREDNA BANKA ZAGREB D.D., RADNIČKA CESTA 50, 10000 ZAGREB, OIB: 02535697732</v>
      </c>
      <c r="H2708" s="4"/>
      <c r="I2708" s="1" t="s">
        <v>1342</v>
      </c>
      <c r="J2708" s="1" t="s">
        <v>1343</v>
      </c>
      <c r="K2708" s="6" t="str">
        <f>"18.999.573,75"</f>
        <v>18.999.573,75</v>
      </c>
      <c r="L2708" s="6" t="str">
        <f>"4.749.893,44"</f>
        <v>4.749.893,44</v>
      </c>
      <c r="M2708" s="6" t="str">
        <f>"23.749.467,19"</f>
        <v>23.749.467,19</v>
      </c>
      <c r="N2708" s="1" t="s">
        <v>117</v>
      </c>
      <c r="O2708" s="7"/>
      <c r="P2708" s="6" t="str">
        <f>""</f>
        <v/>
      </c>
      <c r="Q2708" s="7"/>
      <c r="R2708" s="1"/>
      <c r="S2708" s="1" t="str">
        <f>"N-1/14"</f>
        <v>N-1/14</v>
      </c>
      <c r="T2708" s="2" t="s">
        <v>33</v>
      </c>
    </row>
    <row r="2709" spans="1:20" ht="51" x14ac:dyDescent="0.25">
      <c r="A2709" s="1">
        <v>2705</v>
      </c>
      <c r="B2709" s="1" t="str">
        <f>"2014-2033"</f>
        <v>2014-2033</v>
      </c>
      <c r="C2709" s="2" t="s">
        <v>1344</v>
      </c>
      <c r="D2709" s="1" t="s">
        <v>1336</v>
      </c>
      <c r="E2709" s="3" t="str">
        <f>"2014/S 002-0010392"</f>
        <v>2014/S 002-0010392</v>
      </c>
      <c r="F2709" s="2" t="s">
        <v>23</v>
      </c>
      <c r="G2709" s="2" t="str">
        <f>CONCATENATE("ERSTE&amp;STEIERMÄRKISCHE BANK D. D.,"," JADRANSKI TRG 3/A,"," 51000 RIJEKA,"," OIB: 2305703932")</f>
        <v>ERSTE&amp;STEIERMÄRKISCHE BANK D. D., JADRANSKI TRG 3/A, 51000 RIJEKA, OIB: 2305703932</v>
      </c>
      <c r="H2709" s="4"/>
      <c r="I2709" s="1" t="s">
        <v>1345</v>
      </c>
      <c r="J2709" s="1" t="s">
        <v>1343</v>
      </c>
      <c r="K2709" s="6" t="str">
        <f>"6.980.298,52"</f>
        <v>6.980.298,52</v>
      </c>
      <c r="L2709" s="6" t="str">
        <f>"1.745.074,63"</f>
        <v>1.745.074,63</v>
      </c>
      <c r="M2709" s="6" t="str">
        <f>"8.725.373,15"</f>
        <v>8.725.373,15</v>
      </c>
      <c r="N2709" s="1" t="s">
        <v>117</v>
      </c>
      <c r="O2709" s="7"/>
      <c r="P2709" s="6" t="str">
        <f>""</f>
        <v/>
      </c>
      <c r="Q2709" s="7"/>
      <c r="R2709" s="1"/>
      <c r="S2709" s="1" t="str">
        <f>"N-2/14"</f>
        <v>N-2/14</v>
      </c>
      <c r="T2709" s="2" t="s">
        <v>33</v>
      </c>
    </row>
    <row r="2710" spans="1:20" ht="165.75" x14ac:dyDescent="0.25">
      <c r="A2710" s="1">
        <v>2706</v>
      </c>
      <c r="B2710" s="1" t="str">
        <f>"2014-2165"</f>
        <v>2014-2165</v>
      </c>
      <c r="C2710" s="2" t="s">
        <v>1346</v>
      </c>
      <c r="D2710" s="1" t="s">
        <v>1347</v>
      </c>
      <c r="E2710" s="3" t="str">
        <f>"2014/S 002-0021450"</f>
        <v>2014/S 002-0021450</v>
      </c>
      <c r="F2710" s="2" t="s">
        <v>23</v>
      </c>
      <c r="G2710" s="2" t="str">
        <f>CONCATENATE("ERSTE &amp; STEIERMÄRKISCHE S-LEASING D.O.O.,"," ZELINSKA 3,"," 10000 ZAGREB,"," OIB: 4655067166")</f>
        <v>ERSTE &amp; STEIERMÄRKISCHE S-LEASING D.O.O., ZELINSKA 3, 10000 ZAGREB, OIB: 4655067166</v>
      </c>
      <c r="H2710" s="4"/>
      <c r="I2710" s="1" t="s">
        <v>1348</v>
      </c>
      <c r="J2710" s="1" t="s">
        <v>1349</v>
      </c>
      <c r="K2710" s="6" t="str">
        <f>"2.015.756,48"</f>
        <v>2.015.756,48</v>
      </c>
      <c r="L2710" s="6" t="str">
        <f>"503.939,12"</f>
        <v>503.939,12</v>
      </c>
      <c r="M2710" s="6" t="str">
        <f>"2.519.695,60"</f>
        <v>2.519.695,60</v>
      </c>
      <c r="N2710" s="1" t="s">
        <v>117</v>
      </c>
      <c r="O2710" s="7"/>
      <c r="P2710" s="6" t="str">
        <f>""</f>
        <v/>
      </c>
      <c r="Q2710" s="7"/>
      <c r="R2710" s="20" t="s">
        <v>2391</v>
      </c>
      <c r="S2710" s="1" t="str">
        <f>"N-24/14"</f>
        <v>N-24/14</v>
      </c>
      <c r="T2710" s="2" t="s">
        <v>33</v>
      </c>
    </row>
    <row r="2711" spans="1:20" ht="63.75" x14ac:dyDescent="0.25">
      <c r="A2711" s="1">
        <v>2707</v>
      </c>
      <c r="B2711" s="1" t="str">
        <f>"2014-2184"</f>
        <v>2014-2184</v>
      </c>
      <c r="C2711" s="2" t="s">
        <v>1350</v>
      </c>
      <c r="D2711" s="1" t="s">
        <v>1351</v>
      </c>
      <c r="E2711" s="3" t="str">
        <f>"2014/S 002-0017861"</f>
        <v>2014/S 002-0017861</v>
      </c>
      <c r="F2711" s="2" t="s">
        <v>23</v>
      </c>
      <c r="G2711" s="2" t="str">
        <f>CONCATENATE("ERSTE &amp; STEIERMÄRKISCHE S-LEASING D.O.O.,"," ZELINSKA 3,"," 10000 ZAGREB,"," OIB: 4655067166")</f>
        <v>ERSTE &amp; STEIERMÄRKISCHE S-LEASING D.O.O., ZELINSKA 3, 10000 ZAGREB, OIB: 4655067166</v>
      </c>
      <c r="H2711" s="4"/>
      <c r="I2711" s="1" t="s">
        <v>1348</v>
      </c>
      <c r="J2711" s="1" t="s">
        <v>1349</v>
      </c>
      <c r="K2711" s="6" t="str">
        <f>"1.685.608,94"</f>
        <v>1.685.608,94</v>
      </c>
      <c r="L2711" s="6" t="str">
        <f>"421.402,24"</f>
        <v>421.402,24</v>
      </c>
      <c r="M2711" s="6" t="str">
        <f>"2.107.011,18"</f>
        <v>2.107.011,18</v>
      </c>
      <c r="N2711" s="5">
        <v>41976</v>
      </c>
      <c r="O2711" s="7"/>
      <c r="P2711" s="6" t="str">
        <f>"277.238,31"</f>
        <v>277.238,31</v>
      </c>
      <c r="Q2711" s="7"/>
      <c r="R2711" s="1"/>
      <c r="S2711" s="1" t="str">
        <f>"N-25/14"</f>
        <v>N-25/14</v>
      </c>
      <c r="T2711" s="2" t="s">
        <v>33</v>
      </c>
    </row>
    <row r="2712" spans="1:20" ht="51" x14ac:dyDescent="0.25">
      <c r="A2712" s="1">
        <v>2708</v>
      </c>
      <c r="B2712" s="1" t="str">
        <f>"2014-2178"</f>
        <v>2014-2178</v>
      </c>
      <c r="C2712" s="2" t="s">
        <v>1352</v>
      </c>
      <c r="D2712" s="1" t="s">
        <v>1351</v>
      </c>
      <c r="E2712" s="3" t="str">
        <f>"2014/S 002-0017762"</f>
        <v>2014/S 002-0017762</v>
      </c>
      <c r="F2712" s="2" t="s">
        <v>23</v>
      </c>
      <c r="G2712" s="2" t="str">
        <f>CONCATENATE("RAIFFEISEN LEASING D.O.O.,"," RADNIČKA CESTA 43,"," 10000 ZAGREB,"," OIB: 75346450537")</f>
        <v>RAIFFEISEN LEASING D.O.O., RADNIČKA CESTA 43, 10000 ZAGREB, OIB: 75346450537</v>
      </c>
      <c r="H2712" s="4"/>
      <c r="I2712" s="1" t="s">
        <v>1353</v>
      </c>
      <c r="J2712" s="1" t="s">
        <v>468</v>
      </c>
      <c r="K2712" s="6" t="str">
        <f>"25.962.386,72"</f>
        <v>25.962.386,72</v>
      </c>
      <c r="L2712" s="6" t="str">
        <f>"6.490.596,68"</f>
        <v>6.490.596,68</v>
      </c>
      <c r="M2712" s="6" t="str">
        <f>"32.452.983,40"</f>
        <v>32.452.983,40</v>
      </c>
      <c r="N2712" s="5">
        <v>41990</v>
      </c>
      <c r="O2712" s="7"/>
      <c r="P2712" s="6" t="str">
        <f>"32.452.983,40"</f>
        <v>32.452.983,40</v>
      </c>
      <c r="Q2712" s="7"/>
      <c r="R2712" s="1"/>
      <c r="S2712" s="1" t="str">
        <f>"N-39/14"</f>
        <v>N-39/14</v>
      </c>
      <c r="T2712" s="2" t="s">
        <v>33</v>
      </c>
    </row>
    <row r="2713" spans="1:20" ht="51" x14ac:dyDescent="0.25">
      <c r="A2713" s="1">
        <v>2709</v>
      </c>
      <c r="B2713" s="1" t="str">
        <f>"2014-2183"</f>
        <v>2014-2183</v>
      </c>
      <c r="C2713" s="2" t="s">
        <v>1354</v>
      </c>
      <c r="D2713" s="1" t="s">
        <v>1351</v>
      </c>
      <c r="E2713" s="3" t="str">
        <f>"2014/S-002-0017845"</f>
        <v>2014/S-002-0017845</v>
      </c>
      <c r="F2713" s="2" t="s">
        <v>23</v>
      </c>
      <c r="G2713" s="2" t="str">
        <f>CONCATENATE("ERSTE &amp; STEIERMÄRKISCHE S-LEASING D.O.O.,"," ZELINSKA 3,"," 10000 ZAGREB,"," OIB: 4655067166")</f>
        <v>ERSTE &amp; STEIERMÄRKISCHE S-LEASING D.O.O., ZELINSKA 3, 10000 ZAGREB, OIB: 4655067166</v>
      </c>
      <c r="H2713" s="4"/>
      <c r="I2713" s="1" t="s">
        <v>1355</v>
      </c>
      <c r="J2713" s="1" t="s">
        <v>1356</v>
      </c>
      <c r="K2713" s="6" t="str">
        <f>"1.912.744,29"</f>
        <v>1.912.744,29</v>
      </c>
      <c r="L2713" s="6" t="str">
        <f>"478.186,07"</f>
        <v>478.186,07</v>
      </c>
      <c r="M2713" s="6" t="str">
        <f>"2.390.930,36"</f>
        <v>2.390.930,36</v>
      </c>
      <c r="N2713" s="5">
        <v>42066</v>
      </c>
      <c r="O2713" s="7"/>
      <c r="P2713" s="6" t="str">
        <f>"2.390.930,36"</f>
        <v>2.390.930,36</v>
      </c>
      <c r="Q2713" s="7"/>
      <c r="R2713" s="1"/>
      <c r="S2713" s="1" t="str">
        <f>"N-45/14"</f>
        <v>N-45/14</v>
      </c>
      <c r="T2713" s="2" t="s">
        <v>33</v>
      </c>
    </row>
    <row r="2714" spans="1:20" ht="38.25" x14ac:dyDescent="0.25">
      <c r="A2714" s="1">
        <v>2710</v>
      </c>
      <c r="B2714" s="1" t="str">
        <f>"2014-2291"</f>
        <v>2014-2291</v>
      </c>
      <c r="C2714" s="2" t="s">
        <v>1357</v>
      </c>
      <c r="D2714" s="1" t="s">
        <v>1358</v>
      </c>
      <c r="E2714" s="3" t="str">
        <f>"2014/S-002-0026360"</f>
        <v>2014/S-002-0026360</v>
      </c>
      <c r="F2714" s="2" t="s">
        <v>23</v>
      </c>
      <c r="G2714" s="2" t="str">
        <f>CONCATENATE("ZAGREBAČKA BANKA D.D.,"," TRG BANA JOSIPA JELAČIĆA 10,"," 10000 ZAGREB,"," OIB: 92963223473")</f>
        <v>ZAGREBAČKA BANKA D.D., TRG BANA JOSIPA JELAČIĆA 10, 10000 ZAGREB, OIB: 92963223473</v>
      </c>
      <c r="H2714" s="4"/>
      <c r="I2714" s="1" t="s">
        <v>1359</v>
      </c>
      <c r="J2714" s="1" t="s">
        <v>805</v>
      </c>
      <c r="K2714" s="6" t="str">
        <f>"20.412.786,38"</f>
        <v>20.412.786,38</v>
      </c>
      <c r="L2714" s="6" t="str">
        <f>"5.103.196,60"</f>
        <v>5.103.196,60</v>
      </c>
      <c r="M2714" s="6" t="str">
        <f>"25.515.982,98"</f>
        <v>25.515.982,98</v>
      </c>
      <c r="N2714" s="1" t="s">
        <v>117</v>
      </c>
      <c r="O2714" s="7"/>
      <c r="P2714" s="6" t="str">
        <f>""</f>
        <v/>
      </c>
      <c r="Q2714" s="7"/>
      <c r="R2714" s="1"/>
      <c r="S2714" s="1" t="str">
        <f>"N-46-A/14"</f>
        <v>N-46-A/14</v>
      </c>
      <c r="T2714" s="2" t="s">
        <v>33</v>
      </c>
    </row>
    <row r="2715" spans="1:20" ht="38.25" x14ac:dyDescent="0.25">
      <c r="A2715" s="1">
        <v>2711</v>
      </c>
      <c r="B2715" s="1" t="str">
        <f>"2014-2291"</f>
        <v>2014-2291</v>
      </c>
      <c r="C2715" s="2" t="s">
        <v>1357</v>
      </c>
      <c r="D2715" s="1" t="s">
        <v>1358</v>
      </c>
      <c r="E2715" s="3" t="str">
        <f>"2014/S-002-0026360"</f>
        <v>2014/S-002-0026360</v>
      </c>
      <c r="F2715" s="2" t="s">
        <v>23</v>
      </c>
      <c r="G2715" s="2" t="str">
        <f>CONCATENATE("ERSTE&amp;STEIERMÄRKISCHE BANK D. D.,"," JADRANSKI TRG 3/A,"," 51000 RIJEKA,"," OIB: 2305703932")</f>
        <v>ERSTE&amp;STEIERMÄRKISCHE BANK D. D., JADRANSKI TRG 3/A, 51000 RIJEKA, OIB: 2305703932</v>
      </c>
      <c r="H2715" s="4"/>
      <c r="I2715" s="1" t="s">
        <v>1359</v>
      </c>
      <c r="J2715" s="1" t="s">
        <v>805</v>
      </c>
      <c r="K2715" s="6" t="str">
        <f>"19.141.786,58"</f>
        <v>19.141.786,58</v>
      </c>
      <c r="L2715" s="6" t="str">
        <f>"4.785.446,65"</f>
        <v>4.785.446,65</v>
      </c>
      <c r="M2715" s="6" t="str">
        <f>"23.927.233,23"</f>
        <v>23.927.233,23</v>
      </c>
      <c r="N2715" s="1" t="s">
        <v>117</v>
      </c>
      <c r="O2715" s="7"/>
      <c r="P2715" s="6" t="str">
        <f>""</f>
        <v/>
      </c>
      <c r="Q2715" s="7"/>
      <c r="R2715" s="1"/>
      <c r="S2715" s="1" t="str">
        <f>"N-46-B/14"</f>
        <v>N-46-B/14</v>
      </c>
      <c r="T2715" s="2" t="s">
        <v>33</v>
      </c>
    </row>
    <row r="2716" spans="1:20" ht="38.25" x14ac:dyDescent="0.25">
      <c r="A2716" s="1">
        <v>2712</v>
      </c>
      <c r="B2716" s="1" t="str">
        <f>"2014-2291"</f>
        <v>2014-2291</v>
      </c>
      <c r="C2716" s="2" t="s">
        <v>1357</v>
      </c>
      <c r="D2716" s="1" t="s">
        <v>1358</v>
      </c>
      <c r="E2716" s="3" t="str">
        <f>"2014/S-002-0026360"</f>
        <v>2014/S-002-0026360</v>
      </c>
      <c r="F2716" s="2" t="s">
        <v>23</v>
      </c>
      <c r="G2716" s="2" t="str">
        <f>CONCATENATE("ERSTE&amp;STEIERMÄRKISCHE BANK D. D.,"," JADRANSKI TRG 3/A,"," 51000 RIJEKA,"," OIB: 2305703932")</f>
        <v>ERSTE&amp;STEIERMÄRKISCHE BANK D. D., JADRANSKI TRG 3/A, 51000 RIJEKA, OIB: 2305703932</v>
      </c>
      <c r="H2716" s="4"/>
      <c r="I2716" s="1" t="s">
        <v>1359</v>
      </c>
      <c r="J2716" s="1" t="s">
        <v>805</v>
      </c>
      <c r="K2716" s="6" t="str">
        <f>"12.593.280,61"</f>
        <v>12.593.280,61</v>
      </c>
      <c r="L2716" s="6" t="str">
        <f>"3.148.320,15"</f>
        <v>3.148.320,15</v>
      </c>
      <c r="M2716" s="6" t="str">
        <f>"15.741.600,76"</f>
        <v>15.741.600,76</v>
      </c>
      <c r="N2716" s="1" t="s">
        <v>117</v>
      </c>
      <c r="O2716" s="7"/>
      <c r="P2716" s="6" t="str">
        <f>""</f>
        <v/>
      </c>
      <c r="Q2716" s="7"/>
      <c r="R2716" s="1"/>
      <c r="S2716" s="1" t="str">
        <f>"N-46-C/14"</f>
        <v>N-46-C/14</v>
      </c>
      <c r="T2716" s="2" t="s">
        <v>33</v>
      </c>
    </row>
    <row r="2717" spans="1:20" ht="51" x14ac:dyDescent="0.25">
      <c r="A2717" s="1">
        <v>2713</v>
      </c>
      <c r="B2717" s="1" t="str">
        <f>"2014-2182"</f>
        <v>2014-2182</v>
      </c>
      <c r="C2717" s="2" t="s">
        <v>1360</v>
      </c>
      <c r="D2717" s="1" t="s">
        <v>1351</v>
      </c>
      <c r="E2717" s="3" t="str">
        <f>"2014/S 002-0017997"</f>
        <v>2014/S 002-0017997</v>
      </c>
      <c r="F2717" s="2" t="s">
        <v>23</v>
      </c>
      <c r="G2717" s="2" t="str">
        <f>CONCATENATE("ERSTE &amp; STEIERMÄRKISCHE S-LEASING D.O.O.,"," ZELINSKA 3,"," 10000 ZAGREB,"," OIB: 4655067166")</f>
        <v>ERSTE &amp; STEIERMÄRKISCHE S-LEASING D.O.O., ZELINSKA 3, 10000 ZAGREB, OIB: 4655067166</v>
      </c>
      <c r="H2717" s="4"/>
      <c r="I2717" s="1" t="s">
        <v>1361</v>
      </c>
      <c r="J2717" s="1" t="s">
        <v>1362</v>
      </c>
      <c r="K2717" s="6" t="str">
        <f>"1.955.978,41"</f>
        <v>1.955.978,41</v>
      </c>
      <c r="L2717" s="6" t="str">
        <f>"488.994,60"</f>
        <v>488.994,60</v>
      </c>
      <c r="M2717" s="6" t="str">
        <f>"2.444.973,01"</f>
        <v>2.444.973,01</v>
      </c>
      <c r="N2717" s="5">
        <v>42041</v>
      </c>
      <c r="O2717" s="7"/>
      <c r="P2717" s="6" t="str">
        <f>"2.444.973,01"</f>
        <v>2.444.973,01</v>
      </c>
      <c r="Q2717" s="7"/>
      <c r="R2717" s="1"/>
      <c r="S2717" s="1" t="str">
        <f>"N-48/14"</f>
        <v>N-48/14</v>
      </c>
      <c r="T2717" s="2" t="s">
        <v>33</v>
      </c>
    </row>
    <row r="2718" spans="1:20" ht="51" x14ac:dyDescent="0.25">
      <c r="A2718" s="1">
        <v>2714</v>
      </c>
      <c r="B2718" s="1" t="str">
        <f>"2014-2181"</f>
        <v>2014-2181</v>
      </c>
      <c r="C2718" s="2" t="s">
        <v>1363</v>
      </c>
      <c r="D2718" s="1" t="s">
        <v>1351</v>
      </c>
      <c r="E2718" s="3" t="str">
        <f>"2014/S 002-0017853"</f>
        <v>2014/S 002-0017853</v>
      </c>
      <c r="F2718" s="2" t="s">
        <v>23</v>
      </c>
      <c r="G2718" s="2" t="str">
        <f>CONCATENATE("ERSTE &amp; STEIERMÄRKISCHE S-LEASING D.O.O.,"," ZELINSKA 3,"," 10000 ZAGREB,"," OIB: 4655067166")</f>
        <v>ERSTE &amp; STEIERMÄRKISCHE S-LEASING D.O.O., ZELINSKA 3, 10000 ZAGREB, OIB: 4655067166</v>
      </c>
      <c r="H2718" s="4"/>
      <c r="I2718" s="1" t="s">
        <v>1364</v>
      </c>
      <c r="J2718" s="1" t="s">
        <v>1365</v>
      </c>
      <c r="K2718" s="6" t="str">
        <f>"4.965.317,12"</f>
        <v>4.965.317,12</v>
      </c>
      <c r="L2718" s="6" t="str">
        <f>"1.241.329,28"</f>
        <v>1.241.329,28</v>
      </c>
      <c r="M2718" s="6" t="str">
        <f>"6.206.646,40"</f>
        <v>6.206.646,40</v>
      </c>
      <c r="N2718" s="5">
        <v>42055</v>
      </c>
      <c r="O2718" s="7"/>
      <c r="P2718" s="6" t="str">
        <f>"6.206.646,40"</f>
        <v>6.206.646,40</v>
      </c>
      <c r="Q2718" s="7"/>
      <c r="R2718" s="1"/>
      <c r="S2718" s="1" t="str">
        <f>"N-53/14"</f>
        <v>N-53/14</v>
      </c>
      <c r="T2718" s="2" t="s">
        <v>33</v>
      </c>
    </row>
    <row r="2719" spans="1:20" ht="51" x14ac:dyDescent="0.25">
      <c r="A2719" s="1">
        <v>2715</v>
      </c>
      <c r="B2719" s="1" t="str">
        <f>"2014-2180"</f>
        <v>2014-2180</v>
      </c>
      <c r="C2719" s="2" t="s">
        <v>1366</v>
      </c>
      <c r="D2719" s="1" t="s">
        <v>1351</v>
      </c>
      <c r="E2719" s="3" t="str">
        <f>"2014/S 002-0017805"</f>
        <v>2014/S 002-0017805</v>
      </c>
      <c r="F2719" s="2" t="s">
        <v>23</v>
      </c>
      <c r="G2719" s="2" t="str">
        <f>CONCATENATE("ERSTE &amp; STEIERMÄRKISCHE S-LEASING D.O.O.,"," ZELINSKA 3,"," 10000 ZAGREB,"," OIB: 4655067166")</f>
        <v>ERSTE &amp; STEIERMÄRKISCHE S-LEASING D.O.O., ZELINSKA 3, 10000 ZAGREB, OIB: 4655067166</v>
      </c>
      <c r="H2719" s="4"/>
      <c r="I2719" s="1" t="s">
        <v>1364</v>
      </c>
      <c r="J2719" s="1" t="s">
        <v>1365</v>
      </c>
      <c r="K2719" s="6" t="str">
        <f>"3.147.415,29"</f>
        <v>3.147.415,29</v>
      </c>
      <c r="L2719" s="6" t="str">
        <f>"786.853,82"</f>
        <v>786.853,82</v>
      </c>
      <c r="M2719" s="6" t="str">
        <f>"3.934.269,11"</f>
        <v>3.934.269,11</v>
      </c>
      <c r="N2719" s="5">
        <v>41997</v>
      </c>
      <c r="O2719" s="7"/>
      <c r="P2719" s="6" t="str">
        <f>"3.934.269,11"</f>
        <v>3.934.269,11</v>
      </c>
      <c r="Q2719" s="7"/>
      <c r="R2719" s="1"/>
      <c r="S2719" s="1" t="str">
        <f>"N-54/14"</f>
        <v>N-54/14</v>
      </c>
      <c r="T2719" s="2" t="s">
        <v>33</v>
      </c>
    </row>
    <row r="2720" spans="1:20" ht="51" x14ac:dyDescent="0.25">
      <c r="A2720" s="1">
        <v>2716</v>
      </c>
      <c r="B2720" s="1" t="str">
        <f>"2014-2179"</f>
        <v>2014-2179</v>
      </c>
      <c r="C2720" s="2" t="s">
        <v>1367</v>
      </c>
      <c r="D2720" s="1" t="s">
        <v>1351</v>
      </c>
      <c r="E2720" s="3" t="str">
        <f>"2014/S 002-0017826"</f>
        <v>2014/S 002-0017826</v>
      </c>
      <c r="F2720" s="2" t="s">
        <v>23</v>
      </c>
      <c r="G2720" s="2" t="str">
        <f>CONCATENATE("UNICREDIT LEASING CROATIA D.O.O.,"," HEINZELOVA 33,"," 10000 ZAGREB,"," OIB: 187361412")</f>
        <v>UNICREDIT LEASING CROATIA D.O.O., HEINZELOVA 33, 10000 ZAGREB, OIB: 187361412</v>
      </c>
      <c r="H2720" s="4"/>
      <c r="I2720" s="1" t="s">
        <v>1361</v>
      </c>
      <c r="J2720" s="1" t="s">
        <v>1368</v>
      </c>
      <c r="K2720" s="6" t="str">
        <f>"25.505.291,93"</f>
        <v>25.505.291,93</v>
      </c>
      <c r="L2720" s="6" t="str">
        <f>"6.376.322,98"</f>
        <v>6.376.322,98</v>
      </c>
      <c r="M2720" s="6" t="str">
        <f>"31.881.614,91"</f>
        <v>31.881.614,91</v>
      </c>
      <c r="N2720" s="5">
        <v>42020</v>
      </c>
      <c r="O2720" s="7"/>
      <c r="P2720" s="6" t="str">
        <f>"31.881.614,91"</f>
        <v>31.881.614,91</v>
      </c>
      <c r="Q2720" s="7"/>
      <c r="R2720" s="1"/>
      <c r="S2720" s="1" t="str">
        <f>"N-58/14"</f>
        <v>N-58/14</v>
      </c>
      <c r="T2720" s="2" t="s">
        <v>33</v>
      </c>
    </row>
    <row r="2721" spans="1:20" ht="38.25" x14ac:dyDescent="0.25">
      <c r="A2721" s="1">
        <v>2717</v>
      </c>
      <c r="B2721" s="1" t="str">
        <f>"2015-3"</f>
        <v>2015-3</v>
      </c>
      <c r="C2721" s="2" t="s">
        <v>1369</v>
      </c>
      <c r="D2721" s="1" t="s">
        <v>910</v>
      </c>
      <c r="E2721" s="3" t="str">
        <f>"2015/S 002-0001777"</f>
        <v>2015/S 002-0001777</v>
      </c>
      <c r="F2721" s="2" t="s">
        <v>23</v>
      </c>
      <c r="G2721" s="2" t="str">
        <f t="shared" ref="G2721:G2728" si="269">CONCATENATE("CE-ZA-R D.O.O.,"," JOSIPA LONČARA 15,"," 10090 ZAGREB,"," OIB: 03860945174")</f>
        <v>CE-ZA-R D.O.O., JOSIPA LONČARA 15, 10090 ZAGREB, OIB: 03860945174</v>
      </c>
      <c r="H2721" s="4"/>
      <c r="I2721" s="1" t="s">
        <v>1370</v>
      </c>
      <c r="J2721" s="1" t="s">
        <v>1371</v>
      </c>
      <c r="K2721" s="6" t="str">
        <f>"13.200.000,00"</f>
        <v>13.200.000,00</v>
      </c>
      <c r="L2721" s="6" t="str">
        <f>"3.300.000,00"</f>
        <v>3.300.000,00</v>
      </c>
      <c r="M2721" s="6" t="str">
        <f>"16.500.000,00"</f>
        <v>16.500.000,00</v>
      </c>
      <c r="N2721" s="5">
        <v>42613</v>
      </c>
      <c r="O2721" s="7"/>
      <c r="P2721" s="6" t="str">
        <f>"3.336.184,50"</f>
        <v>3.336.184,50</v>
      </c>
      <c r="Q2721" s="7"/>
      <c r="R2721" s="1"/>
      <c r="S2721" s="1" t="str">
        <f>"N-3/15"</f>
        <v>N-3/15</v>
      </c>
      <c r="T2721" s="2" t="s">
        <v>33</v>
      </c>
    </row>
    <row r="2722" spans="1:20" ht="38.25" x14ac:dyDescent="0.25">
      <c r="A2722" s="1">
        <v>2718</v>
      </c>
      <c r="B2722" s="1" t="str">
        <f>"2015-3"</f>
        <v>2015-3</v>
      </c>
      <c r="C2722" s="2" t="s">
        <v>1369</v>
      </c>
      <c r="D2722" s="1" t="s">
        <v>910</v>
      </c>
      <c r="E2722" s="3" t="str">
        <f>"2015/S 002-0001777"</f>
        <v>2015/S 002-0001777</v>
      </c>
      <c r="F2722" s="2" t="s">
        <v>1372</v>
      </c>
      <c r="G2722" s="2" t="str">
        <f t="shared" si="269"/>
        <v>CE-ZA-R D.O.O., JOSIPA LONČARA 15, 10090 ZAGREB, OIB: 03860945174</v>
      </c>
      <c r="H2722" s="4"/>
      <c r="I2722" s="1" t="s">
        <v>1373</v>
      </c>
      <c r="J2722" s="1" t="s">
        <v>1374</v>
      </c>
      <c r="K2722" s="6" t="str">
        <f>""</f>
        <v/>
      </c>
      <c r="L2722" s="6" t="str">
        <f t="shared" ref="L2722:M2724" si="270">"0,00"</f>
        <v>0,00</v>
      </c>
      <c r="M2722" s="6" t="str">
        <f t="shared" si="270"/>
        <v>0,00</v>
      </c>
      <c r="N2722" s="5">
        <v>42855</v>
      </c>
      <c r="O2722" s="7"/>
      <c r="P2722" s="6" t="str">
        <f>"1.649.628,75"</f>
        <v>1.649.628,75</v>
      </c>
      <c r="Q2722" s="7"/>
      <c r="R2722" s="1"/>
      <c r="S2722" s="1" t="str">
        <f>"N-3/15-1"</f>
        <v>N-3/15-1</v>
      </c>
      <c r="T2722" s="2" t="s">
        <v>33</v>
      </c>
    </row>
    <row r="2723" spans="1:20" ht="38.25" x14ac:dyDescent="0.25">
      <c r="A2723" s="1">
        <v>2719</v>
      </c>
      <c r="B2723" s="1" t="str">
        <f>"2015-3"</f>
        <v>2015-3</v>
      </c>
      <c r="C2723" s="2" t="s">
        <v>1369</v>
      </c>
      <c r="D2723" s="1" t="s">
        <v>910</v>
      </c>
      <c r="E2723" s="3" t="str">
        <f>"2015/S 002-0001777"</f>
        <v>2015/S 002-0001777</v>
      </c>
      <c r="F2723" s="2" t="s">
        <v>1372</v>
      </c>
      <c r="G2723" s="2" t="str">
        <f t="shared" si="269"/>
        <v>CE-ZA-R D.O.O., JOSIPA LONČARA 15, 10090 ZAGREB, OIB: 03860945174</v>
      </c>
      <c r="H2723" s="4"/>
      <c r="I2723" s="1" t="s">
        <v>1375</v>
      </c>
      <c r="J2723" s="1" t="s">
        <v>110</v>
      </c>
      <c r="K2723" s="6" t="str">
        <f>""</f>
        <v/>
      </c>
      <c r="L2723" s="6" t="str">
        <f t="shared" si="270"/>
        <v>0,00</v>
      </c>
      <c r="M2723" s="6" t="str">
        <f t="shared" si="270"/>
        <v>0,00</v>
      </c>
      <c r="N2723" s="5">
        <v>43553</v>
      </c>
      <c r="O2723" s="7"/>
      <c r="P2723" s="6" t="str">
        <f>"6.110.948,25"</f>
        <v>6.110.948,25</v>
      </c>
      <c r="Q2723" s="7"/>
      <c r="R2723" s="1"/>
      <c r="S2723" s="1" t="str">
        <f>"N-3/15-2"</f>
        <v>N-3/15-2</v>
      </c>
      <c r="T2723" s="2" t="s">
        <v>33</v>
      </c>
    </row>
    <row r="2724" spans="1:20" ht="38.25" x14ac:dyDescent="0.25">
      <c r="A2724" s="1">
        <v>2720</v>
      </c>
      <c r="B2724" s="1" t="str">
        <f>"2015-3"</f>
        <v>2015-3</v>
      </c>
      <c r="C2724" s="2" t="s">
        <v>1369</v>
      </c>
      <c r="D2724" s="1" t="s">
        <v>910</v>
      </c>
      <c r="E2724" s="3" t="str">
        <f>"2015/S 002-0001777"</f>
        <v>2015/S 002-0001777</v>
      </c>
      <c r="F2724" s="2" t="s">
        <v>1372</v>
      </c>
      <c r="G2724" s="2" t="str">
        <f t="shared" si="269"/>
        <v>CE-ZA-R D.O.O., JOSIPA LONČARA 15, 10090 ZAGREB, OIB: 03860945174</v>
      </c>
      <c r="H2724" s="4"/>
      <c r="I2724" s="1" t="s">
        <v>102</v>
      </c>
      <c r="J2724" s="1" t="s">
        <v>1376</v>
      </c>
      <c r="K2724" s="6" t="str">
        <f>""</f>
        <v/>
      </c>
      <c r="L2724" s="6" t="str">
        <f t="shared" si="270"/>
        <v>0,00</v>
      </c>
      <c r="M2724" s="6" t="str">
        <f t="shared" si="270"/>
        <v>0,00</v>
      </c>
      <c r="N2724" s="5">
        <v>43616</v>
      </c>
      <c r="O2724" s="7"/>
      <c r="P2724" s="6" t="str">
        <f>"1.666.186,50"</f>
        <v>1.666.186,50</v>
      </c>
      <c r="Q2724" s="7"/>
      <c r="R2724" s="1"/>
      <c r="S2724" s="1" t="str">
        <f>"N-3/15-3"</f>
        <v>N-3/15-3</v>
      </c>
      <c r="T2724" s="2" t="s">
        <v>33</v>
      </c>
    </row>
    <row r="2725" spans="1:20" ht="38.25" x14ac:dyDescent="0.25">
      <c r="A2725" s="1">
        <v>2721</v>
      </c>
      <c r="B2725" s="1" t="str">
        <f>"2015-7"</f>
        <v>2015-7</v>
      </c>
      <c r="C2725" s="2" t="s">
        <v>1377</v>
      </c>
      <c r="D2725" s="1" t="s">
        <v>910</v>
      </c>
      <c r="E2725" s="3" t="str">
        <f>"2015/S 002-0001780"</f>
        <v>2015/S 002-0001780</v>
      </c>
      <c r="F2725" s="2" t="s">
        <v>23</v>
      </c>
      <c r="G2725" s="2" t="str">
        <f t="shared" si="269"/>
        <v>CE-ZA-R D.O.O., JOSIPA LONČARA 15, 10090 ZAGREB, OIB: 03860945174</v>
      </c>
      <c r="H2725" s="4"/>
      <c r="I2725" s="1" t="s">
        <v>1378</v>
      </c>
      <c r="J2725" s="1" t="s">
        <v>1379</v>
      </c>
      <c r="K2725" s="6" t="str">
        <f>"2.107.500,00"</f>
        <v>2.107.500,00</v>
      </c>
      <c r="L2725" s="6" t="str">
        <f>"526.875,00"</f>
        <v>526.875,00</v>
      </c>
      <c r="M2725" s="6" t="str">
        <f>"2.634.375,00"</f>
        <v>2.634.375,00</v>
      </c>
      <c r="N2725" s="5">
        <v>42644</v>
      </c>
      <c r="O2725" s="7"/>
      <c r="P2725" s="6" t="str">
        <f>"125.171,45"</f>
        <v>125.171,45</v>
      </c>
      <c r="Q2725" s="7"/>
      <c r="R2725" s="1"/>
      <c r="S2725" s="1" t="str">
        <f>"N-6/15"</f>
        <v>N-6/15</v>
      </c>
      <c r="T2725" s="2" t="s">
        <v>33</v>
      </c>
    </row>
    <row r="2726" spans="1:20" ht="38.25" x14ac:dyDescent="0.25">
      <c r="A2726" s="1">
        <v>2722</v>
      </c>
      <c r="B2726" s="1" t="str">
        <f>"2015-7"</f>
        <v>2015-7</v>
      </c>
      <c r="C2726" s="2" t="s">
        <v>1377</v>
      </c>
      <c r="D2726" s="1" t="s">
        <v>910</v>
      </c>
      <c r="E2726" s="3" t="str">
        <f>"2015/S 002-0001780"</f>
        <v>2015/S 002-0001780</v>
      </c>
      <c r="F2726" s="2" t="s">
        <v>1372</v>
      </c>
      <c r="G2726" s="2" t="str">
        <f t="shared" si="269"/>
        <v>CE-ZA-R D.O.O., JOSIPA LONČARA 15, 10090 ZAGREB, OIB: 03860945174</v>
      </c>
      <c r="H2726" s="4"/>
      <c r="I2726" s="1" t="s">
        <v>1379</v>
      </c>
      <c r="J2726" s="1" t="s">
        <v>354</v>
      </c>
      <c r="K2726" s="6" t="str">
        <f>""</f>
        <v/>
      </c>
      <c r="L2726" s="6" t="str">
        <f t="shared" ref="L2726:M2728" si="271">"0,00"</f>
        <v>0,00</v>
      </c>
      <c r="M2726" s="6" t="str">
        <f t="shared" si="271"/>
        <v>0,00</v>
      </c>
      <c r="N2726" s="5">
        <v>42947</v>
      </c>
      <c r="O2726" s="7"/>
      <c r="P2726" s="6" t="str">
        <f>"84.300,00"</f>
        <v>84.300,00</v>
      </c>
      <c r="Q2726" s="7"/>
      <c r="R2726" s="1"/>
      <c r="S2726" s="1" t="str">
        <f>"N-6/15-1"</f>
        <v>N-6/15-1</v>
      </c>
      <c r="T2726" s="2" t="s">
        <v>33</v>
      </c>
    </row>
    <row r="2727" spans="1:20" ht="38.25" x14ac:dyDescent="0.25">
      <c r="A2727" s="1">
        <v>2723</v>
      </c>
      <c r="B2727" s="1" t="str">
        <f>"2015-7"</f>
        <v>2015-7</v>
      </c>
      <c r="C2727" s="2" t="s">
        <v>1377</v>
      </c>
      <c r="D2727" s="1" t="s">
        <v>910</v>
      </c>
      <c r="E2727" s="3" t="str">
        <f>"2015/S 002-0001780"</f>
        <v>2015/S 002-0001780</v>
      </c>
      <c r="F2727" s="2" t="s">
        <v>1372</v>
      </c>
      <c r="G2727" s="2" t="str">
        <f t="shared" si="269"/>
        <v>CE-ZA-R D.O.O., JOSIPA LONČARA 15, 10090 ZAGREB, OIB: 03860945174</v>
      </c>
      <c r="H2727" s="4"/>
      <c r="I2727" s="1" t="s">
        <v>1375</v>
      </c>
      <c r="J2727" s="1" t="s">
        <v>945</v>
      </c>
      <c r="K2727" s="6" t="str">
        <f>""</f>
        <v/>
      </c>
      <c r="L2727" s="6" t="str">
        <f t="shared" si="271"/>
        <v>0,00</v>
      </c>
      <c r="M2727" s="6" t="str">
        <f t="shared" si="271"/>
        <v>0,00</v>
      </c>
      <c r="N2727" s="5">
        <v>43434</v>
      </c>
      <c r="O2727" s="7"/>
      <c r="P2727" s="6" t="str">
        <f>"183.113,65"</f>
        <v>183.113,65</v>
      </c>
      <c r="Q2727" s="7"/>
      <c r="R2727" s="1"/>
      <c r="S2727" s="1" t="str">
        <f>"N-6/15-2"</f>
        <v>N-6/15-2</v>
      </c>
      <c r="T2727" s="2" t="s">
        <v>33</v>
      </c>
    </row>
    <row r="2728" spans="1:20" ht="38.25" x14ac:dyDescent="0.25">
      <c r="A2728" s="1">
        <v>2724</v>
      </c>
      <c r="B2728" s="1" t="str">
        <f>"2015-7"</f>
        <v>2015-7</v>
      </c>
      <c r="C2728" s="2" t="s">
        <v>1377</v>
      </c>
      <c r="D2728" s="1" t="s">
        <v>910</v>
      </c>
      <c r="E2728" s="3" t="str">
        <f>"2015/S 002-0001780"</f>
        <v>2015/S 002-0001780</v>
      </c>
      <c r="F2728" s="2" t="s">
        <v>1372</v>
      </c>
      <c r="G2728" s="2" t="str">
        <f t="shared" si="269"/>
        <v>CE-ZA-R D.O.O., JOSIPA LONČARA 15, 10090 ZAGREB, OIB: 03860945174</v>
      </c>
      <c r="H2728" s="4"/>
      <c r="I2728" s="1" t="s">
        <v>102</v>
      </c>
      <c r="J2728" s="1" t="s">
        <v>355</v>
      </c>
      <c r="K2728" s="6" t="str">
        <f>""</f>
        <v/>
      </c>
      <c r="L2728" s="6" t="str">
        <f t="shared" si="271"/>
        <v>0,00</v>
      </c>
      <c r="M2728" s="6" t="str">
        <f t="shared" si="271"/>
        <v>0,00</v>
      </c>
      <c r="N2728" s="5">
        <v>43616</v>
      </c>
      <c r="O2728" s="7"/>
      <c r="P2728" s="6" t="str">
        <f>"1.026.001,25"</f>
        <v>1.026.001,25</v>
      </c>
      <c r="Q2728" s="7"/>
      <c r="R2728" s="1"/>
      <c r="S2728" s="1" t="str">
        <f>"N-6/15-3"</f>
        <v>N-6/15-3</v>
      </c>
      <c r="T2728" s="2" t="s">
        <v>33</v>
      </c>
    </row>
    <row r="2729" spans="1:20" ht="63.75" x14ac:dyDescent="0.25">
      <c r="A2729" s="1">
        <v>2725</v>
      </c>
      <c r="B2729" s="1" t="str">
        <f>"2015-2567"</f>
        <v>2015-2567</v>
      </c>
      <c r="C2729" s="2" t="s">
        <v>1380</v>
      </c>
      <c r="D2729" s="1" t="s">
        <v>1325</v>
      </c>
      <c r="E2729" s="3" t="str">
        <f>""</f>
        <v/>
      </c>
      <c r="F2729" s="2" t="s">
        <v>1088</v>
      </c>
      <c r="G2729" s="2" t="str">
        <f>CONCATENATE("INSTITUT IGH D.D.,"," JANKA RAKUŠE 1,"," 10000 ZAGREB,"," OIB: 79766124714")</f>
        <v>INSTITUT IGH D.D., JANKA RAKUŠE 1, 10000 ZAGREB, OIB: 79766124714</v>
      </c>
      <c r="H2729" s="4"/>
      <c r="I2729" s="1" t="s">
        <v>1381</v>
      </c>
      <c r="J2729" s="1" t="s">
        <v>53</v>
      </c>
      <c r="K2729" s="6" t="str">
        <f>"499.680,00"</f>
        <v>499.680,00</v>
      </c>
      <c r="L2729" s="6" t="str">
        <f>"124.920,00"</f>
        <v>124.920,00</v>
      </c>
      <c r="M2729" s="6" t="str">
        <f>"624.600,00"</f>
        <v>624.600,00</v>
      </c>
      <c r="N2729" s="5">
        <v>43553</v>
      </c>
      <c r="O2729" s="7"/>
      <c r="P2729" s="6" t="str">
        <f>"572.983,75"</f>
        <v>572.983,75</v>
      </c>
      <c r="Q2729" s="7"/>
      <c r="R2729" s="1"/>
      <c r="S2729" s="1" t="str">
        <f>"N-49/15"</f>
        <v>N-49/15</v>
      </c>
      <c r="T2729" s="2" t="s">
        <v>33</v>
      </c>
    </row>
    <row r="2730" spans="1:20" ht="51" x14ac:dyDescent="0.25">
      <c r="A2730" s="1">
        <v>2726</v>
      </c>
      <c r="B2730" s="1" t="str">
        <f>"2015-2567"</f>
        <v>2015-2567</v>
      </c>
      <c r="C2730" s="2" t="s">
        <v>1382</v>
      </c>
      <c r="D2730" s="1" t="s">
        <v>1325</v>
      </c>
      <c r="E2730" s="3" t="str">
        <f>""</f>
        <v/>
      </c>
      <c r="F2730" s="2" t="s">
        <v>1372</v>
      </c>
      <c r="G2730" s="2" t="str">
        <f>CONCATENATE("INSTITUT IGH D.D.,"," JANKA RAKUŠE 1,"," 10000 ZAGREB,"," OIB: 79766124714")</f>
        <v>INSTITUT IGH D.D., JANKA RAKUŠE 1, 10000 ZAGREB, OIB: 79766124714</v>
      </c>
      <c r="H2730" s="4"/>
      <c r="I2730" s="1" t="s">
        <v>43</v>
      </c>
      <c r="J2730" s="1" t="s">
        <v>42</v>
      </c>
      <c r="K2730" s="6" t="str">
        <f>""</f>
        <v/>
      </c>
      <c r="L2730" s="6" t="str">
        <f>"0,00"</f>
        <v>0,00</v>
      </c>
      <c r="M2730" s="6" t="str">
        <f>"0,00"</f>
        <v>0,00</v>
      </c>
      <c r="N2730" s="5">
        <v>43585</v>
      </c>
      <c r="O2730" s="7"/>
      <c r="P2730" s="6" t="str">
        <f>"98.461,25"</f>
        <v>98.461,25</v>
      </c>
      <c r="Q2730" s="7"/>
      <c r="R2730" s="1"/>
      <c r="S2730" s="1" t="str">
        <f>"N-49/15-1"</f>
        <v>N-49/15-1</v>
      </c>
      <c r="T2730" s="2" t="s">
        <v>33</v>
      </c>
    </row>
    <row r="2731" spans="1:20" ht="63.75" x14ac:dyDescent="0.25">
      <c r="A2731" s="1">
        <v>2727</v>
      </c>
      <c r="B2731" s="1" t="str">
        <f>"2015-2567"</f>
        <v>2015-2567</v>
      </c>
      <c r="C2731" s="2" t="s">
        <v>1380</v>
      </c>
      <c r="D2731" s="1" t="s">
        <v>1325</v>
      </c>
      <c r="E2731" s="3" t="str">
        <f>""</f>
        <v/>
      </c>
      <c r="F2731" s="2" t="s">
        <v>1372</v>
      </c>
      <c r="G2731" s="2" t="str">
        <f>CONCATENATE("INSTITUT IGH D.D.,"," JANKA RAKUŠE 1,"," 10000 ZAGREB,"," OIB: 79766124714")</f>
        <v>INSTITUT IGH D.D., JANKA RAKUŠE 1, 10000 ZAGREB, OIB: 79766124714</v>
      </c>
      <c r="H2731" s="4"/>
      <c r="I2731" s="1" t="s">
        <v>322</v>
      </c>
      <c r="J2731" s="1" t="s">
        <v>64</v>
      </c>
      <c r="K2731" s="6" t="str">
        <f>""</f>
        <v/>
      </c>
      <c r="L2731" s="6" t="str">
        <f>"0,00"</f>
        <v>0,00</v>
      </c>
      <c r="M2731" s="6" t="str">
        <f>"0,00"</f>
        <v>0,00</v>
      </c>
      <c r="N2731" s="1" t="s">
        <v>117</v>
      </c>
      <c r="O2731" s="7"/>
      <c r="P2731" s="6" t="str">
        <f>""</f>
        <v/>
      </c>
      <c r="Q2731" s="7"/>
      <c r="R2731" s="1"/>
      <c r="S2731" s="1" t="str">
        <f>"N-49/15-2"</f>
        <v>N-49/15-2</v>
      </c>
      <c r="T2731" s="2" t="s">
        <v>33</v>
      </c>
    </row>
    <row r="2732" spans="1:20" ht="76.5" x14ac:dyDescent="0.25">
      <c r="A2732" s="1">
        <v>2728</v>
      </c>
      <c r="B2732" s="1" t="str">
        <f>"2015-2568"</f>
        <v>2015-2568</v>
      </c>
      <c r="C2732" s="2" t="s">
        <v>1383</v>
      </c>
      <c r="D2732" s="1" t="s">
        <v>1384</v>
      </c>
      <c r="E2732" s="3" t="str">
        <f>"2015/S 002-0039387"</f>
        <v>2015/S 002-0039387</v>
      </c>
      <c r="F2732" s="2" t="s">
        <v>23</v>
      </c>
      <c r="G2732" s="2" t="str">
        <f>CONCATENATE("INSTITUT IGH D.D.,"," JANKA RAKUŠE 1,"," 10000 ZAGREB,"," OIB: 79766124714")</f>
        <v>INSTITUT IGH D.D., JANKA RAKUŠE 1, 10000 ZAGREB, OIB: 79766124714</v>
      </c>
      <c r="H2732" s="4"/>
      <c r="I2732" s="1" t="s">
        <v>1385</v>
      </c>
      <c r="J2732" s="1" t="s">
        <v>53</v>
      </c>
      <c r="K2732" s="6" t="str">
        <f>"477.000,00"</f>
        <v>477.000,00</v>
      </c>
      <c r="L2732" s="6" t="str">
        <f>"119.250,00"</f>
        <v>119.250,00</v>
      </c>
      <c r="M2732" s="6" t="str">
        <f>"596.250,00"</f>
        <v>596.250,00</v>
      </c>
      <c r="N2732" s="5">
        <v>43616</v>
      </c>
      <c r="O2732" s="7"/>
      <c r="P2732" s="6" t="str">
        <f>"481.539,31"</f>
        <v>481.539,31</v>
      </c>
      <c r="Q2732" s="7"/>
      <c r="R2732" s="1"/>
      <c r="S2732" s="1" t="str">
        <f>"N-54/15"</f>
        <v>N-54/15</v>
      </c>
      <c r="T2732" s="2" t="s">
        <v>33</v>
      </c>
    </row>
    <row r="2733" spans="1:20" ht="76.5" x14ac:dyDescent="0.25">
      <c r="A2733" s="1">
        <v>2729</v>
      </c>
      <c r="B2733" s="1" t="str">
        <f>"2015-2568"</f>
        <v>2015-2568</v>
      </c>
      <c r="C2733" s="2" t="s">
        <v>1383</v>
      </c>
      <c r="D2733" s="1" t="s">
        <v>1384</v>
      </c>
      <c r="E2733" s="3" t="str">
        <f>"2015/S 002-0039387"</f>
        <v>2015/S 002-0039387</v>
      </c>
      <c r="F2733" s="2" t="s">
        <v>1372</v>
      </c>
      <c r="G2733" s="2" t="str">
        <f>CONCATENATE("INSTITUT IGH D.D.,"," JANKA RAKUŠE 1,"," 10000 ZAGREB,"," OIB: 79766124714")</f>
        <v>INSTITUT IGH D.D., JANKA RAKUŠE 1, 10000 ZAGREB, OIB: 79766124714</v>
      </c>
      <c r="H2733" s="4"/>
      <c r="I2733" s="1" t="s">
        <v>172</v>
      </c>
      <c r="J2733" s="1" t="s">
        <v>1386</v>
      </c>
      <c r="K2733" s="6" t="str">
        <f>""</f>
        <v/>
      </c>
      <c r="L2733" s="6" t="str">
        <f>"0,00"</f>
        <v>0,00</v>
      </c>
      <c r="M2733" s="6" t="str">
        <f>"0,00"</f>
        <v>0,00</v>
      </c>
      <c r="N2733" s="5">
        <v>43629</v>
      </c>
      <c r="O2733" s="7"/>
      <c r="P2733" s="6" t="str">
        <f>"32.550,00"</f>
        <v>32.550,00</v>
      </c>
      <c r="Q2733" s="7"/>
      <c r="R2733" s="1"/>
      <c r="S2733" s="1" t="str">
        <f>"N-54/15-2"</f>
        <v>N-54/15-2</v>
      </c>
      <c r="T2733" s="2" t="s">
        <v>33</v>
      </c>
    </row>
    <row r="2734" spans="1:20" ht="38.25" x14ac:dyDescent="0.25">
      <c r="A2734" s="1">
        <v>2730</v>
      </c>
      <c r="B2734" s="1" t="str">
        <f>"2015-2006"</f>
        <v>2015-2006</v>
      </c>
      <c r="C2734" s="2" t="s">
        <v>1387</v>
      </c>
      <c r="D2734" s="1" t="s">
        <v>1325</v>
      </c>
      <c r="E2734" s="3" t="str">
        <f>"2015/S 002-0039671"</f>
        <v>2015/S 002-0039671</v>
      </c>
      <c r="F2734" s="2" t="s">
        <v>23</v>
      </c>
      <c r="G2734" s="2" t="str">
        <f>CONCATENATE("JURCON PROJEKT D.O.O.,"," GOTALOVEČKA 4/A,"," 10000 ZAGREB,"," OIB: 55345087244")</f>
        <v>JURCON PROJEKT D.O.O., GOTALOVEČKA 4/A, 10000 ZAGREB, OIB: 55345087244</v>
      </c>
      <c r="H2734" s="1" t="str">
        <f>CONCATENATE("GEOMETAR D.O.O.,"," OIB: 13543444462")</f>
        <v>GEOMETAR D.O.O., OIB: 13543444462</v>
      </c>
      <c r="I2734" s="1" t="s">
        <v>1388</v>
      </c>
      <c r="J2734" s="1" t="s">
        <v>1389</v>
      </c>
      <c r="K2734" s="6" t="str">
        <f>"116.800,00"</f>
        <v>116.800,00</v>
      </c>
      <c r="L2734" s="6" t="str">
        <f>"29.200,00"</f>
        <v>29.200,00</v>
      </c>
      <c r="M2734" s="6" t="str">
        <f>"146.000,00"</f>
        <v>146.000,00</v>
      </c>
      <c r="N2734" s="1" t="s">
        <v>117</v>
      </c>
      <c r="O2734" s="7"/>
      <c r="P2734" s="6" t="str">
        <f>""</f>
        <v/>
      </c>
      <c r="Q2734" s="7"/>
      <c r="R2734" s="1"/>
      <c r="S2734" s="1" t="str">
        <f>"N-71/15"</f>
        <v>N-71/15</v>
      </c>
      <c r="T2734" s="2" t="s">
        <v>29</v>
      </c>
    </row>
    <row r="2735" spans="1:20" ht="38.25" x14ac:dyDescent="0.25">
      <c r="A2735" s="1">
        <v>2731</v>
      </c>
      <c r="B2735" s="1" t="str">
        <f>"2015-2006"</f>
        <v>2015-2006</v>
      </c>
      <c r="C2735" s="2" t="s">
        <v>1387</v>
      </c>
      <c r="D2735" s="1" t="s">
        <v>1325</v>
      </c>
      <c r="E2735" s="3" t="str">
        <f>"2015/S 002-0039671"</f>
        <v>2015/S 002-0039671</v>
      </c>
      <c r="F2735" s="2" t="s">
        <v>1372</v>
      </c>
      <c r="G2735" s="2" t="str">
        <f>CONCATENATE("JURCON PROJEKT D.O.O.,"," GOTALOVEČKA 4/A,"," 10000 ZAGREB,"," OIB: 55345087244")</f>
        <v>JURCON PROJEKT D.O.O., GOTALOVEČKA 4/A, 10000 ZAGREB, OIB: 55345087244</v>
      </c>
      <c r="H2735" s="1" t="str">
        <f>CONCATENATE("GEOMETAR D.O.O.,"," OIB: 13543444462")</f>
        <v>GEOMETAR D.O.O., OIB: 13543444462</v>
      </c>
      <c r="I2735" s="1" t="s">
        <v>529</v>
      </c>
      <c r="J2735" s="1" t="s">
        <v>53</v>
      </c>
      <c r="K2735" s="6" t="str">
        <f>""</f>
        <v/>
      </c>
      <c r="L2735" s="6" t="str">
        <f>"0,00"</f>
        <v>0,00</v>
      </c>
      <c r="M2735" s="6" t="str">
        <f>"0,00"</f>
        <v>0,00</v>
      </c>
      <c r="N2735" s="1" t="s">
        <v>117</v>
      </c>
      <c r="O2735" s="7"/>
      <c r="P2735" s="6" t="str">
        <f>""</f>
        <v/>
      </c>
      <c r="Q2735" s="7"/>
      <c r="R2735" s="1"/>
      <c r="S2735" s="1" t="str">
        <f>"N-71/15-1"</f>
        <v>N-71/15-1</v>
      </c>
      <c r="T2735" s="2" t="s">
        <v>29</v>
      </c>
    </row>
    <row r="2736" spans="1:20" ht="38.25" x14ac:dyDescent="0.25">
      <c r="A2736" s="1">
        <v>2732</v>
      </c>
      <c r="B2736" s="1" t="str">
        <f>"2015-2006"</f>
        <v>2015-2006</v>
      </c>
      <c r="C2736" s="2" t="s">
        <v>1387</v>
      </c>
      <c r="D2736" s="1" t="s">
        <v>1325</v>
      </c>
      <c r="E2736" s="3" t="str">
        <f>"2015/S 002-0039671"</f>
        <v>2015/S 002-0039671</v>
      </c>
      <c r="F2736" s="2" t="s">
        <v>1372</v>
      </c>
      <c r="G2736" s="2" t="str">
        <f>CONCATENATE("JURCON PROJEKT D.O.O.,"," GOTALOVEČKA 4/A,"," 10000 ZAGREB,"," OIB: 55345087244")</f>
        <v>JURCON PROJEKT D.O.O., GOTALOVEČKA 4/A, 10000 ZAGREB, OIB: 55345087244</v>
      </c>
      <c r="H2736" s="1" t="str">
        <f>CONCATENATE("GEOMETAR D.O.O.,"," OIB: 13543444462")</f>
        <v>GEOMETAR D.O.O., OIB: 13543444462</v>
      </c>
      <c r="I2736" s="1" t="s">
        <v>641</v>
      </c>
      <c r="J2736" s="1" t="s">
        <v>1390</v>
      </c>
      <c r="K2736" s="6" t="str">
        <f>""</f>
        <v/>
      </c>
      <c r="L2736" s="6" t="str">
        <f>"0,00"</f>
        <v>0,00</v>
      </c>
      <c r="M2736" s="6" t="str">
        <f>"0,00"</f>
        <v>0,00</v>
      </c>
      <c r="N2736" s="1" t="s">
        <v>117</v>
      </c>
      <c r="O2736" s="7"/>
      <c r="P2736" s="6" t="str">
        <f>""</f>
        <v/>
      </c>
      <c r="Q2736" s="7"/>
      <c r="R2736" s="1"/>
      <c r="S2736" s="1" t="str">
        <f>"N-71/15-2"</f>
        <v>N-71/15-2</v>
      </c>
      <c r="T2736" s="2" t="s">
        <v>29</v>
      </c>
    </row>
    <row r="2737" spans="1:20" ht="38.25" x14ac:dyDescent="0.25">
      <c r="A2737" s="1">
        <v>2733</v>
      </c>
      <c r="B2737" s="1" t="str">
        <f>"2015-604"</f>
        <v>2015-604</v>
      </c>
      <c r="C2737" s="2" t="s">
        <v>1391</v>
      </c>
      <c r="D2737" s="1" t="s">
        <v>1351</v>
      </c>
      <c r="E2737" s="3" t="str">
        <f>"2015/S 002-0039692"</f>
        <v>2015/S 002-0039692</v>
      </c>
      <c r="F2737" s="2" t="s">
        <v>23</v>
      </c>
      <c r="G2737" s="2" t="str">
        <f>CONCATENATE("BKS - LEASING CROATIA D.O.O.,"," IVANA LUČIĆA 2/A,"," 10000 ZAGREB,"," OIB: 52277663197")</f>
        <v>BKS - LEASING CROATIA D.O.O., IVANA LUČIĆA 2/A, 10000 ZAGREB, OIB: 52277663197</v>
      </c>
      <c r="H2737" s="4"/>
      <c r="I2737" s="1" t="s">
        <v>1392</v>
      </c>
      <c r="J2737" s="1" t="s">
        <v>1393</v>
      </c>
      <c r="K2737" s="6" t="str">
        <f>"200.834,64"</f>
        <v>200.834,64</v>
      </c>
      <c r="L2737" s="6" t="str">
        <f>"50.208,66"</f>
        <v>50.208,66</v>
      </c>
      <c r="M2737" s="6" t="str">
        <f>"251.043,30"</f>
        <v>251.043,30</v>
      </c>
      <c r="N2737" s="5">
        <v>43192</v>
      </c>
      <c r="O2737" s="7"/>
      <c r="P2737" s="6" t="str">
        <f>"77.833,58"</f>
        <v>77.833,58</v>
      </c>
      <c r="Q2737" s="7"/>
      <c r="R2737" s="1"/>
      <c r="S2737" s="1" t="str">
        <f>"N-88-A/15"</f>
        <v>N-88-A/15</v>
      </c>
      <c r="T2737" s="2" t="s">
        <v>29</v>
      </c>
    </row>
    <row r="2738" spans="1:20" ht="38.25" x14ac:dyDescent="0.25">
      <c r="A2738" s="1">
        <v>2734</v>
      </c>
      <c r="B2738" s="1" t="str">
        <f>"2015-604"</f>
        <v>2015-604</v>
      </c>
      <c r="C2738" s="2" t="s">
        <v>1391</v>
      </c>
      <c r="D2738" s="1" t="s">
        <v>1351</v>
      </c>
      <c r="E2738" s="3" t="str">
        <f>"2015/S 002-0039692"</f>
        <v>2015/S 002-0039692</v>
      </c>
      <c r="F2738" s="2" t="s">
        <v>23</v>
      </c>
      <c r="G2738" s="2" t="str">
        <f>CONCATENATE("BKS - LEASING CROATIA D.O.O.,"," IVANA LUČIĆA 2/A,"," 10000 ZAGREB,"," OIB: 52277663197")</f>
        <v>BKS - LEASING CROATIA D.O.O., IVANA LUČIĆA 2/A, 10000 ZAGREB, OIB: 52277663197</v>
      </c>
      <c r="H2738" s="4"/>
      <c r="I2738" s="1" t="s">
        <v>541</v>
      </c>
      <c r="J2738" s="1" t="s">
        <v>1394</v>
      </c>
      <c r="K2738" s="6" t="str">
        <f>"7.598.442,60"</f>
        <v>7.598.442,60</v>
      </c>
      <c r="L2738" s="6" t="str">
        <f>"1.899.610,65"</f>
        <v>1.899.610,65</v>
      </c>
      <c r="M2738" s="6" t="str">
        <f>"9.498.053,25"</f>
        <v>9.498.053,25</v>
      </c>
      <c r="N2738" s="1" t="s">
        <v>117</v>
      </c>
      <c r="O2738" s="7"/>
      <c r="P2738" s="6" t="str">
        <f>""</f>
        <v/>
      </c>
      <c r="Q2738" s="7"/>
      <c r="R2738" s="1"/>
      <c r="S2738" s="1" t="str">
        <f>"N-88-B/15"</f>
        <v>N-88-B/15</v>
      </c>
      <c r="T2738" s="2" t="s">
        <v>29</v>
      </c>
    </row>
    <row r="2739" spans="1:20" ht="38.25" x14ac:dyDescent="0.25">
      <c r="A2739" s="1">
        <v>2735</v>
      </c>
      <c r="B2739" s="1" t="str">
        <f>"2015-604"</f>
        <v>2015-604</v>
      </c>
      <c r="C2739" s="2" t="s">
        <v>1391</v>
      </c>
      <c r="D2739" s="1" t="s">
        <v>1351</v>
      </c>
      <c r="E2739" s="3" t="str">
        <f>"2015/S 002-0039692"</f>
        <v>2015/S 002-0039692</v>
      </c>
      <c r="F2739" s="2" t="s">
        <v>23</v>
      </c>
      <c r="G2739" s="2" t="str">
        <f>CONCATENATE("UNICREDIT LEASING CROATIA D.O.O.,"," HEINZELOVA 33,"," 10000 ZAGREB,"," OIB: 187361412")</f>
        <v>UNICREDIT LEASING CROATIA D.O.O., HEINZELOVA 33, 10000 ZAGREB, OIB: 187361412</v>
      </c>
      <c r="H2739" s="4"/>
      <c r="I2739" s="1" t="s">
        <v>1395</v>
      </c>
      <c r="J2739" s="1" t="s">
        <v>1396</v>
      </c>
      <c r="K2739" s="6" t="str">
        <f>"696.687,12"</f>
        <v>696.687,12</v>
      </c>
      <c r="L2739" s="6" t="str">
        <f>"174.171,78"</f>
        <v>174.171,78</v>
      </c>
      <c r="M2739" s="6" t="str">
        <f>"870.858,90"</f>
        <v>870.858,90</v>
      </c>
      <c r="N2739" s="1" t="s">
        <v>117</v>
      </c>
      <c r="O2739" s="7"/>
      <c r="P2739" s="6" t="str">
        <f>""</f>
        <v/>
      </c>
      <c r="Q2739" s="7"/>
      <c r="R2739" s="1"/>
      <c r="S2739" s="1" t="str">
        <f>"N-88-C/15"</f>
        <v>N-88-C/15</v>
      </c>
      <c r="T2739" s="2" t="s">
        <v>29</v>
      </c>
    </row>
    <row r="2740" spans="1:20" ht="165.75" x14ac:dyDescent="0.25">
      <c r="A2740" s="1">
        <v>2736</v>
      </c>
      <c r="B2740" s="1" t="str">
        <f>"2015-2001"</f>
        <v>2015-2001</v>
      </c>
      <c r="C2740" s="2" t="s">
        <v>1397</v>
      </c>
      <c r="D2740" s="1" t="s">
        <v>922</v>
      </c>
      <c r="E2740" s="3" t="str">
        <f>"2016/S 002-0000130"</f>
        <v>2016/S 002-0000130</v>
      </c>
      <c r="F2740" s="2" t="s">
        <v>23</v>
      </c>
      <c r="G2740" s="2" t="str">
        <f>CONCATENATE("PALIR D.O.O.,"," DANE DUIĆA 3,"," 10000 ZAGREB,"," OIB: 19383246503")</f>
        <v>PALIR D.O.O., DANE DUIĆA 3, 10000 ZAGREB, OIB: 19383246503</v>
      </c>
      <c r="H2740" s="1"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I2740" s="1" t="s">
        <v>1398</v>
      </c>
      <c r="J2740" s="1" t="s">
        <v>1399</v>
      </c>
      <c r="K2740" s="6" t="str">
        <f>"10.784.072,28"</f>
        <v>10.784.072,28</v>
      </c>
      <c r="L2740" s="6" t="str">
        <f>"2.696.018,07"</f>
        <v>2.696.018,07</v>
      </c>
      <c r="M2740" s="6" t="str">
        <f>"13.480.090,35"</f>
        <v>13.480.090,35</v>
      </c>
      <c r="N2740" s="1" t="s">
        <v>117</v>
      </c>
      <c r="O2740" s="7"/>
      <c r="P2740" s="6" t="str">
        <f>""</f>
        <v/>
      </c>
      <c r="Q2740" s="7"/>
      <c r="R2740" s="1"/>
      <c r="S2740" s="1" t="str">
        <f>"N-89/15"</f>
        <v>N-89/15</v>
      </c>
      <c r="T2740" s="2" t="s">
        <v>29</v>
      </c>
    </row>
    <row r="2741" spans="1:20" ht="165.75" x14ac:dyDescent="0.25">
      <c r="A2741" s="1">
        <v>2737</v>
      </c>
      <c r="B2741" s="1" t="str">
        <f>"2015-2001"</f>
        <v>2015-2001</v>
      </c>
      <c r="C2741" s="2" t="s">
        <v>1397</v>
      </c>
      <c r="D2741" s="1" t="s">
        <v>922</v>
      </c>
      <c r="E2741" s="3" t="str">
        <f>"2016/S 002-0000130"</f>
        <v>2016/S 002-0000130</v>
      </c>
      <c r="F2741" s="2" t="s">
        <v>1372</v>
      </c>
      <c r="G2741" s="2" t="str">
        <f>CONCATENATE("PALIR D.O.O.,"," DANE DUIĆA 3,"," 10000 ZAGREB,"," OIB: 19383246503")</f>
        <v>PALIR D.O.O., DANE DUIĆA 3, 10000 ZAGREB, OIB: 19383246503</v>
      </c>
      <c r="H2741" s="1"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I2741" s="1" t="s">
        <v>1400</v>
      </c>
      <c r="J2741" s="1" t="s">
        <v>1401</v>
      </c>
      <c r="K2741" s="6" t="str">
        <f>""</f>
        <v/>
      </c>
      <c r="L2741" s="6" t="str">
        <f t="shared" ref="L2741:M2743" si="272">"0,00"</f>
        <v>0,00</v>
      </c>
      <c r="M2741" s="6" t="str">
        <f t="shared" si="272"/>
        <v>0,00</v>
      </c>
      <c r="N2741" s="1" t="s">
        <v>117</v>
      </c>
      <c r="O2741" s="7"/>
      <c r="P2741" s="6" t="str">
        <f>""</f>
        <v/>
      </c>
      <c r="Q2741" s="7"/>
      <c r="R2741" s="1"/>
      <c r="S2741" s="1" t="str">
        <f>"N-89/15-1"</f>
        <v>N-89/15-1</v>
      </c>
      <c r="T2741" s="2" t="s">
        <v>29</v>
      </c>
    </row>
    <row r="2742" spans="1:20" ht="165.75" x14ac:dyDescent="0.25">
      <c r="A2742" s="1">
        <v>2738</v>
      </c>
      <c r="B2742" s="1" t="str">
        <f>"2015-2001"</f>
        <v>2015-2001</v>
      </c>
      <c r="C2742" s="2" t="s">
        <v>1397</v>
      </c>
      <c r="D2742" s="1" t="s">
        <v>922</v>
      </c>
      <c r="E2742" s="3" t="str">
        <f>"2016/S 002-0000130"</f>
        <v>2016/S 002-0000130</v>
      </c>
      <c r="F2742" s="2" t="s">
        <v>1372</v>
      </c>
      <c r="G2742" s="2" t="str">
        <f>CONCATENATE("PALIR D.O.O.,"," DANE DUIĆA 3,"," 10000 ZAGREB,"," OIB: 19383246503")</f>
        <v>PALIR D.O.O., DANE DUIĆA 3, 10000 ZAGREB, OIB: 19383246503</v>
      </c>
      <c r="H2742" s="1"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I2742" s="1" t="s">
        <v>840</v>
      </c>
      <c r="J2742" s="1" t="s">
        <v>53</v>
      </c>
      <c r="K2742" s="6" t="str">
        <f>""</f>
        <v/>
      </c>
      <c r="L2742" s="6" t="str">
        <f t="shared" si="272"/>
        <v>0,00</v>
      </c>
      <c r="M2742" s="6" t="str">
        <f t="shared" si="272"/>
        <v>0,00</v>
      </c>
      <c r="N2742" s="1" t="s">
        <v>117</v>
      </c>
      <c r="O2742" s="7"/>
      <c r="P2742" s="6" t="str">
        <f>""</f>
        <v/>
      </c>
      <c r="Q2742" s="7"/>
      <c r="R2742" s="1"/>
      <c r="S2742" s="1" t="str">
        <f>"N-89/15-2"</f>
        <v>N-89/15-2</v>
      </c>
      <c r="T2742" s="2" t="s">
        <v>29</v>
      </c>
    </row>
    <row r="2743" spans="1:20" ht="165.75" x14ac:dyDescent="0.25">
      <c r="A2743" s="1">
        <v>2739</v>
      </c>
      <c r="B2743" s="1" t="str">
        <f>"2015-2001"</f>
        <v>2015-2001</v>
      </c>
      <c r="C2743" s="2" t="s">
        <v>1397</v>
      </c>
      <c r="D2743" s="1" t="s">
        <v>922</v>
      </c>
      <c r="E2743" s="3" t="str">
        <f>"2016/S 002-0000130"</f>
        <v>2016/S 002-0000130</v>
      </c>
      <c r="F2743" s="2" t="s">
        <v>1372</v>
      </c>
      <c r="G2743" s="2" t="str">
        <f>CONCATENATE("PALIR D.O.O.,"," DANE DUIĆA 3,"," 10000 ZAGREB,"," OIB: 19383246503")</f>
        <v>PALIR D.O.O., DANE DUIĆA 3, 10000 ZAGREB, OIB: 19383246503</v>
      </c>
      <c r="H2743" s="1" t="str">
        <f>CONCATENATE("GEO - LAMA D.O.O.,"," OIB: 85730083289",CHAR(10),"GRAĐEVINSKI LABORATORIJ D.O.O.,"," OIB: 51460238404",CHAR(10),"P T M G D.O.O.,"," OIB: 50617926250",CHAR(10),"DUPLICO D.O.O.,"," OIB: 41025754642")</f>
        <v>GEO - LAMA D.O.O., OIB: 85730083289
GRAĐEVINSKI LABORATORIJ D.O.O., OIB: 51460238404
P T M G D.O.O., OIB: 50617926250
DUPLICO D.O.O., OIB: 41025754642</v>
      </c>
      <c r="I2743" s="1" t="s">
        <v>220</v>
      </c>
      <c r="J2743" s="1" t="s">
        <v>114</v>
      </c>
      <c r="K2743" s="6" t="str">
        <f>""</f>
        <v/>
      </c>
      <c r="L2743" s="6" t="str">
        <f t="shared" si="272"/>
        <v>0,00</v>
      </c>
      <c r="M2743" s="6" t="str">
        <f t="shared" si="272"/>
        <v>0,00</v>
      </c>
      <c r="N2743" s="1" t="s">
        <v>117</v>
      </c>
      <c r="O2743" s="7"/>
      <c r="P2743" s="6" t="str">
        <f>""</f>
        <v/>
      </c>
      <c r="Q2743" s="7"/>
      <c r="R2743" s="1"/>
      <c r="S2743" s="1" t="str">
        <f>"N-89/15-3"</f>
        <v>N-89/15-3</v>
      </c>
      <c r="T2743" s="2" t="s">
        <v>29</v>
      </c>
    </row>
    <row r="2744" spans="1:20" ht="153" x14ac:dyDescent="0.25">
      <c r="A2744" s="1">
        <v>2740</v>
      </c>
      <c r="B2744" s="1" t="str">
        <f>"2015-2452"</f>
        <v>2015-2452</v>
      </c>
      <c r="C2744" s="2" t="s">
        <v>1402</v>
      </c>
      <c r="D2744" s="1" t="s">
        <v>1325</v>
      </c>
      <c r="E2744" s="3" t="str">
        <f>"2015/S 002-0039287"</f>
        <v>2015/S 002-0039287</v>
      </c>
      <c r="F2744" s="2" t="s">
        <v>23</v>
      </c>
      <c r="G2744" s="2" t="str">
        <f>CONCATENATE("HIDROPROJEKT D.O.O.,"," IVANA PERGOŠIĆA 4,"," 10000 ZAGREB,"," OIB: 3091581719")</f>
        <v>HIDROPROJEKT D.O.O., IVANA PERGOŠIĆA 4, 10000 ZAGREB, OIB: 3091581719</v>
      </c>
      <c r="H2744" s="1" t="str">
        <f>CONCATENATE("AGENCIJA ZA RAZVOJ I KONTROLU SIGURNOSTI D.O.O.,"," OIB: ",CHAR(10),"URED OVL. INŽ. ELEKTROTEH. BORIS VRANEŠEVIĆ,"," OIB: ",CHAR(10),"HCK,"," OIB: 440392384")</f>
        <v>AGENCIJA ZA RAZVOJ I KONTROLU SIGURNOSTI D.O.O., OIB: 
URED OVL. INŽ. ELEKTROTEH. BORIS VRANEŠEVIĆ, OIB: 
HCK, OIB: 440392384</v>
      </c>
      <c r="I2744" s="1" t="s">
        <v>1403</v>
      </c>
      <c r="J2744" s="1" t="s">
        <v>1404</v>
      </c>
      <c r="K2744" s="6" t="str">
        <f>"487.000,00"</f>
        <v>487.000,00</v>
      </c>
      <c r="L2744" s="6" t="str">
        <f>"121.750,00"</f>
        <v>121.750,00</v>
      </c>
      <c r="M2744" s="6" t="str">
        <f>"608.750,00"</f>
        <v>608.750,00</v>
      </c>
      <c r="N2744" s="1" t="s">
        <v>117</v>
      </c>
      <c r="O2744" s="7"/>
      <c r="P2744" s="6" t="str">
        <f>""</f>
        <v/>
      </c>
      <c r="Q2744" s="7"/>
      <c r="R2744" s="1"/>
      <c r="S2744" s="1" t="str">
        <f>"N-94/15"</f>
        <v>N-94/15</v>
      </c>
      <c r="T2744" s="2" t="s">
        <v>29</v>
      </c>
    </row>
    <row r="2745" spans="1:20" ht="153" x14ac:dyDescent="0.25">
      <c r="A2745" s="1">
        <v>2741</v>
      </c>
      <c r="B2745" s="1" t="str">
        <f>"2015-2452"</f>
        <v>2015-2452</v>
      </c>
      <c r="C2745" s="2" t="s">
        <v>1402</v>
      </c>
      <c r="D2745" s="1" t="s">
        <v>1325</v>
      </c>
      <c r="E2745" s="3" t="str">
        <f>"2015/S 002-0039287"</f>
        <v>2015/S 002-0039287</v>
      </c>
      <c r="F2745" s="2" t="s">
        <v>1372</v>
      </c>
      <c r="G2745" s="2" t="str">
        <f>CONCATENATE("HIDROPROJEKT D.O.O.,"," IVANA PERGOŠIĆA 4,"," 10000 ZAGREB,"," OIB: 3091581719")</f>
        <v>HIDROPROJEKT D.O.O., IVANA PERGOŠIĆA 4, 10000 ZAGREB, OIB: 3091581719</v>
      </c>
      <c r="H2745" s="1" t="str">
        <f>CONCATENATE("AGENCIJA ZA RAZVOJ I KONTROLU SIGURNOSTI D.O.O.,"," OIB: ",CHAR(10),"URED OVL. INŽ. ELEKTROTEH. BORIS VRANEŠEVIĆ,"," OIB: ",CHAR(10),"HCK,"," OIB: 440392384")</f>
        <v>AGENCIJA ZA RAZVOJ I KONTROLU SIGURNOSTI D.O.O., OIB: 
URED OVL. INŽ. ELEKTROTEH. BORIS VRANEŠEVIĆ, OIB: 
HCK, OIB: 440392384</v>
      </c>
      <c r="I2745" s="1" t="s">
        <v>888</v>
      </c>
      <c r="J2745" s="1" t="s">
        <v>1405</v>
      </c>
      <c r="K2745" s="6" t="str">
        <f>""</f>
        <v/>
      </c>
      <c r="L2745" s="6" t="str">
        <f>"0,00"</f>
        <v>0,00</v>
      </c>
      <c r="M2745" s="6" t="str">
        <f>"0,00"</f>
        <v>0,00</v>
      </c>
      <c r="N2745" s="1" t="s">
        <v>117</v>
      </c>
      <c r="O2745" s="7"/>
      <c r="P2745" s="6" t="str">
        <f>""</f>
        <v/>
      </c>
      <c r="Q2745" s="7"/>
      <c r="R2745" s="1"/>
      <c r="S2745" s="1" t="str">
        <f>"N-94/15-1"</f>
        <v>N-94/15-1</v>
      </c>
      <c r="T2745" s="2" t="s">
        <v>29</v>
      </c>
    </row>
    <row r="2746" spans="1:20" ht="114.75" x14ac:dyDescent="0.25">
      <c r="A2746" s="1">
        <v>2742</v>
      </c>
      <c r="B2746" s="1" t="str">
        <f>"2016-2823"</f>
        <v>2016-2823</v>
      </c>
      <c r="C2746" s="2" t="s">
        <v>1406</v>
      </c>
      <c r="D2746" s="1" t="s">
        <v>1325</v>
      </c>
      <c r="E2746" s="3" t="str">
        <f>"2016/S 002-0011500"</f>
        <v>2016/S 002-0011500</v>
      </c>
      <c r="F2746" s="2" t="s">
        <v>23</v>
      </c>
      <c r="G2746" s="2" t="str">
        <f t="shared" ref="G2746:G2751" si="273">CONCATENATE("ZEM NADZOR D.O.O.,"," PALINOVEČKA 19D,"," 10000 ZAGREB,"," OIB: 38867321879")</f>
        <v>ZEM NADZOR D.O.O., PALINOVEČKA 19D, 10000 ZAGREB, OIB: 38867321879</v>
      </c>
      <c r="H2746" s="1" t="str">
        <f t="shared" ref="H2746:H2751" si="274">CONCATENATE("PO-MARK D.O.O.,"," OIB: 91699312841",CHAR(10),"EL-QUATTRO D.O.O. ZA PROJEKTIRANJE,"," TRGOVINU I USLUGE,"," OIB: 81768195539")</f>
        <v>PO-MARK D.O.O., OIB: 91699312841
EL-QUATTRO D.O.O. ZA PROJEKTIRANJE, TRGOVINU I USLUGE, OIB: 81768195539</v>
      </c>
      <c r="I2746" s="1" t="s">
        <v>1407</v>
      </c>
      <c r="J2746" s="1" t="s">
        <v>1408</v>
      </c>
      <c r="K2746" s="6" t="str">
        <f>"491.040,00"</f>
        <v>491.040,00</v>
      </c>
      <c r="L2746" s="6" t="str">
        <f>"122.760,00"</f>
        <v>122.760,00</v>
      </c>
      <c r="M2746" s="6" t="str">
        <f>"613.800,00"</f>
        <v>613.800,00</v>
      </c>
      <c r="N2746" s="1" t="s">
        <v>117</v>
      </c>
      <c r="O2746" s="7"/>
      <c r="P2746" s="6" t="str">
        <f>""</f>
        <v/>
      </c>
      <c r="Q2746" s="7"/>
      <c r="R2746" s="1"/>
      <c r="S2746" s="1" t="str">
        <f>"N-41/16"</f>
        <v>N-41/16</v>
      </c>
      <c r="T2746" s="2" t="s">
        <v>660</v>
      </c>
    </row>
    <row r="2747" spans="1:20" ht="114.75" x14ac:dyDescent="0.25">
      <c r="A2747" s="1">
        <v>2743</v>
      </c>
      <c r="B2747" s="1" t="str">
        <f>"2016-2823"</f>
        <v>2016-2823</v>
      </c>
      <c r="C2747" s="2" t="s">
        <v>1406</v>
      </c>
      <c r="D2747" s="1" t="s">
        <v>1325</v>
      </c>
      <c r="E2747" s="3" t="str">
        <f>"2016/S 002-0011500"</f>
        <v>2016/S 002-0011500</v>
      </c>
      <c r="F2747" s="2" t="s">
        <v>23</v>
      </c>
      <c r="G2747" s="2" t="str">
        <f t="shared" si="273"/>
        <v>ZEM NADZOR D.O.O., PALINOVEČKA 19D, 10000 ZAGREB, OIB: 38867321879</v>
      </c>
      <c r="H2747" s="1" t="str">
        <f t="shared" si="274"/>
        <v>PO-MARK D.O.O., OIB: 91699312841
EL-QUATTRO D.O.O. ZA PROJEKTIRANJE, TRGOVINU I USLUGE, OIB: 81768195539</v>
      </c>
      <c r="I2747" s="1" t="s">
        <v>279</v>
      </c>
      <c r="J2747" s="1" t="s">
        <v>1408</v>
      </c>
      <c r="K2747" s="6" t="str">
        <f>"491.040,00"</f>
        <v>491.040,00</v>
      </c>
      <c r="L2747" s="6" t="str">
        <f>"122.760,00"</f>
        <v>122.760,00</v>
      </c>
      <c r="M2747" s="6" t="str">
        <f>"613.800,00"</f>
        <v>613.800,00</v>
      </c>
      <c r="N2747" s="1" t="s">
        <v>117</v>
      </c>
      <c r="O2747" s="7"/>
      <c r="P2747" s="6" t="str">
        <f>""</f>
        <v/>
      </c>
      <c r="Q2747" s="7"/>
      <c r="R2747" s="1"/>
      <c r="S2747" s="1" t="str">
        <f>"N-41/16-1"</f>
        <v>N-41/16-1</v>
      </c>
      <c r="T2747" s="2" t="s">
        <v>660</v>
      </c>
    </row>
    <row r="2748" spans="1:20" ht="114.75" x14ac:dyDescent="0.25">
      <c r="A2748" s="1">
        <v>2744</v>
      </c>
      <c r="B2748" s="1" t="str">
        <f>"2016-2823"</f>
        <v>2016-2823</v>
      </c>
      <c r="C2748" s="2" t="s">
        <v>1406</v>
      </c>
      <c r="D2748" s="1" t="s">
        <v>1325</v>
      </c>
      <c r="E2748" s="3" t="str">
        <f>"2016/S 002-0011500"</f>
        <v>2016/S 002-0011500</v>
      </c>
      <c r="F2748" s="2" t="s">
        <v>1409</v>
      </c>
      <c r="G2748" s="2" t="str">
        <f t="shared" si="273"/>
        <v>ZEM NADZOR D.O.O., PALINOVEČKA 19D, 10000 ZAGREB, OIB: 38867321879</v>
      </c>
      <c r="H2748" s="1" t="str">
        <f t="shared" si="274"/>
        <v>PO-MARK D.O.O., OIB: 91699312841
EL-QUATTRO D.O.O. ZA PROJEKTIRANJE, TRGOVINU I USLUGE, OIB: 81768195539</v>
      </c>
      <c r="I2748" s="1" t="s">
        <v>900</v>
      </c>
      <c r="J2748" s="1" t="s">
        <v>1408</v>
      </c>
      <c r="K2748" s="6" t="str">
        <f>"147.312,00"</f>
        <v>147.312,00</v>
      </c>
      <c r="L2748" s="6" t="str">
        <f>"36.828,00"</f>
        <v>36.828,00</v>
      </c>
      <c r="M2748" s="6" t="str">
        <f>"184.140,00"</f>
        <v>184.140,00</v>
      </c>
      <c r="N2748" s="1" t="s">
        <v>117</v>
      </c>
      <c r="O2748" s="7"/>
      <c r="P2748" s="6" t="str">
        <f>""</f>
        <v/>
      </c>
      <c r="Q2748" s="7"/>
      <c r="R2748" s="1"/>
      <c r="S2748" s="1" t="str">
        <f>"N-41/16-2"</f>
        <v>N-41/16-2</v>
      </c>
      <c r="T2748" s="2" t="s">
        <v>660</v>
      </c>
    </row>
    <row r="2749" spans="1:20" ht="114.75" x14ac:dyDescent="0.25">
      <c r="A2749" s="1">
        <v>2745</v>
      </c>
      <c r="B2749" s="1" t="str">
        <f>"2016-2822"</f>
        <v>2016-2822</v>
      </c>
      <c r="C2749" s="2" t="s">
        <v>1410</v>
      </c>
      <c r="D2749" s="1" t="s">
        <v>1325</v>
      </c>
      <c r="E2749" s="3" t="str">
        <f>"2016/S 002-0011517"</f>
        <v>2016/S 002-0011517</v>
      </c>
      <c r="F2749" s="2" t="s">
        <v>23</v>
      </c>
      <c r="G2749" s="2" t="str">
        <f t="shared" si="273"/>
        <v>ZEM NADZOR D.O.O., PALINOVEČKA 19D, 10000 ZAGREB, OIB: 38867321879</v>
      </c>
      <c r="H2749" s="1" t="str">
        <f t="shared" si="274"/>
        <v>PO-MARK D.O.O., OIB: 91699312841
EL-QUATTRO D.O.O. ZA PROJEKTIRANJE, TRGOVINU I USLUGE, OIB: 81768195539</v>
      </c>
      <c r="I2749" s="1" t="s">
        <v>1411</v>
      </c>
      <c r="J2749" s="1" t="s">
        <v>532</v>
      </c>
      <c r="K2749" s="6" t="str">
        <f>"397.800,00"</f>
        <v>397.800,00</v>
      </c>
      <c r="L2749" s="6" t="str">
        <f>"99.450,00"</f>
        <v>99.450,00</v>
      </c>
      <c r="M2749" s="6" t="str">
        <f>"497.250,00"</f>
        <v>497.250,00</v>
      </c>
      <c r="N2749" s="1" t="s">
        <v>117</v>
      </c>
      <c r="O2749" s="7"/>
      <c r="P2749" s="6" t="str">
        <f>""</f>
        <v/>
      </c>
      <c r="Q2749" s="7"/>
      <c r="R2749" s="1"/>
      <c r="S2749" s="1" t="str">
        <f>"N-44/16"</f>
        <v>N-44/16</v>
      </c>
      <c r="T2749" s="2" t="s">
        <v>660</v>
      </c>
    </row>
    <row r="2750" spans="1:20" ht="114.75" x14ac:dyDescent="0.25">
      <c r="A2750" s="1">
        <v>2746</v>
      </c>
      <c r="B2750" s="1" t="str">
        <f>"2016-2822"</f>
        <v>2016-2822</v>
      </c>
      <c r="C2750" s="2" t="s">
        <v>1410</v>
      </c>
      <c r="D2750" s="1" t="s">
        <v>1325</v>
      </c>
      <c r="E2750" s="3" t="str">
        <f>"2016/S 002-0011517"</f>
        <v>2016/S 002-0011517</v>
      </c>
      <c r="F2750" s="2" t="s">
        <v>23</v>
      </c>
      <c r="G2750" s="2" t="str">
        <f t="shared" si="273"/>
        <v>ZEM NADZOR D.O.O., PALINOVEČKA 19D, 10000 ZAGREB, OIB: 38867321879</v>
      </c>
      <c r="H2750" s="1" t="str">
        <f t="shared" si="274"/>
        <v>PO-MARK D.O.O., OIB: 91699312841
EL-QUATTRO D.O.O. ZA PROJEKTIRANJE, TRGOVINU I USLUGE, OIB: 81768195539</v>
      </c>
      <c r="I2750" s="1" t="s">
        <v>289</v>
      </c>
      <c r="J2750" s="1" t="s">
        <v>532</v>
      </c>
      <c r="K2750" s="6" t="str">
        <f>"397.800,00"</f>
        <v>397.800,00</v>
      </c>
      <c r="L2750" s="6" t="str">
        <f>"99.450,00"</f>
        <v>99.450,00</v>
      </c>
      <c r="M2750" s="6" t="str">
        <f>"497.250,00"</f>
        <v>497.250,00</v>
      </c>
      <c r="N2750" s="1" t="s">
        <v>117</v>
      </c>
      <c r="O2750" s="7"/>
      <c r="P2750" s="6" t="str">
        <f>""</f>
        <v/>
      </c>
      <c r="Q2750" s="7"/>
      <c r="R2750" s="1"/>
      <c r="S2750" s="1" t="str">
        <f>"N-44/16-1"</f>
        <v>N-44/16-1</v>
      </c>
      <c r="T2750" s="2" t="s">
        <v>660</v>
      </c>
    </row>
    <row r="2751" spans="1:20" ht="114.75" x14ac:dyDescent="0.25">
      <c r="A2751" s="1">
        <v>2747</v>
      </c>
      <c r="B2751" s="1" t="str">
        <f>"2016-2822"</f>
        <v>2016-2822</v>
      </c>
      <c r="C2751" s="2" t="s">
        <v>1410</v>
      </c>
      <c r="D2751" s="1" t="s">
        <v>1325</v>
      </c>
      <c r="E2751" s="3" t="str">
        <f>"2016/S 002-0011517"</f>
        <v>2016/S 002-0011517</v>
      </c>
      <c r="F2751" s="2" t="s">
        <v>1409</v>
      </c>
      <c r="G2751" s="2" t="str">
        <f t="shared" si="273"/>
        <v>ZEM NADZOR D.O.O., PALINOVEČKA 19D, 10000 ZAGREB, OIB: 38867321879</v>
      </c>
      <c r="H2751" s="1" t="str">
        <f t="shared" si="274"/>
        <v>PO-MARK D.O.O., OIB: 91699312841
EL-QUATTRO D.O.O. ZA PROJEKTIRANJE, TRGOVINU I USLUGE, OIB: 81768195539</v>
      </c>
      <c r="I2751" s="1" t="s">
        <v>900</v>
      </c>
      <c r="J2751" s="1" t="s">
        <v>532</v>
      </c>
      <c r="K2751" s="6" t="str">
        <f>"119.340,00"</f>
        <v>119.340,00</v>
      </c>
      <c r="L2751" s="6" t="str">
        <f>"29.835,00"</f>
        <v>29.835,00</v>
      </c>
      <c r="M2751" s="6" t="str">
        <f>"149.175,00"</f>
        <v>149.175,00</v>
      </c>
      <c r="N2751" s="1" t="s">
        <v>117</v>
      </c>
      <c r="O2751" s="7"/>
      <c r="P2751" s="6" t="str">
        <f>""</f>
        <v/>
      </c>
      <c r="Q2751" s="7"/>
      <c r="R2751" s="1"/>
      <c r="S2751" s="1" t="str">
        <f>"N-44/16-2"</f>
        <v>N-44/16-2</v>
      </c>
      <c r="T2751" s="2" t="s">
        <v>660</v>
      </c>
    </row>
    <row r="2752" spans="1:20" ht="38.25" x14ac:dyDescent="0.25">
      <c r="A2752" s="1">
        <v>2748</v>
      </c>
      <c r="B2752" s="1" t="str">
        <f>"2016-2817"</f>
        <v>2016-2817</v>
      </c>
      <c r="C2752" s="2" t="s">
        <v>1412</v>
      </c>
      <c r="D2752" s="1" t="s">
        <v>1322</v>
      </c>
      <c r="E2752" s="3" t="str">
        <f>"2016/S 002-0010200"</f>
        <v>2016/S 002-0010200</v>
      </c>
      <c r="F2752" s="2" t="s">
        <v>23</v>
      </c>
      <c r="G2752" s="2" t="str">
        <f>CONCATENATE("INVESTINŽENJERING D.O.O.,"," TUŠKANOVA 41,"," 10000 ZAGREB,"," OIB: 78904416556")</f>
        <v>INVESTINŽENJERING D.O.O., TUŠKANOVA 41, 10000 ZAGREB, OIB: 78904416556</v>
      </c>
      <c r="H2752" s="4"/>
      <c r="I2752" s="1" t="s">
        <v>1413</v>
      </c>
      <c r="J2752" s="1" t="s">
        <v>1414</v>
      </c>
      <c r="K2752" s="6" t="str">
        <f>"1.197.000,00"</f>
        <v>1.197.000,00</v>
      </c>
      <c r="L2752" s="6" t="str">
        <f>"299.250,00"</f>
        <v>299.250,00</v>
      </c>
      <c r="M2752" s="6" t="str">
        <f>"1.496.250,00"</f>
        <v>1.496.250,00</v>
      </c>
      <c r="N2752" s="1" t="s">
        <v>117</v>
      </c>
      <c r="O2752" s="7"/>
      <c r="P2752" s="6" t="str">
        <f>""</f>
        <v/>
      </c>
      <c r="Q2752" s="7"/>
      <c r="R2752" s="1"/>
      <c r="S2752" s="1" t="str">
        <f>"N-48/16"</f>
        <v>N-48/16</v>
      </c>
      <c r="T2752" s="2" t="s">
        <v>660</v>
      </c>
    </row>
    <row r="2753" spans="1:20" ht="38.25" x14ac:dyDescent="0.25">
      <c r="A2753" s="1">
        <v>2749</v>
      </c>
      <c r="B2753" s="1" t="str">
        <f>"2018-3023"</f>
        <v>2018-3023</v>
      </c>
      <c r="C2753" s="2" t="s">
        <v>1412</v>
      </c>
      <c r="D2753" s="1" t="s">
        <v>1322</v>
      </c>
      <c r="E2753" s="3" t="str">
        <f>""</f>
        <v/>
      </c>
      <c r="F2753" s="2" t="s">
        <v>23</v>
      </c>
      <c r="G2753" s="2" t="str">
        <f>CONCATENATE("INVESTINŽENJERING D.O.O.,"," TUŠKANOVA 41,"," 10000 ZAGREB,"," OIB: 78904416556")</f>
        <v>INVESTINŽENJERING D.O.O., TUŠKANOVA 41, 10000 ZAGREB, OIB: 78904416556</v>
      </c>
      <c r="H2753" s="4"/>
      <c r="I2753" s="1" t="s">
        <v>945</v>
      </c>
      <c r="J2753" s="1" t="s">
        <v>1414</v>
      </c>
      <c r="K2753" s="6" t="str">
        <f>"359.100,00"</f>
        <v>359.100,00</v>
      </c>
      <c r="L2753" s="6" t="str">
        <f>"89.775,00"</f>
        <v>89.775,00</v>
      </c>
      <c r="M2753" s="6" t="str">
        <f>"448.875,00"</f>
        <v>448.875,00</v>
      </c>
      <c r="N2753" s="1" t="s">
        <v>117</v>
      </c>
      <c r="O2753" s="7"/>
      <c r="P2753" s="6" t="str">
        <f>""</f>
        <v/>
      </c>
      <c r="Q2753" s="7"/>
      <c r="R2753" s="1"/>
      <c r="S2753" s="1" t="str">
        <f>"N-48/16-1"</f>
        <v>N-48/16-1</v>
      </c>
      <c r="T2753" s="2" t="s">
        <v>660</v>
      </c>
    </row>
    <row r="2754" spans="1:20" ht="38.25" x14ac:dyDescent="0.25">
      <c r="A2754" s="1">
        <v>2750</v>
      </c>
      <c r="B2754" s="1" t="str">
        <f>"2016-2863"</f>
        <v>2016-2863</v>
      </c>
      <c r="C2754" s="2" t="s">
        <v>1415</v>
      </c>
      <c r="D2754" s="1" t="s">
        <v>1416</v>
      </c>
      <c r="E2754" s="3" t="str">
        <f>"2016/S 002-0021609"</f>
        <v>2016/S 002-0021609</v>
      </c>
      <c r="F2754" s="2" t="s">
        <v>23</v>
      </c>
      <c r="G2754" s="2" t="str">
        <f>CONCATENATE("PORSCHE LEASING D.O.O.,"," VELIMIRA ŠKORPIKA 21,"," 10000 ZAGREB,"," OIB: 90275854576")</f>
        <v>PORSCHE LEASING D.O.O., VELIMIRA ŠKORPIKA 21, 10000 ZAGREB, OIB: 90275854576</v>
      </c>
      <c r="H2754" s="4"/>
      <c r="I2754" s="1" t="s">
        <v>1417</v>
      </c>
      <c r="J2754" s="1" t="s">
        <v>1216</v>
      </c>
      <c r="K2754" s="6" t="str">
        <f>"13.911.126,72"</f>
        <v>13.911.126,72</v>
      </c>
      <c r="L2754" s="6" t="str">
        <f>"3.477.781,68"</f>
        <v>3.477.781,68</v>
      </c>
      <c r="M2754" s="6" t="str">
        <f>"17.388.908,40"</f>
        <v>17.388.908,40</v>
      </c>
      <c r="N2754" s="5">
        <v>43711</v>
      </c>
      <c r="O2754" s="7"/>
      <c r="P2754" s="6" t="str">
        <f>"5.943.446,89"</f>
        <v>5.943.446,89</v>
      </c>
      <c r="Q2754" s="7"/>
      <c r="R2754" s="1"/>
      <c r="S2754" s="1" t="str">
        <f>"N-95/16"</f>
        <v>N-95/16</v>
      </c>
      <c r="T2754" s="2" t="s">
        <v>26</v>
      </c>
    </row>
    <row r="2755" spans="1:20" ht="114.75" x14ac:dyDescent="0.25">
      <c r="A2755" s="1">
        <v>2751</v>
      </c>
      <c r="B2755" s="1" t="str">
        <f>"2016-2572"</f>
        <v>2016-2572</v>
      </c>
      <c r="C2755" s="2" t="s">
        <v>1418</v>
      </c>
      <c r="D2755" s="1" t="s">
        <v>1419</v>
      </c>
      <c r="E2755" s="3" t="str">
        <f>""</f>
        <v/>
      </c>
      <c r="F2755" s="2" t="s">
        <v>1088</v>
      </c>
      <c r="G2755" s="2" t="str">
        <f>CONCATENATE("COMBIS D.O.O.,"," BAŠTIJANOVA 52A,"," 10000 ZAGREB,"," OIB: 91678676896")</f>
        <v>COMBIS D.O.O., BAŠTIJANOVA 52A, 10000 ZAGREB, OIB: 91678676896</v>
      </c>
      <c r="H2755" s="4"/>
      <c r="I2755" s="1" t="s">
        <v>1420</v>
      </c>
      <c r="J2755" s="1" t="s">
        <v>45</v>
      </c>
      <c r="K2755" s="6" t="str">
        <f>"2.394.729,84"</f>
        <v>2.394.729,84</v>
      </c>
      <c r="L2755" s="6" t="str">
        <f>"598.682,46"</f>
        <v>598.682,46</v>
      </c>
      <c r="M2755" s="6" t="str">
        <f>"2.993.412,30"</f>
        <v>2.993.412,30</v>
      </c>
      <c r="N2755" s="5">
        <v>43486</v>
      </c>
      <c r="O2755" s="7"/>
      <c r="P2755" s="6" t="str">
        <f>"3.266.670,00"</f>
        <v>3.266.670,00</v>
      </c>
      <c r="Q2755" s="7"/>
      <c r="R2755" s="1"/>
      <c r="S2755" s="1" t="str">
        <f>"N-100/16"</f>
        <v>N-100/16</v>
      </c>
      <c r="T2755" s="2" t="s">
        <v>58</v>
      </c>
    </row>
    <row r="2756" spans="1:20" ht="63.75" x14ac:dyDescent="0.25">
      <c r="A2756" s="1">
        <v>2752</v>
      </c>
      <c r="B2756" s="1" t="str">
        <f>"2016-2284"</f>
        <v>2016-2284</v>
      </c>
      <c r="C2756" s="2" t="s">
        <v>1421</v>
      </c>
      <c r="D2756" s="1" t="s">
        <v>1322</v>
      </c>
      <c r="E2756" s="3" t="str">
        <f>"2016/S 002-0024471"</f>
        <v>2016/S 002-0024471</v>
      </c>
      <c r="F2756" s="2" t="s">
        <v>23</v>
      </c>
      <c r="G2756" s="2" t="str">
        <f>CONCATENATE("GRANDA PROJEKT D.O.O.,"," II. ZAGREBAČKI ODVOJAK 9,"," 10000 ZAGREB,"," OIB: 49276556488")</f>
        <v>GRANDA PROJEKT D.O.O., II. ZAGREBAČKI ODVOJAK 9, 10000 ZAGREB, OIB: 49276556488</v>
      </c>
      <c r="H2756" s="4"/>
      <c r="I2756" s="1" t="s">
        <v>1422</v>
      </c>
      <c r="J2756" s="1" t="s">
        <v>1423</v>
      </c>
      <c r="K2756" s="6" t="str">
        <f>"188.000,00"</f>
        <v>188.000,00</v>
      </c>
      <c r="L2756" s="6" t="str">
        <f>"47.000,00"</f>
        <v>47.000,00</v>
      </c>
      <c r="M2756" s="6" t="str">
        <f>"235.000,00"</f>
        <v>235.000,00</v>
      </c>
      <c r="N2756" s="1" t="s">
        <v>117</v>
      </c>
      <c r="O2756" s="7"/>
      <c r="P2756" s="6" t="str">
        <f>""</f>
        <v/>
      </c>
      <c r="Q2756" s="7"/>
      <c r="R2756" s="1"/>
      <c r="S2756" s="1" t="str">
        <f>"N-114/16"</f>
        <v>N-114/16</v>
      </c>
      <c r="T2756" s="2" t="s">
        <v>29</v>
      </c>
    </row>
    <row r="2757" spans="1:20" ht="63.75" x14ac:dyDescent="0.25">
      <c r="A2757" s="1">
        <v>2753</v>
      </c>
      <c r="B2757" s="1" t="str">
        <f>"2016-2284"</f>
        <v>2016-2284</v>
      </c>
      <c r="C2757" s="2" t="s">
        <v>1421</v>
      </c>
      <c r="D2757" s="1" t="s">
        <v>1322</v>
      </c>
      <c r="E2757" s="3" t="str">
        <f>"2016/S 002-0024471"</f>
        <v>2016/S 002-0024471</v>
      </c>
      <c r="F2757" s="2" t="s">
        <v>1372</v>
      </c>
      <c r="G2757" s="2" t="str">
        <f>CONCATENATE("GRANDA PROJEKT D.O.O.,"," II. ZAGREBAČKI ODVOJAK 9,"," 10000 ZAGREB,"," OIB: 49276556488")</f>
        <v>GRANDA PROJEKT D.O.O., II. ZAGREBAČKI ODVOJAK 9, 10000 ZAGREB, OIB: 49276556488</v>
      </c>
      <c r="H2757" s="4"/>
      <c r="I2757" s="1" t="s">
        <v>1017</v>
      </c>
      <c r="J2757" s="1" t="s">
        <v>1424</v>
      </c>
      <c r="K2757" s="6" t="str">
        <f>""</f>
        <v/>
      </c>
      <c r="L2757" s="6" t="str">
        <f>"0,00"</f>
        <v>0,00</v>
      </c>
      <c r="M2757" s="6" t="str">
        <f>"0,00"</f>
        <v>0,00</v>
      </c>
      <c r="N2757" s="1" t="s">
        <v>117</v>
      </c>
      <c r="O2757" s="7"/>
      <c r="P2757" s="6" t="str">
        <f>""</f>
        <v/>
      </c>
      <c r="Q2757" s="7"/>
      <c r="R2757" s="1"/>
      <c r="S2757" s="1" t="str">
        <f>"N-114/16-1"</f>
        <v>N-114/16-1</v>
      </c>
      <c r="T2757" s="2" t="s">
        <v>29</v>
      </c>
    </row>
    <row r="2758" spans="1:20" ht="51" x14ac:dyDescent="0.25">
      <c r="A2758" s="1">
        <v>2754</v>
      </c>
      <c r="B2758" s="1" t="str">
        <f>"2016-2286"</f>
        <v>2016-2286</v>
      </c>
      <c r="C2758" s="2" t="s">
        <v>1425</v>
      </c>
      <c r="D2758" s="1" t="s">
        <v>119</v>
      </c>
      <c r="E2758" s="3" t="str">
        <f>"2016/S 002-0026472"</f>
        <v>2016/S 002-0026472</v>
      </c>
      <c r="F2758" s="2" t="s">
        <v>23</v>
      </c>
      <c r="G2758" s="2" t="str">
        <f>CONCATENATE("GEORAD D.O.O.,"," KORNATSKA 1,"," 10000 ZAGREB,"," OIB: 49756748234")</f>
        <v>GEORAD D.O.O., KORNATSKA 1, 10000 ZAGREB, OIB: 49756748234</v>
      </c>
      <c r="H2758" s="1" t="str">
        <f>CONCATENATE("ZAŠTITA PROJEKT D.O.O.,"," OIB: 76701744214")</f>
        <v>ZAŠTITA PROJEKT D.O.O., OIB: 76701744214</v>
      </c>
      <c r="I2758" s="1" t="s">
        <v>1426</v>
      </c>
      <c r="J2758" s="1" t="s">
        <v>886</v>
      </c>
      <c r="K2758" s="6" t="str">
        <f>"2.399.838,89"</f>
        <v>2.399.838,89</v>
      </c>
      <c r="L2758" s="6" t="str">
        <f>"599.959,72"</f>
        <v>599.959,72</v>
      </c>
      <c r="M2758" s="6" t="str">
        <f>"2.999.798,61"</f>
        <v>2.999.798,61</v>
      </c>
      <c r="N2758" s="1" t="s">
        <v>117</v>
      </c>
      <c r="O2758" s="7"/>
      <c r="P2758" s="6" t="str">
        <f>""</f>
        <v/>
      </c>
      <c r="Q2758" s="7"/>
      <c r="R2758" s="1"/>
      <c r="S2758" s="1" t="str">
        <f>"N-128/16"</f>
        <v>N-128/16</v>
      </c>
      <c r="T2758" s="2" t="s">
        <v>29</v>
      </c>
    </row>
    <row r="2759" spans="1:20" ht="51" x14ac:dyDescent="0.25">
      <c r="A2759" s="1">
        <v>2755</v>
      </c>
      <c r="B2759" s="1" t="str">
        <f>"2016-2286"</f>
        <v>2016-2286</v>
      </c>
      <c r="C2759" s="2" t="s">
        <v>1425</v>
      </c>
      <c r="D2759" s="1" t="s">
        <v>119</v>
      </c>
      <c r="E2759" s="3" t="str">
        <f>"2016/S 002-0026472"</f>
        <v>2016/S 002-0026472</v>
      </c>
      <c r="F2759" s="2" t="s">
        <v>1372</v>
      </c>
      <c r="G2759" s="2" t="str">
        <f>CONCATENATE("GEORAD D.O.O.,"," KORNATSKA 1,"," 10000 ZAGREB,"," OIB: 49756748234")</f>
        <v>GEORAD D.O.O., KORNATSKA 1, 10000 ZAGREB, OIB: 49756748234</v>
      </c>
      <c r="H2759" s="1" t="str">
        <f>CONCATENATE("ZAŠTITA PROJEKT D.O.O.,"," OIB: 76701744214")</f>
        <v>ZAŠTITA PROJEKT D.O.O., OIB: 76701744214</v>
      </c>
      <c r="I2759" s="1" t="s">
        <v>1427</v>
      </c>
      <c r="J2759" s="1" t="s">
        <v>988</v>
      </c>
      <c r="K2759" s="6" t="str">
        <f>""</f>
        <v/>
      </c>
      <c r="L2759" s="6" t="str">
        <f t="shared" ref="L2759:M2762" si="275">"0,00"</f>
        <v>0,00</v>
      </c>
      <c r="M2759" s="6" t="str">
        <f t="shared" si="275"/>
        <v>0,00</v>
      </c>
      <c r="N2759" s="1" t="s">
        <v>117</v>
      </c>
      <c r="O2759" s="7"/>
      <c r="P2759" s="6" t="str">
        <f>""</f>
        <v/>
      </c>
      <c r="Q2759" s="7"/>
      <c r="R2759" s="1"/>
      <c r="S2759" s="1" t="str">
        <f>"N-128/16-1"</f>
        <v>N-128/16-1</v>
      </c>
      <c r="T2759" s="2" t="s">
        <v>29</v>
      </c>
    </row>
    <row r="2760" spans="1:20" ht="51" x14ac:dyDescent="0.25">
      <c r="A2760" s="1">
        <v>2756</v>
      </c>
      <c r="B2760" s="1" t="str">
        <f>"2016-2286"</f>
        <v>2016-2286</v>
      </c>
      <c r="C2760" s="2" t="s">
        <v>1425</v>
      </c>
      <c r="D2760" s="1" t="s">
        <v>119</v>
      </c>
      <c r="E2760" s="3" t="str">
        <f>"2016/S 002-0026472"</f>
        <v>2016/S 002-0026472</v>
      </c>
      <c r="F2760" s="2" t="s">
        <v>1372</v>
      </c>
      <c r="G2760" s="2" t="str">
        <f>CONCATENATE("GEORAD D.O.O.,"," KORNATSKA 1,"," 10000 ZAGREB,"," OIB: 49756748234")</f>
        <v>GEORAD D.O.O., KORNATSKA 1, 10000 ZAGREB, OIB: 49756748234</v>
      </c>
      <c r="H2760" s="1" t="str">
        <f>CONCATENATE("ZAŠTITA PROJEKT D.O.O.,"," OIB: 76701744214")</f>
        <v>ZAŠTITA PROJEKT D.O.O., OIB: 76701744214</v>
      </c>
      <c r="I2760" s="1" t="s">
        <v>1017</v>
      </c>
      <c r="J2760" s="1" t="s">
        <v>126</v>
      </c>
      <c r="K2760" s="6" t="str">
        <f>""</f>
        <v/>
      </c>
      <c r="L2760" s="6" t="str">
        <f t="shared" si="275"/>
        <v>0,00</v>
      </c>
      <c r="M2760" s="6" t="str">
        <f t="shared" si="275"/>
        <v>0,00</v>
      </c>
      <c r="N2760" s="1" t="s">
        <v>117</v>
      </c>
      <c r="O2760" s="7"/>
      <c r="P2760" s="6" t="str">
        <f>""</f>
        <v/>
      </c>
      <c r="Q2760" s="7"/>
      <c r="R2760" s="1"/>
      <c r="S2760" s="1" t="str">
        <f>"N-128/16-2"</f>
        <v>N-128/16-2</v>
      </c>
      <c r="T2760" s="2" t="s">
        <v>29</v>
      </c>
    </row>
    <row r="2761" spans="1:20" ht="51" x14ac:dyDescent="0.25">
      <c r="A2761" s="1">
        <v>2757</v>
      </c>
      <c r="B2761" s="1" t="str">
        <f>"2016-2286"</f>
        <v>2016-2286</v>
      </c>
      <c r="C2761" s="2" t="s">
        <v>1425</v>
      </c>
      <c r="D2761" s="1" t="s">
        <v>119</v>
      </c>
      <c r="E2761" s="3" t="str">
        <f>"2016/S 002-0026472"</f>
        <v>2016/S 002-0026472</v>
      </c>
      <c r="F2761" s="2" t="s">
        <v>1372</v>
      </c>
      <c r="G2761" s="2" t="str">
        <f>CONCATENATE("GEORAD D.O.O.,"," KORNATSKA 1,"," 10000 ZAGREB,"," OIB: 49756748234")</f>
        <v>GEORAD D.O.O., KORNATSKA 1, 10000 ZAGREB, OIB: 49756748234</v>
      </c>
      <c r="H2761" s="1" t="str">
        <f>CONCATENATE("ZAŠTITA PROJEKT D.O.O.,"," OIB: 76701744214")</f>
        <v>ZAŠTITA PROJEKT D.O.O., OIB: 76701744214</v>
      </c>
      <c r="I2761" s="1" t="s">
        <v>561</v>
      </c>
      <c r="J2761" s="1" t="s">
        <v>134</v>
      </c>
      <c r="K2761" s="6" t="str">
        <f>""</f>
        <v/>
      </c>
      <c r="L2761" s="6" t="str">
        <f t="shared" si="275"/>
        <v>0,00</v>
      </c>
      <c r="M2761" s="6" t="str">
        <f t="shared" si="275"/>
        <v>0,00</v>
      </c>
      <c r="N2761" s="1" t="s">
        <v>117</v>
      </c>
      <c r="O2761" s="7"/>
      <c r="P2761" s="6" t="str">
        <f>""</f>
        <v/>
      </c>
      <c r="Q2761" s="7"/>
      <c r="R2761" s="1"/>
      <c r="S2761" s="1" t="str">
        <f>"N-128/16-3"</f>
        <v>N-128/16-3</v>
      </c>
      <c r="T2761" s="2" t="s">
        <v>29</v>
      </c>
    </row>
    <row r="2762" spans="1:20" ht="51" x14ac:dyDescent="0.25">
      <c r="A2762" s="1">
        <v>2758</v>
      </c>
      <c r="B2762" s="1" t="str">
        <f>"2016-2286"</f>
        <v>2016-2286</v>
      </c>
      <c r="C2762" s="2" t="s">
        <v>1425</v>
      </c>
      <c r="D2762" s="1" t="s">
        <v>119</v>
      </c>
      <c r="E2762" s="3" t="str">
        <f>"2016/S 002-0026472"</f>
        <v>2016/S 002-0026472</v>
      </c>
      <c r="F2762" s="2" t="s">
        <v>1372</v>
      </c>
      <c r="G2762" s="2" t="str">
        <f>CONCATENATE("GEORAD D.O.O.,"," KORNATSKA 1,"," 10000 ZAGREB,"," OIB: 49756748234")</f>
        <v>GEORAD D.O.O., KORNATSKA 1, 10000 ZAGREB, OIB: 49756748234</v>
      </c>
      <c r="H2762" s="1" t="str">
        <f>CONCATENATE("ZAŠTITA PROJEKT D.O.O.,"," OIB: 76701744214")</f>
        <v>ZAŠTITA PROJEKT D.O.O., OIB: 76701744214</v>
      </c>
      <c r="I2762" s="1" t="s">
        <v>339</v>
      </c>
      <c r="J2762" s="1" t="s">
        <v>297</v>
      </c>
      <c r="K2762" s="6" t="str">
        <f>""</f>
        <v/>
      </c>
      <c r="L2762" s="6" t="str">
        <f t="shared" si="275"/>
        <v>0,00</v>
      </c>
      <c r="M2762" s="6" t="str">
        <f t="shared" si="275"/>
        <v>0,00</v>
      </c>
      <c r="N2762" s="1" t="s">
        <v>117</v>
      </c>
      <c r="O2762" s="7"/>
      <c r="P2762" s="6" t="str">
        <f>""</f>
        <v/>
      </c>
      <c r="Q2762" s="7"/>
      <c r="R2762" s="1"/>
      <c r="S2762" s="1" t="str">
        <f>"N-128/16-4"</f>
        <v>N-128/16-4</v>
      </c>
      <c r="T2762" s="2" t="s">
        <v>29</v>
      </c>
    </row>
    <row r="2763" spans="1:20" ht="76.5" x14ac:dyDescent="0.25">
      <c r="A2763" s="1">
        <v>2759</v>
      </c>
      <c r="B2763" s="1" t="str">
        <f>"2016-3011"</f>
        <v>2016-3011</v>
      </c>
      <c r="C2763" s="2" t="s">
        <v>1428</v>
      </c>
      <c r="D2763" s="1" t="s">
        <v>119</v>
      </c>
      <c r="E2763" s="3" t="str">
        <f>"2016/S 002-0025809"</f>
        <v>2016/S 002-0025809</v>
      </c>
      <c r="F2763" s="2" t="s">
        <v>23</v>
      </c>
      <c r="G2763" s="2" t="str">
        <f>CONCATENATE("PALIR D.O.O.,"," DANE DUIĆA 3,"," 10000 ZAGREB,"," OIB: 19383246503")</f>
        <v>PALIR D.O.O., DANE DUIĆA 3, 10000 ZAGREB, OIB: 19383246503</v>
      </c>
      <c r="H2763" s="1" t="str">
        <f>CONCATENATE("GEO - LAMA D.O.O.,"," OIB: 85730083289",CHAR(10),"C.I.A.K. D.O.O.,"," OIB: 47428597158")</f>
        <v>GEO - LAMA D.O.O., OIB: 85730083289
C.I.A.K. D.O.O., OIB: 47428597158</v>
      </c>
      <c r="I2763" s="1" t="s">
        <v>1429</v>
      </c>
      <c r="J2763" s="1" t="s">
        <v>881</v>
      </c>
      <c r="K2763" s="6" t="str">
        <f>"5.101.154,00"</f>
        <v>5.101.154,00</v>
      </c>
      <c r="L2763" s="6" t="str">
        <f>"1.275.288,50"</f>
        <v>1.275.288,50</v>
      </c>
      <c r="M2763" s="6" t="str">
        <f>"6.376.442,50"</f>
        <v>6.376.442,50</v>
      </c>
      <c r="N2763" s="1" t="s">
        <v>117</v>
      </c>
      <c r="O2763" s="7"/>
      <c r="P2763" s="6" t="str">
        <f>""</f>
        <v/>
      </c>
      <c r="Q2763" s="7"/>
      <c r="R2763" s="1"/>
      <c r="S2763" s="1" t="str">
        <f>"N-130/16"</f>
        <v>N-130/16</v>
      </c>
      <c r="T2763" s="2" t="s">
        <v>29</v>
      </c>
    </row>
    <row r="2764" spans="1:20" ht="76.5" x14ac:dyDescent="0.25">
      <c r="A2764" s="1">
        <v>2760</v>
      </c>
      <c r="B2764" s="1" t="str">
        <f>"2016-3011"</f>
        <v>2016-3011</v>
      </c>
      <c r="C2764" s="2" t="s">
        <v>1428</v>
      </c>
      <c r="D2764" s="1" t="s">
        <v>119</v>
      </c>
      <c r="E2764" s="3" t="str">
        <f>"2016/S 002-0025809"</f>
        <v>2016/S 002-0025809</v>
      </c>
      <c r="F2764" s="2" t="s">
        <v>1372</v>
      </c>
      <c r="G2764" s="2" t="str">
        <f>CONCATENATE("PALIR D.O.O.,"," DANE DUIĆA 3,"," 10000 ZAGREB,"," OIB: 19383246503")</f>
        <v>PALIR D.O.O., DANE DUIĆA 3, 10000 ZAGREB, OIB: 19383246503</v>
      </c>
      <c r="H2764" s="1" t="str">
        <f>CONCATENATE("GEO - LAMA D.O.O.,"," OIB: 85730083289",CHAR(10),"C.I.A.K. D.O.O.,"," OIB: 47428597158")</f>
        <v>GEO - LAMA D.O.O., OIB: 85730083289
C.I.A.K. D.O.O., OIB: 47428597158</v>
      </c>
      <c r="I2764" s="1" t="s">
        <v>334</v>
      </c>
      <c r="J2764" s="1" t="s">
        <v>28</v>
      </c>
      <c r="K2764" s="6" t="str">
        <f>""</f>
        <v/>
      </c>
      <c r="L2764" s="6" t="str">
        <f>"0,00"</f>
        <v>0,00</v>
      </c>
      <c r="M2764" s="6" t="str">
        <f>"0,00"</f>
        <v>0,00</v>
      </c>
      <c r="N2764" s="1" t="s">
        <v>117</v>
      </c>
      <c r="O2764" s="7"/>
      <c r="P2764" s="6" t="str">
        <f>""</f>
        <v/>
      </c>
      <c r="Q2764" s="7"/>
      <c r="R2764" s="1"/>
      <c r="S2764" s="1" t="str">
        <f>"N-130/16-1"</f>
        <v>N-130/16-1</v>
      </c>
      <c r="T2764" s="2" t="s">
        <v>29</v>
      </c>
    </row>
    <row r="2765" spans="1:20" ht="165.75" x14ac:dyDescent="0.25">
      <c r="A2765" s="1">
        <v>2761</v>
      </c>
      <c r="B2765" s="1" t="str">
        <f>"2016-2126"</f>
        <v>2016-2126</v>
      </c>
      <c r="C2765" s="2" t="s">
        <v>1430</v>
      </c>
      <c r="D2765" s="1" t="s">
        <v>1347</v>
      </c>
      <c r="E2765" s="3" t="str">
        <f>"2016/S 002-0011497"</f>
        <v>2016/S 002-0011497</v>
      </c>
      <c r="F2765" s="2" t="s">
        <v>23</v>
      </c>
      <c r="G2765" s="2" t="str">
        <f>CONCATENATE("UNICREDIT LEASING CROATIA D.O.O.,"," HEINZELOVA 33,"," 10000 ZAGREB,"," OIB: 187361412")</f>
        <v>UNICREDIT LEASING CROATIA D.O.O., HEINZELOVA 33, 10000 ZAGREB, OIB: 187361412</v>
      </c>
      <c r="H2765" s="4"/>
      <c r="I2765" s="1" t="s">
        <v>1431</v>
      </c>
      <c r="J2765" s="1" t="s">
        <v>1432</v>
      </c>
      <c r="K2765" s="6" t="str">
        <f>"719.989,60"</f>
        <v>719.989,60</v>
      </c>
      <c r="L2765" s="6" t="str">
        <f>"179.997,40"</f>
        <v>179.997,40</v>
      </c>
      <c r="M2765" s="6" t="str">
        <f>"899.987,00"</f>
        <v>899.987,00</v>
      </c>
      <c r="N2765" s="1" t="s">
        <v>117</v>
      </c>
      <c r="O2765" s="7"/>
      <c r="P2765" s="6" t="str">
        <f>""</f>
        <v/>
      </c>
      <c r="Q2765" s="7"/>
      <c r="R2765" s="20" t="s">
        <v>2391</v>
      </c>
      <c r="S2765" s="1" t="str">
        <f>"N-131-A/16"</f>
        <v>N-131-A/16</v>
      </c>
      <c r="T2765" s="2" t="s">
        <v>33</v>
      </c>
    </row>
    <row r="2766" spans="1:20" ht="165.75" x14ac:dyDescent="0.25">
      <c r="A2766" s="1">
        <v>2762</v>
      </c>
      <c r="B2766" s="1" t="str">
        <f>"2016-2126"</f>
        <v>2016-2126</v>
      </c>
      <c r="C2766" s="2" t="s">
        <v>1430</v>
      </c>
      <c r="D2766" s="1" t="s">
        <v>1347</v>
      </c>
      <c r="E2766" s="3" t="str">
        <f>"2016/S 002-0011497"</f>
        <v>2016/S 002-0011497</v>
      </c>
      <c r="F2766" s="2" t="s">
        <v>23</v>
      </c>
      <c r="G2766" s="2" t="str">
        <f>CONCATENATE("SB LEASING D.O.O.,"," ULICA GRADA VUKOVARA 284,"," 10000 ZAGREB,"," OIB: 08745792574")</f>
        <v>SB LEASING D.O.O., ULICA GRADA VUKOVARA 284, 10000 ZAGREB, OIB: 08745792574</v>
      </c>
      <c r="H2766" s="4"/>
      <c r="I2766" s="1" t="s">
        <v>1431</v>
      </c>
      <c r="J2766" s="1" t="s">
        <v>1432</v>
      </c>
      <c r="K2766" s="6" t="str">
        <f>"1.126.328,00"</f>
        <v>1.126.328,00</v>
      </c>
      <c r="L2766" s="6" t="str">
        <f>"281.582,00"</f>
        <v>281.582,00</v>
      </c>
      <c r="M2766" s="6" t="str">
        <f>"1.407.910,00"</f>
        <v>1.407.910,00</v>
      </c>
      <c r="N2766" s="1" t="s">
        <v>117</v>
      </c>
      <c r="O2766" s="7"/>
      <c r="P2766" s="6" t="str">
        <f>""</f>
        <v/>
      </c>
      <c r="Q2766" s="7"/>
      <c r="R2766" s="20" t="s">
        <v>2391</v>
      </c>
      <c r="S2766" s="1" t="str">
        <f>"N-131-B/16"</f>
        <v>N-131-B/16</v>
      </c>
      <c r="T2766" s="2" t="s">
        <v>33</v>
      </c>
    </row>
    <row r="2767" spans="1:20" ht="165.75" x14ac:dyDescent="0.25">
      <c r="A2767" s="1">
        <v>2763</v>
      </c>
      <c r="B2767" s="1" t="str">
        <f>"2016-2126"</f>
        <v>2016-2126</v>
      </c>
      <c r="C2767" s="2" t="s">
        <v>1430</v>
      </c>
      <c r="D2767" s="1" t="s">
        <v>1347</v>
      </c>
      <c r="E2767" s="3" t="str">
        <f>"2016/S 002-0011497"</f>
        <v>2016/S 002-0011497</v>
      </c>
      <c r="F2767" s="2" t="s">
        <v>23</v>
      </c>
      <c r="G2767" s="2" t="str">
        <f>CONCATENATE("PORSCHE LEASING D.O.O.,"," VELIMIRA ŠKORPIKA 21,"," 10000 ZAGREB,"," OIB: 90275854576")</f>
        <v>PORSCHE LEASING D.O.O., VELIMIRA ŠKORPIKA 21, 10000 ZAGREB, OIB: 90275854576</v>
      </c>
      <c r="H2767" s="4"/>
      <c r="I2767" s="1" t="s">
        <v>1433</v>
      </c>
      <c r="J2767" s="1" t="s">
        <v>1434</v>
      </c>
      <c r="K2767" s="6" t="str">
        <f>"3.431.128,00"</f>
        <v>3.431.128,00</v>
      </c>
      <c r="L2767" s="6" t="str">
        <f>"857.782,00"</f>
        <v>857.782,00</v>
      </c>
      <c r="M2767" s="6" t="str">
        <f>"4.288.910,00"</f>
        <v>4.288.910,00</v>
      </c>
      <c r="N2767" s="5">
        <v>43027</v>
      </c>
      <c r="O2767" s="7"/>
      <c r="P2767" s="6" t="str">
        <f>"4.288.910,00"</f>
        <v>4.288.910,00</v>
      </c>
      <c r="Q2767" s="7"/>
      <c r="R2767" s="20" t="s">
        <v>2391</v>
      </c>
      <c r="S2767" s="1" t="str">
        <f>"N-131-C/16"</f>
        <v>N-131-C/16</v>
      </c>
      <c r="T2767" s="2" t="s">
        <v>33</v>
      </c>
    </row>
    <row r="2768" spans="1:20" ht="76.5" x14ac:dyDescent="0.25">
      <c r="A2768" s="1">
        <v>2764</v>
      </c>
      <c r="B2768" s="1" t="str">
        <f>"2016-2723"</f>
        <v>2016-2723</v>
      </c>
      <c r="C2768" s="2" t="s">
        <v>1435</v>
      </c>
      <c r="D2768" s="1" t="s">
        <v>1325</v>
      </c>
      <c r="E2768" s="3" t="str">
        <f>"2016/S 002-0022913"</f>
        <v>2016/S 002-0022913</v>
      </c>
      <c r="F2768" s="2" t="s">
        <v>23</v>
      </c>
      <c r="G2768" s="2" t="str">
        <f>CONCATENATE("INVESTINŽENJERING D.O.O.,"," TUŠKANOVA 41,"," 10000 ZAGREB,"," OIB: 78904416556")</f>
        <v>INVESTINŽENJERING D.O.O., TUŠKANOVA 41, 10000 ZAGREB, OIB: 78904416556</v>
      </c>
      <c r="H2768" s="1" t="str">
        <f>CONCATENATE("GEODETIKA D.O.O.,"," OIB: 92364669796",CHAR(10),"ECOINA D.O.O.,"," OIB: 98219968247")</f>
        <v>GEODETIKA D.O.O., OIB: 92364669796
ECOINA D.O.O., OIB: 98219968247</v>
      </c>
      <c r="I2768" s="1" t="s">
        <v>236</v>
      </c>
      <c r="J2768" s="1" t="s">
        <v>1436</v>
      </c>
      <c r="K2768" s="6" t="str">
        <f>"4.245.816,00"</f>
        <v>4.245.816,00</v>
      </c>
      <c r="L2768" s="6" t="str">
        <f>"1.061.454,00"</f>
        <v>1.061.454,00</v>
      </c>
      <c r="M2768" s="6" t="str">
        <f>"5.307.270,00"</f>
        <v>5.307.270,00</v>
      </c>
      <c r="N2768" s="5">
        <v>43703</v>
      </c>
      <c r="O2768" s="7"/>
      <c r="P2768" s="6" t="str">
        <f>"3.875.472,56"</f>
        <v>3.875.472,56</v>
      </c>
      <c r="Q2768" s="7"/>
      <c r="R2768" s="1"/>
      <c r="S2768" s="1" t="str">
        <f>"N-134/16"</f>
        <v>N-134/16</v>
      </c>
      <c r="T2768" s="2" t="s">
        <v>33</v>
      </c>
    </row>
    <row r="2769" spans="1:20" ht="63.75" x14ac:dyDescent="0.25">
      <c r="A2769" s="1">
        <v>2765</v>
      </c>
      <c r="B2769" s="1" t="str">
        <f>"2016-2996"</f>
        <v>2016-2996</v>
      </c>
      <c r="C2769" s="2" t="s">
        <v>1437</v>
      </c>
      <c r="D2769" s="1" t="s">
        <v>1384</v>
      </c>
      <c r="E2769" s="3" t="str">
        <f>"2016/S 002-0027414"</f>
        <v>2016/S 002-0027414</v>
      </c>
      <c r="F2769" s="2" t="s">
        <v>23</v>
      </c>
      <c r="G2769" s="2" t="str">
        <f>CONCATENATE("PROMPT PROJEKTIRANJE D.O.O.,"," TOMISLAVOVA 9,"," 10000 ZAGREB,"," OIB: 30094396634")</f>
        <v>PROMPT PROJEKTIRANJE D.O.O., TOMISLAVOVA 9, 10000 ZAGREB, OIB: 30094396634</v>
      </c>
      <c r="H2769" s="1" t="str">
        <f>CONCATENATE("GEODETIKA D.O.O.,"," OIB: 92364669796")</f>
        <v>GEODETIKA D.O.O., OIB: 92364669796</v>
      </c>
      <c r="I2769" s="1" t="s">
        <v>300</v>
      </c>
      <c r="J2769" s="1" t="s">
        <v>1438</v>
      </c>
      <c r="K2769" s="6" t="str">
        <f>"269.560,00"</f>
        <v>269.560,00</v>
      </c>
      <c r="L2769" s="6" t="str">
        <f>"67.390,00"</f>
        <v>67.390,00</v>
      </c>
      <c r="M2769" s="6" t="str">
        <f>"336.950,00"</f>
        <v>336.950,00</v>
      </c>
      <c r="N2769" s="1" t="s">
        <v>117</v>
      </c>
      <c r="O2769" s="7"/>
      <c r="P2769" s="6" t="str">
        <f>""</f>
        <v/>
      </c>
      <c r="Q2769" s="7"/>
      <c r="R2769" s="1"/>
      <c r="S2769" s="1" t="str">
        <f>"N-151/16"</f>
        <v>N-151/16</v>
      </c>
      <c r="T2769" s="2" t="s">
        <v>29</v>
      </c>
    </row>
    <row r="2770" spans="1:20" ht="409.5" x14ac:dyDescent="0.25">
      <c r="A2770" s="1">
        <v>2766</v>
      </c>
      <c r="B2770" s="1" t="str">
        <f>"2016-3192"</f>
        <v>2016-3192</v>
      </c>
      <c r="C2770" s="2" t="s">
        <v>1439</v>
      </c>
      <c r="D2770" s="1" t="s">
        <v>1440</v>
      </c>
      <c r="E2770" s="3" t="str">
        <f>"2016/S 002-0028468"</f>
        <v>2016/S 002-0028468</v>
      </c>
      <c r="F2770" s="2" t="s">
        <v>23</v>
      </c>
      <c r="G2770" s="2" t="str">
        <f>CONCATENATE("TEHNIKA D.D.,"," ULICA GRADA VUKOVARA 274,"," 10000 ZAGREB,"," OIB: 7303700125")</f>
        <v>TEHNIKA D.D., ULICA GRADA VUKOVARA 274, 10000 ZAGREB, OIB: 7303700125</v>
      </c>
      <c r="H2770" s="1"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v>
      </c>
      <c r="I2770" s="1" t="s">
        <v>349</v>
      </c>
      <c r="J2770" s="1" t="s">
        <v>350</v>
      </c>
      <c r="K2770" s="6" t="str">
        <f>"124.298.986,20"</f>
        <v>124.298.986,20</v>
      </c>
      <c r="L2770" s="6" t="str">
        <f>"31.074.746,55"</f>
        <v>31.074.746,55</v>
      </c>
      <c r="M2770" s="6" t="str">
        <f>"155.373.732,75"</f>
        <v>155.373.732,75</v>
      </c>
      <c r="N2770" s="5">
        <v>43676</v>
      </c>
      <c r="O2770" s="7"/>
      <c r="P2770" s="6" t="str">
        <f>"89.568.126,91"</f>
        <v>89.568.126,91</v>
      </c>
      <c r="Q2770" s="7"/>
      <c r="R2770" s="1"/>
      <c r="S2770" s="1" t="str">
        <f>"N-162/16"</f>
        <v>N-162/16</v>
      </c>
      <c r="T2770" s="2" t="s">
        <v>33</v>
      </c>
    </row>
    <row r="2771" spans="1:20" ht="409.5" x14ac:dyDescent="0.25">
      <c r="A2771" s="1">
        <v>2767</v>
      </c>
      <c r="B2771" s="1" t="str">
        <f>"2016-3192"</f>
        <v>2016-3192</v>
      </c>
      <c r="C2771" s="2" t="s">
        <v>1439</v>
      </c>
      <c r="D2771" s="1" t="s">
        <v>1440</v>
      </c>
      <c r="E2771" s="3" t="str">
        <f>"2016/S 002-0028468"</f>
        <v>2016/S 002-0028468</v>
      </c>
      <c r="F2771" s="2" t="s">
        <v>23</v>
      </c>
      <c r="G2771" s="2" t="str">
        <f>CONCATENATE("TEHNIKA D.D.,"," ULICA GRADA VUKOVARA 274,"," 10000 ZAGREB,"," OIB: 7303700125")</f>
        <v>TEHNIKA D.D., ULICA GRADA VUKOVARA 274, 10000 ZAGREB, OIB: 7303700125</v>
      </c>
      <c r="H2771" s="1"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v>
      </c>
      <c r="I2771" s="1" t="s">
        <v>1441</v>
      </c>
      <c r="J2771" s="1" t="s">
        <v>350</v>
      </c>
      <c r="K2771" s="6" t="str">
        <f>"124.298.986,20"</f>
        <v>124.298.986,20</v>
      </c>
      <c r="L2771" s="6" t="str">
        <f>"31.074.746,55"</f>
        <v>31.074.746,55</v>
      </c>
      <c r="M2771" s="6" t="str">
        <f>"155.373.732,75"</f>
        <v>155.373.732,75</v>
      </c>
      <c r="N2771" s="1" t="s">
        <v>117</v>
      </c>
      <c r="O2771" s="7"/>
      <c r="P2771" s="6" t="str">
        <f>""</f>
        <v/>
      </c>
      <c r="Q2771" s="7"/>
      <c r="R2771" s="1"/>
      <c r="S2771" s="1" t="str">
        <f>"N-162/16-1"</f>
        <v>N-162/16-1</v>
      </c>
      <c r="T2771" s="2" t="s">
        <v>33</v>
      </c>
    </row>
    <row r="2772" spans="1:20" ht="409.5" x14ac:dyDescent="0.25">
      <c r="A2772" s="1">
        <v>2768</v>
      </c>
      <c r="B2772" s="1" t="str">
        <f>"2016-3192"</f>
        <v>2016-3192</v>
      </c>
      <c r="C2772" s="2" t="s">
        <v>1439</v>
      </c>
      <c r="D2772" s="1" t="s">
        <v>1440</v>
      </c>
      <c r="E2772" s="3" t="str">
        <f>"2016/S 002-0028468"</f>
        <v>2016/S 002-0028468</v>
      </c>
      <c r="F2772" s="2" t="s">
        <v>23</v>
      </c>
      <c r="G2772" s="2" t="str">
        <f>CONCATENATE("TEHNIKA D.D.,"," ULICA GRADA VUKOVARA 274,"," 10000 ZAGREB,"," OIB: 7303700125")</f>
        <v>TEHNIKA D.D., ULICA GRADA VUKOVARA 274, 10000 ZAGREB, OIB: 7303700125</v>
      </c>
      <c r="H2772" s="1"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v>
      </c>
      <c r="I2772" s="1" t="s">
        <v>791</v>
      </c>
      <c r="J2772" s="1" t="s">
        <v>350</v>
      </c>
      <c r="K2772" s="6" t="str">
        <f>"124.298.986,20"</f>
        <v>124.298.986,20</v>
      </c>
      <c r="L2772" s="6" t="str">
        <f>"31.074.746,55"</f>
        <v>31.074.746,55</v>
      </c>
      <c r="M2772" s="6" t="str">
        <f>"155.373.732,75"</f>
        <v>155.373.732,75</v>
      </c>
      <c r="N2772" s="1" t="s">
        <v>117</v>
      </c>
      <c r="O2772" s="7"/>
      <c r="P2772" s="6" t="str">
        <f>""</f>
        <v/>
      </c>
      <c r="Q2772" s="7"/>
      <c r="R2772" s="1"/>
      <c r="S2772" s="1" t="str">
        <f>"N-162/16-2"</f>
        <v>N-162/16-2</v>
      </c>
      <c r="T2772" s="2" t="s">
        <v>33</v>
      </c>
    </row>
    <row r="2773" spans="1:20" ht="409.5" x14ac:dyDescent="0.25">
      <c r="A2773" s="1">
        <v>2769</v>
      </c>
      <c r="B2773" s="1" t="str">
        <f>"2016-3192"</f>
        <v>2016-3192</v>
      </c>
      <c r="C2773" s="2" t="s">
        <v>1439</v>
      </c>
      <c r="D2773" s="1" t="s">
        <v>1440</v>
      </c>
      <c r="E2773" s="3" t="str">
        <f>"2016/S 002-0028468"</f>
        <v>2016/S 002-0028468</v>
      </c>
      <c r="F2773" s="2" t="s">
        <v>1372</v>
      </c>
      <c r="G2773" s="2" t="str">
        <f>CONCATENATE("TEHNIKA D.D.,"," ULICA GRADA VUKOVARA 274,"," 10000 ZAGREB,"," OIB: 7303700125")</f>
        <v>TEHNIKA D.D., ULICA GRADA VUKOVARA 274, 10000 ZAGREB, OIB: 7303700125</v>
      </c>
      <c r="H2773" s="1" t="str">
        <f>CONCATENATE("INSPEKT D.O.O.,"," OIB: 24609583524",CHAR(10),"C.I.A.K. D.O.O.,"," OIB: 47428597158",CHAR(10),"PARTNER ELEKTRIK GE D.O.O.,"," OIB: 21246000051",CHAR(10),"ZLARING D.O.O.,"," OIB: 97665390982",CHAR(10),"ZAGREBAČKO ELEKTROTEHNIČKO PODUZEĆE D.D.,"," OIB: 04058897454",CHAR(10),"TEHNOMONT D.O.O.,"," OIB: 14782948782",CHAR(10),"KEDO D.O.O.,"," OIB: 31707617036",CHAR(10),"LAURA MONTAŽA D.O.O.,"," OIB: 29851768971",CHAR(10),"CERERA D.O.O.,"," OIB: 44357342414",CHAR(10),"ALFA-MONT D.O.O.,"," OIB: 78654636739",CHAR(10),"PET-PROM D.O.O.,"," OIB: 67247311476",CHAR(10),"BRAVARSKO PODUZEĆE ČELIK D.O.O.,"," OIB: 51720608781",CHAR(10),"FARBO INTERIJERI D.O.O.,"," OIB: 92990510016",CHAR(10),"ALING d.o.o.,"," OIB: 67349852816",CHAR(10),"IKAL D.O.O.,"," OIB: 81547387760",CHAR(10),"FRANC MONT D.O.O.,"," OIB: 53489415621",CHAR(10),"GEOTEHNIKA - KONSOLIDACIJA D.O.O.,"," OIB: 96552131417",CHAR(10),"INTEL TRADE D.O.O.,"," OIB: 71820395623")</f>
        <v>INSPEKT D.O.O., OIB: 24609583524
C.I.A.K. D.O.O., OIB: 47428597158
PARTNER ELEKTRIK GE D.O.O., OIB: 21246000051
ZLARING D.O.O., OIB: 97665390982
ZAGREBAČKO ELEKTROTEHNIČKO PODUZEĆE D.D., OIB: 04058897454
TEHNOMONT D.O.O., OIB: 14782948782
KEDO D.O.O., OIB: 31707617036
LAURA MONTAŽA D.O.O., OIB: 29851768971
CERERA D.O.O., OIB: 44357342414
ALFA-MONT D.O.O., OIB: 78654636739
PET-PROM D.O.O., OIB: 67247311476
BRAVARSKO PODUZEĆE ČELIK D.O.O., OIB: 51720608781
FARBO INTERIJERI D.O.O., OIB: 92990510016
ALING d.o.o., OIB: 67349852816
IKAL D.O.O., OIB: 81547387760
FRANC MONT D.O.O., OIB: 53489415621
GEOTEHNIKA - KONSOLIDACIJA D.O.O., OIB: 96552131417
INTEL TRADE D.O.O., OIB: 71820395623</v>
      </c>
      <c r="I2773" s="1" t="s">
        <v>71</v>
      </c>
      <c r="J2773" s="1" t="s">
        <v>1442</v>
      </c>
      <c r="K2773" s="6" t="str">
        <f>""</f>
        <v/>
      </c>
      <c r="L2773" s="6" t="str">
        <f>"0,00"</f>
        <v>0,00</v>
      </c>
      <c r="M2773" s="6" t="str">
        <f>"0,00"</f>
        <v>0,00</v>
      </c>
      <c r="N2773" s="1" t="s">
        <v>117</v>
      </c>
      <c r="O2773" s="7"/>
      <c r="P2773" s="6" t="str">
        <f>""</f>
        <v/>
      </c>
      <c r="Q2773" s="7"/>
      <c r="R2773" s="1"/>
      <c r="S2773" s="1" t="str">
        <f>"N-162/16-4"</f>
        <v>N-162/16-4</v>
      </c>
      <c r="T2773" s="2" t="s">
        <v>33</v>
      </c>
    </row>
    <row r="2774" spans="1:20" ht="63.75" x14ac:dyDescent="0.25">
      <c r="A2774" s="1">
        <v>2770</v>
      </c>
      <c r="B2774" s="1" t="str">
        <f>"2016-3193"</f>
        <v>2016-3193</v>
      </c>
      <c r="C2774" s="2" t="s">
        <v>1443</v>
      </c>
      <c r="D2774" s="1" t="s">
        <v>1325</v>
      </c>
      <c r="E2774" s="3" t="str">
        <f>"2016/S 002-0028464"</f>
        <v>2016/S 002-0028464</v>
      </c>
      <c r="F2774" s="2" t="s">
        <v>23</v>
      </c>
      <c r="G2774" s="2" t="str">
        <f>CONCATENATE("INTERKONZALTING D.O.O.,"," ULICA GRADA VUKOVARA 43/A,"," 10000 ZAGREB,"," OIB: 23141220773")</f>
        <v>INTERKONZALTING D.O.O., ULICA GRADA VUKOVARA 43/A, 10000 ZAGREB, OIB: 23141220773</v>
      </c>
      <c r="H2774" s="1" t="str">
        <f>CONCATENATE("MODUM GEODETSKI URED D.O.O.,"," OIB: 94431724365")</f>
        <v>MODUM GEODETSKI URED D.O.O., OIB: 94431724365</v>
      </c>
      <c r="I2774" s="1" t="s">
        <v>1444</v>
      </c>
      <c r="J2774" s="1" t="s">
        <v>439</v>
      </c>
      <c r="K2774" s="6" t="str">
        <f>"975.000,00"</f>
        <v>975.000,00</v>
      </c>
      <c r="L2774" s="6" t="str">
        <f>"243.750,00"</f>
        <v>243.750,00</v>
      </c>
      <c r="M2774" s="6" t="str">
        <f>"1.218.750,00"</f>
        <v>1.218.750,00</v>
      </c>
      <c r="N2774" s="5">
        <v>43571</v>
      </c>
      <c r="O2774" s="7"/>
      <c r="P2774" s="6" t="str">
        <f>"1.072.500,00"</f>
        <v>1.072.500,00</v>
      </c>
      <c r="Q2774" s="7"/>
      <c r="R2774" s="1"/>
      <c r="S2774" s="1" t="str">
        <f>"N-163/16"</f>
        <v>N-163/16</v>
      </c>
      <c r="T2774" s="2" t="s">
        <v>33</v>
      </c>
    </row>
    <row r="2775" spans="1:20" ht="38.25" x14ac:dyDescent="0.25">
      <c r="A2775" s="1">
        <v>2771</v>
      </c>
      <c r="B2775" s="1" t="str">
        <f t="shared" ref="B2775:B2781" si="276">"2016-2130"</f>
        <v>2016-2130</v>
      </c>
      <c r="C2775" s="2" t="s">
        <v>1445</v>
      </c>
      <c r="D2775" s="1" t="s">
        <v>1351</v>
      </c>
      <c r="E2775" s="3" t="str">
        <f t="shared" ref="E2775:E2781" si="277">"2016/S 002-0021249"</f>
        <v>2016/S 002-0021249</v>
      </c>
      <c r="F2775" s="2" t="s">
        <v>23</v>
      </c>
      <c r="G2775" s="2" t="str">
        <f>CONCATENATE("SB LEASING D.O.O.,"," ULICA GRADA VUKOVARA 284,"," 10000 ZAGREB,"," OIB: 08745792574")</f>
        <v>SB LEASING D.O.O., ULICA GRADA VUKOVARA 284, 10000 ZAGREB, OIB: 08745792574</v>
      </c>
      <c r="H2775" s="4"/>
      <c r="I2775" s="1" t="s">
        <v>1446</v>
      </c>
      <c r="J2775" s="1" t="s">
        <v>986</v>
      </c>
      <c r="K2775" s="6" t="str">
        <f>"4.131.132,00"</f>
        <v>4.131.132,00</v>
      </c>
      <c r="L2775" s="6" t="str">
        <f>"1.032.783,00"</f>
        <v>1.032.783,00</v>
      </c>
      <c r="M2775" s="6" t="str">
        <f>"5.163.915,00"</f>
        <v>5.163.915,00</v>
      </c>
      <c r="N2775" s="5">
        <v>43098</v>
      </c>
      <c r="O2775" s="7"/>
      <c r="P2775" s="6" t="str">
        <f>"5.163.915,00"</f>
        <v>5.163.915,00</v>
      </c>
      <c r="Q2775" s="7"/>
      <c r="R2775" s="1"/>
      <c r="S2775" s="1" t="str">
        <f>"N-166-A/16"</f>
        <v>N-166-A/16</v>
      </c>
      <c r="T2775" s="2" t="s">
        <v>33</v>
      </c>
    </row>
    <row r="2776" spans="1:20" ht="38.25" x14ac:dyDescent="0.25">
      <c r="A2776" s="1">
        <v>2772</v>
      </c>
      <c r="B2776" s="1" t="str">
        <f t="shared" si="276"/>
        <v>2016-2130</v>
      </c>
      <c r="C2776" s="2" t="s">
        <v>1445</v>
      </c>
      <c r="D2776" s="1" t="s">
        <v>1351</v>
      </c>
      <c r="E2776" s="3" t="str">
        <f t="shared" si="277"/>
        <v>2016/S 002-0021249</v>
      </c>
      <c r="F2776" s="2" t="s">
        <v>23</v>
      </c>
      <c r="G2776" s="2" t="str">
        <f>CONCATENATE("ERSTE &amp; STEIERMÄRKISCHE S-LEASING D.O.O.,"," ZELINSKA 3,"," 10000 ZAGREB,"," OIB: 4655067166")</f>
        <v>ERSTE &amp; STEIERMÄRKISCHE S-LEASING D.O.O., ZELINSKA 3, 10000 ZAGREB, OIB: 4655067166</v>
      </c>
      <c r="H2776" s="4"/>
      <c r="I2776" s="1" t="s">
        <v>1446</v>
      </c>
      <c r="J2776" s="1" t="s">
        <v>986</v>
      </c>
      <c r="K2776" s="6" t="str">
        <f>"2.454.193,00"</f>
        <v>2.454.193,00</v>
      </c>
      <c r="L2776" s="6" t="str">
        <f>"613.548,25"</f>
        <v>613.548,25</v>
      </c>
      <c r="M2776" s="6" t="str">
        <f>"3.067.741,25"</f>
        <v>3.067.741,25</v>
      </c>
      <c r="N2776" s="5">
        <v>43090</v>
      </c>
      <c r="O2776" s="7"/>
      <c r="P2776" s="6" t="str">
        <f>"3.067.741,25"</f>
        <v>3.067.741,25</v>
      </c>
      <c r="Q2776" s="7"/>
      <c r="R2776" s="1"/>
      <c r="S2776" s="1" t="str">
        <f>"N-166-B/16"</f>
        <v>N-166-B/16</v>
      </c>
      <c r="T2776" s="2" t="s">
        <v>33</v>
      </c>
    </row>
    <row r="2777" spans="1:20" ht="38.25" x14ac:dyDescent="0.25">
      <c r="A2777" s="1">
        <v>2773</v>
      </c>
      <c r="B2777" s="1" t="str">
        <f t="shared" si="276"/>
        <v>2016-2130</v>
      </c>
      <c r="C2777" s="2" t="s">
        <v>1445</v>
      </c>
      <c r="D2777" s="1" t="s">
        <v>1351</v>
      </c>
      <c r="E2777" s="3" t="str">
        <f t="shared" si="277"/>
        <v>2016/S 002-0021249</v>
      </c>
      <c r="F2777" s="2" t="s">
        <v>23</v>
      </c>
      <c r="G2777" s="2" t="str">
        <f>CONCATENATE("ERSTE &amp; STEIERMÄRKISCHE S-LEASING D.O.O.,"," ZELINSKA 3,"," 10000 ZAGREB,"," OIB: 4655067166")</f>
        <v>ERSTE &amp; STEIERMÄRKISCHE S-LEASING D.O.O., ZELINSKA 3, 10000 ZAGREB, OIB: 4655067166</v>
      </c>
      <c r="H2777" s="4"/>
      <c r="I2777" s="1" t="s">
        <v>1389</v>
      </c>
      <c r="J2777" s="1" t="s">
        <v>912</v>
      </c>
      <c r="K2777" s="6" t="str">
        <f>"4.683.986,88"</f>
        <v>4.683.986,88</v>
      </c>
      <c r="L2777" s="6" t="str">
        <f>"1.170.996,72"</f>
        <v>1.170.996,72</v>
      </c>
      <c r="M2777" s="6" t="str">
        <f>"5.854.983,60"</f>
        <v>5.854.983,60</v>
      </c>
      <c r="N2777" s="5">
        <v>43090</v>
      </c>
      <c r="O2777" s="7"/>
      <c r="P2777" s="6" t="str">
        <f>"5.854.983,60"</f>
        <v>5.854.983,60</v>
      </c>
      <c r="Q2777" s="7"/>
      <c r="R2777" s="1"/>
      <c r="S2777" s="1" t="str">
        <f>"N-166-C/16"</f>
        <v>N-166-C/16</v>
      </c>
      <c r="T2777" s="2" t="s">
        <v>33</v>
      </c>
    </row>
    <row r="2778" spans="1:20" ht="38.25" x14ac:dyDescent="0.25">
      <c r="A2778" s="1">
        <v>2774</v>
      </c>
      <c r="B2778" s="1" t="str">
        <f t="shared" si="276"/>
        <v>2016-2130</v>
      </c>
      <c r="C2778" s="2" t="s">
        <v>1445</v>
      </c>
      <c r="D2778" s="1" t="s">
        <v>1351</v>
      </c>
      <c r="E2778" s="3" t="str">
        <f t="shared" si="277"/>
        <v>2016/S 002-0021249</v>
      </c>
      <c r="F2778" s="2" t="s">
        <v>23</v>
      </c>
      <c r="G2778" s="2" t="str">
        <f>CONCATENATE("SB LEASING D.O.O.,"," ULICA GRADA VUKOVARA 284,"," 10000 ZAGREB,"," OIB: 08745792574")</f>
        <v>SB LEASING D.O.O., ULICA GRADA VUKOVARA 284, 10000 ZAGREB, OIB: 08745792574</v>
      </c>
      <c r="H2778" s="4"/>
      <c r="I2778" s="1" t="s">
        <v>1446</v>
      </c>
      <c r="J2778" s="1" t="s">
        <v>986</v>
      </c>
      <c r="K2778" s="6" t="str">
        <f>"4.528.246,08"</f>
        <v>4.528.246,08</v>
      </c>
      <c r="L2778" s="6" t="str">
        <f>"1.132.061,52"</f>
        <v>1.132.061,52</v>
      </c>
      <c r="M2778" s="6" t="str">
        <f>"5.660.307,60"</f>
        <v>5.660.307,60</v>
      </c>
      <c r="N2778" s="5">
        <v>43083</v>
      </c>
      <c r="O2778" s="7"/>
      <c r="P2778" s="6" t="str">
        <f>"5.660.307,60"</f>
        <v>5.660.307,60</v>
      </c>
      <c r="Q2778" s="7"/>
      <c r="R2778" s="1"/>
      <c r="S2778" s="1" t="str">
        <f>"N-166-D/16"</f>
        <v>N-166-D/16</v>
      </c>
      <c r="T2778" s="2" t="s">
        <v>33</v>
      </c>
    </row>
    <row r="2779" spans="1:20" ht="38.25" x14ac:dyDescent="0.25">
      <c r="A2779" s="1">
        <v>2775</v>
      </c>
      <c r="B2779" s="1" t="str">
        <f t="shared" si="276"/>
        <v>2016-2130</v>
      </c>
      <c r="C2779" s="2" t="s">
        <v>1445</v>
      </c>
      <c r="D2779" s="1" t="s">
        <v>1351</v>
      </c>
      <c r="E2779" s="3" t="str">
        <f t="shared" si="277"/>
        <v>2016/S 002-0021249</v>
      </c>
      <c r="F2779" s="2" t="s">
        <v>23</v>
      </c>
      <c r="G2779" s="2" t="str">
        <f>CONCATENATE("ERSTE &amp; STEIERMÄRKISCHE S-LEASING D.O.O.,"," ZELINSKA 3,"," 10000 ZAGREB,"," OIB: 4655067166")</f>
        <v>ERSTE &amp; STEIERMÄRKISCHE S-LEASING D.O.O., ZELINSKA 3, 10000 ZAGREB, OIB: 4655067166</v>
      </c>
      <c r="H2779" s="4"/>
      <c r="I2779" s="1" t="s">
        <v>1446</v>
      </c>
      <c r="J2779" s="1" t="s">
        <v>986</v>
      </c>
      <c r="K2779" s="6" t="str">
        <f>"7.155.583,44"</f>
        <v>7.155.583,44</v>
      </c>
      <c r="L2779" s="6" t="str">
        <f>"1.788.895,86"</f>
        <v>1.788.895,86</v>
      </c>
      <c r="M2779" s="6" t="str">
        <f>"8.944.479,30"</f>
        <v>8.944.479,30</v>
      </c>
      <c r="N2779" s="5">
        <v>43090</v>
      </c>
      <c r="O2779" s="7"/>
      <c r="P2779" s="6" t="str">
        <f>"8.944.479,30"</f>
        <v>8.944.479,30</v>
      </c>
      <c r="Q2779" s="7"/>
      <c r="R2779" s="1"/>
      <c r="S2779" s="1" t="str">
        <f>"N-166-E/16"</f>
        <v>N-166-E/16</v>
      </c>
      <c r="T2779" s="2" t="s">
        <v>33</v>
      </c>
    </row>
    <row r="2780" spans="1:20" ht="38.25" x14ac:dyDescent="0.25">
      <c r="A2780" s="1">
        <v>2776</v>
      </c>
      <c r="B2780" s="1" t="str">
        <f t="shared" si="276"/>
        <v>2016-2130</v>
      </c>
      <c r="C2780" s="2" t="s">
        <v>1445</v>
      </c>
      <c r="D2780" s="1" t="s">
        <v>1351</v>
      </c>
      <c r="E2780" s="3" t="str">
        <f t="shared" si="277"/>
        <v>2016/S 002-0021249</v>
      </c>
      <c r="F2780" s="2" t="s">
        <v>23</v>
      </c>
      <c r="G2780" s="2" t="str">
        <f>CONCATENATE("ERSTE &amp; STEIERMÄRKISCHE S-LEASING D.O.O.,"," ZELINSKA 3,"," 10000 ZAGREB,"," OIB: 4655067166")</f>
        <v>ERSTE &amp; STEIERMÄRKISCHE S-LEASING D.O.O., ZELINSKA 3, 10000 ZAGREB, OIB: 4655067166</v>
      </c>
      <c r="H2780" s="4"/>
      <c r="I2780" s="1" t="s">
        <v>1446</v>
      </c>
      <c r="J2780" s="1" t="s">
        <v>986</v>
      </c>
      <c r="K2780" s="6" t="str">
        <f>"1.615.160,86"</f>
        <v>1.615.160,86</v>
      </c>
      <c r="L2780" s="6" t="str">
        <f>"403.790,22"</f>
        <v>403.790,22</v>
      </c>
      <c r="M2780" s="6" t="str">
        <f>"2.018.951,08"</f>
        <v>2.018.951,08</v>
      </c>
      <c r="N2780" s="5">
        <v>43090</v>
      </c>
      <c r="O2780" s="7"/>
      <c r="P2780" s="6" t="str">
        <f>"2.018.951,08"</f>
        <v>2.018.951,08</v>
      </c>
      <c r="Q2780" s="7"/>
      <c r="R2780" s="1"/>
      <c r="S2780" s="1" t="str">
        <f>"N-166-F/16"</f>
        <v>N-166-F/16</v>
      </c>
      <c r="T2780" s="2" t="s">
        <v>33</v>
      </c>
    </row>
    <row r="2781" spans="1:20" ht="38.25" x14ac:dyDescent="0.25">
      <c r="A2781" s="1">
        <v>2777</v>
      </c>
      <c r="B2781" s="1" t="str">
        <f t="shared" si="276"/>
        <v>2016-2130</v>
      </c>
      <c r="C2781" s="2" t="s">
        <v>1445</v>
      </c>
      <c r="D2781" s="1" t="s">
        <v>1351</v>
      </c>
      <c r="E2781" s="3" t="str">
        <f t="shared" si="277"/>
        <v>2016/S 002-0021249</v>
      </c>
      <c r="F2781" s="2" t="s">
        <v>23</v>
      </c>
      <c r="G2781" s="2" t="str">
        <f>CONCATENATE("SB LEASING D.O.O.,"," ULICA GRADA VUKOVARA 284,"," 10000 ZAGREB,"," OIB: 08745792574")</f>
        <v>SB LEASING D.O.O., ULICA GRADA VUKOVARA 284, 10000 ZAGREB, OIB: 08745792574</v>
      </c>
      <c r="H2781" s="4"/>
      <c r="I2781" s="1" t="s">
        <v>1389</v>
      </c>
      <c r="J2781" s="1" t="s">
        <v>912</v>
      </c>
      <c r="K2781" s="6" t="str">
        <f>"850.595,52"</f>
        <v>850.595,52</v>
      </c>
      <c r="L2781" s="6" t="str">
        <f>"212.648,88"</f>
        <v>212.648,88</v>
      </c>
      <c r="M2781" s="6" t="str">
        <f>"1.063.244,40"</f>
        <v>1.063.244,40</v>
      </c>
      <c r="N2781" s="1"/>
      <c r="O2781" s="5">
        <v>43187</v>
      </c>
      <c r="P2781" s="6" t="str">
        <f>""</f>
        <v/>
      </c>
      <c r="Q2781" s="7"/>
      <c r="R2781" s="1"/>
      <c r="S2781" s="1" t="str">
        <f>"N-166-G/16"</f>
        <v>N-166-G/16</v>
      </c>
      <c r="T2781" s="2" t="s">
        <v>33</v>
      </c>
    </row>
    <row r="2782" spans="1:20" ht="165.75" x14ac:dyDescent="0.25">
      <c r="A2782" s="1">
        <v>2778</v>
      </c>
      <c r="B2782" s="1" t="str">
        <f>"2016-3010"</f>
        <v>2016-3010</v>
      </c>
      <c r="C2782" s="2" t="s">
        <v>1447</v>
      </c>
      <c r="D2782" s="1" t="s">
        <v>119</v>
      </c>
      <c r="E2782" s="3" t="str">
        <f>"2016/S 002-0026154"</f>
        <v>2016/S 002-0026154</v>
      </c>
      <c r="F2782" s="2" t="s">
        <v>23</v>
      </c>
      <c r="G2782" s="2" t="str">
        <f>CONCATENATE("BOLČEVIĆ-GRADNJA D.O.O.,"," DUGOSELSKA CESTA 56,"," 10361 SESVETSKI KRALJEVEC,"," OIB: 520986705")</f>
        <v>BOLČEVIĆ-GRADNJA D.O.O., DUGOSELSKA CESTA 56, 10361 SESVETSKI KRALJEVEC, OIB: 520986705</v>
      </c>
      <c r="H2782" s="1"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2782" s="1" t="s">
        <v>1448</v>
      </c>
      <c r="J2782" s="1" t="s">
        <v>1449</v>
      </c>
      <c r="K2782" s="6" t="str">
        <f>"3.877.698,80"</f>
        <v>3.877.698,80</v>
      </c>
      <c r="L2782" s="6" t="str">
        <f>"969.424,70"</f>
        <v>969.424,70</v>
      </c>
      <c r="M2782" s="6" t="str">
        <f>"4.847.123,50"</f>
        <v>4.847.123,50</v>
      </c>
      <c r="N2782" s="1" t="s">
        <v>117</v>
      </c>
      <c r="O2782" s="7"/>
      <c r="P2782" s="6" t="str">
        <f>""</f>
        <v/>
      </c>
      <c r="Q2782" s="7"/>
      <c r="R2782" s="1"/>
      <c r="S2782" s="1" t="str">
        <f>"N-172/16"</f>
        <v>N-172/16</v>
      </c>
      <c r="T2782" s="2" t="s">
        <v>29</v>
      </c>
    </row>
    <row r="2783" spans="1:20" ht="165.75" x14ac:dyDescent="0.25">
      <c r="A2783" s="1">
        <v>2779</v>
      </c>
      <c r="B2783" s="1" t="str">
        <f>"2016-3010"</f>
        <v>2016-3010</v>
      </c>
      <c r="C2783" s="2" t="s">
        <v>1447</v>
      </c>
      <c r="D2783" s="1" t="s">
        <v>119</v>
      </c>
      <c r="E2783" s="3" t="str">
        <f>"2016/S 002-0026154"</f>
        <v>2016/S 002-0026154</v>
      </c>
      <c r="F2783" s="2" t="s">
        <v>1372</v>
      </c>
      <c r="G2783" s="2" t="str">
        <f>CONCATENATE("BOLČEVIĆ-GRADNJA D.O.O.,"," DUGOSELSKA CESTA 56,"," 10361 SESVETSKI KRALJEVEC,"," OIB: 520986705")</f>
        <v>BOLČEVIĆ-GRADNJA D.O.O., DUGOSELSKA CESTA 56, 10361 SESVETSKI KRALJEVEC, OIB: 520986705</v>
      </c>
      <c r="H2783" s="1"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2783" s="1" t="s">
        <v>1450</v>
      </c>
      <c r="J2783" s="1" t="s">
        <v>933</v>
      </c>
      <c r="K2783" s="6" t="str">
        <f>""</f>
        <v/>
      </c>
      <c r="L2783" s="6" t="str">
        <f t="shared" ref="L2783:M2785" si="278">"0,00"</f>
        <v>0,00</v>
      </c>
      <c r="M2783" s="6" t="str">
        <f t="shared" si="278"/>
        <v>0,00</v>
      </c>
      <c r="N2783" s="1" t="s">
        <v>117</v>
      </c>
      <c r="O2783" s="7"/>
      <c r="P2783" s="6" t="str">
        <f>""</f>
        <v/>
      </c>
      <c r="Q2783" s="7"/>
      <c r="R2783" s="1"/>
      <c r="S2783" s="1" t="str">
        <f>"N-172/16-1"</f>
        <v>N-172/16-1</v>
      </c>
      <c r="T2783" s="2" t="s">
        <v>29</v>
      </c>
    </row>
    <row r="2784" spans="1:20" ht="165.75" x14ac:dyDescent="0.25">
      <c r="A2784" s="1">
        <v>2780</v>
      </c>
      <c r="B2784" s="1" t="str">
        <f>"2016-3010"</f>
        <v>2016-3010</v>
      </c>
      <c r="C2784" s="2" t="s">
        <v>1447</v>
      </c>
      <c r="D2784" s="1" t="s">
        <v>119</v>
      </c>
      <c r="E2784" s="3" t="str">
        <f>"2016/S 002-0026154"</f>
        <v>2016/S 002-0026154</v>
      </c>
      <c r="F2784" s="2" t="s">
        <v>1372</v>
      </c>
      <c r="G2784" s="2" t="str">
        <f>CONCATENATE("BOLČEVIĆ-GRADNJA D.O.O.,"," DUGOSELSKA CESTA 56,"," 10361 SESVETSKI KRALJEVEC,"," OIB: 520986705")</f>
        <v>BOLČEVIĆ-GRADNJA D.O.O., DUGOSELSKA CESTA 56, 10361 SESVETSKI KRALJEVEC, OIB: 520986705</v>
      </c>
      <c r="H2784" s="1"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2784" s="1" t="s">
        <v>902</v>
      </c>
      <c r="J2784" s="1" t="s">
        <v>83</v>
      </c>
      <c r="K2784" s="6" t="str">
        <f>""</f>
        <v/>
      </c>
      <c r="L2784" s="6" t="str">
        <f t="shared" si="278"/>
        <v>0,00</v>
      </c>
      <c r="M2784" s="6" t="str">
        <f t="shared" si="278"/>
        <v>0,00</v>
      </c>
      <c r="N2784" s="1" t="s">
        <v>117</v>
      </c>
      <c r="O2784" s="7"/>
      <c r="P2784" s="6" t="str">
        <f>""</f>
        <v/>
      </c>
      <c r="Q2784" s="7"/>
      <c r="R2784" s="1"/>
      <c r="S2784" s="1" t="str">
        <f>"N-172/16-2"</f>
        <v>N-172/16-2</v>
      </c>
      <c r="T2784" s="2" t="s">
        <v>29</v>
      </c>
    </row>
    <row r="2785" spans="1:20" ht="165.75" x14ac:dyDescent="0.25">
      <c r="A2785" s="1">
        <v>2781</v>
      </c>
      <c r="B2785" s="1" t="str">
        <f>"2016-3010"</f>
        <v>2016-3010</v>
      </c>
      <c r="C2785" s="2" t="s">
        <v>1447</v>
      </c>
      <c r="D2785" s="1" t="s">
        <v>119</v>
      </c>
      <c r="E2785" s="3" t="str">
        <f>"2016/S 002-0026154"</f>
        <v>2016/S 002-0026154</v>
      </c>
      <c r="F2785" s="2" t="s">
        <v>1372</v>
      </c>
      <c r="G2785" s="2" t="str">
        <f>CONCATENATE("BOLČEVIĆ-GRADNJA D.O.O.,"," DUGOSELSKA CESTA 56,"," 10361 SESVETSKI KRALJEVEC,"," OIB: 520986705")</f>
        <v>BOLČEVIĆ-GRADNJA D.O.O., DUGOSELSKA CESTA 56, 10361 SESVETSKI KRALJEVEC, OIB: 520986705</v>
      </c>
      <c r="H2785" s="1" t="str">
        <f>CONCATENATE("ZAGREBINSPEKT D.O.O.,"," OIB: 82752153530",CHAR(10),"M G V D.O.O.,"," OIB: 72602155595",CHAR(10),"GRAĐEVINSKI LABORATORIJ D.O.O.,"," OIB: 51460238404",CHAR(10),"PROJEKTLAB D.O.O.,"," OIB: 48245489488")</f>
        <v>ZAGREBINSPEKT D.O.O., OIB: 82752153530
M G V D.O.O., OIB: 72602155595
GRAĐEVINSKI LABORATORIJ D.O.O., OIB: 51460238404
PROJEKTLAB D.O.O., OIB: 48245489488</v>
      </c>
      <c r="I2785" s="1" t="s">
        <v>695</v>
      </c>
      <c r="J2785" s="1" t="s">
        <v>42</v>
      </c>
      <c r="K2785" s="6" t="str">
        <f>""</f>
        <v/>
      </c>
      <c r="L2785" s="6" t="str">
        <f t="shared" si="278"/>
        <v>0,00</v>
      </c>
      <c r="M2785" s="6" t="str">
        <f t="shared" si="278"/>
        <v>0,00</v>
      </c>
      <c r="N2785" s="1" t="s">
        <v>117</v>
      </c>
      <c r="O2785" s="7"/>
      <c r="P2785" s="6" t="str">
        <f>""</f>
        <v/>
      </c>
      <c r="Q2785" s="7"/>
      <c r="R2785" s="1"/>
      <c r="S2785" s="1" t="str">
        <f>"N-172/16-3"</f>
        <v>N-172/16-3</v>
      </c>
      <c r="T2785" s="2" t="s">
        <v>29</v>
      </c>
    </row>
    <row r="2786" spans="1:20" ht="165.75" x14ac:dyDescent="0.25">
      <c r="A2786" s="1">
        <v>2782</v>
      </c>
      <c r="B2786" s="1" t="str">
        <f>"2016-2588"</f>
        <v>2016-2588</v>
      </c>
      <c r="C2786" s="2" t="s">
        <v>1451</v>
      </c>
      <c r="D2786" s="1" t="s">
        <v>1351</v>
      </c>
      <c r="E2786" s="3" t="str">
        <f>"2016/S 002-0030028"</f>
        <v>2016/S 002-0030028</v>
      </c>
      <c r="F2786" s="2" t="s">
        <v>23</v>
      </c>
      <c r="G2786" s="2" t="str">
        <f>CONCATENATE("UNICREDIT LEASING CROATIA D.O.O.,"," HEINZELOVA 33,"," 10000 ZAGREB,"," OIB: 187361412")</f>
        <v>UNICREDIT LEASING CROATIA D.O.O., HEINZELOVA 33, 10000 ZAGREB, OIB: 187361412</v>
      </c>
      <c r="H2786" s="4"/>
      <c r="I2786" s="1" t="s">
        <v>1452</v>
      </c>
      <c r="J2786" s="1" t="s">
        <v>1453</v>
      </c>
      <c r="K2786" s="6" t="str">
        <f>"729.959,80"</f>
        <v>729.959,80</v>
      </c>
      <c r="L2786" s="6" t="str">
        <f>"182.489,95"</f>
        <v>182.489,95</v>
      </c>
      <c r="M2786" s="6" t="str">
        <f>"912.449,75"</f>
        <v>912.449,75</v>
      </c>
      <c r="N2786" s="1" t="s">
        <v>117</v>
      </c>
      <c r="O2786" s="7"/>
      <c r="P2786" s="6" t="str">
        <f>""</f>
        <v/>
      </c>
      <c r="Q2786" s="7"/>
      <c r="R2786" s="20" t="s">
        <v>2391</v>
      </c>
      <c r="S2786" s="1" t="str">
        <f>"N-174/16"</f>
        <v>N-174/16</v>
      </c>
      <c r="T2786" s="2" t="s">
        <v>33</v>
      </c>
    </row>
    <row r="2787" spans="1:20" ht="165.75" x14ac:dyDescent="0.25">
      <c r="A2787" s="1">
        <v>2783</v>
      </c>
      <c r="B2787" s="1" t="str">
        <f>"2016-2589"</f>
        <v>2016-2589</v>
      </c>
      <c r="C2787" s="2" t="s">
        <v>1454</v>
      </c>
      <c r="D2787" s="1" t="s">
        <v>1455</v>
      </c>
      <c r="E2787" s="3" t="str">
        <f>"2016/S 002-0030098"</f>
        <v>2016/S 002-0030098</v>
      </c>
      <c r="F2787" s="2" t="s">
        <v>23</v>
      </c>
      <c r="G2787" s="2" t="str">
        <f>CONCATENATE("UNICREDIT LEASING CROATIA D.O.O.,"," HEINZELOVA 33,"," 10000 ZAGREB,"," OIB: 187361412")</f>
        <v>UNICREDIT LEASING CROATIA D.O.O., HEINZELOVA 33, 10000 ZAGREB, OIB: 187361412</v>
      </c>
      <c r="H2787" s="4"/>
      <c r="I2787" s="1" t="s">
        <v>1456</v>
      </c>
      <c r="J2787" s="1" t="s">
        <v>1457</v>
      </c>
      <c r="K2787" s="6" t="str">
        <f>"700.850,00"</f>
        <v>700.850,00</v>
      </c>
      <c r="L2787" s="6" t="str">
        <f>"175.212,50"</f>
        <v>175.212,50</v>
      </c>
      <c r="M2787" s="6" t="str">
        <f>"876.062,50"</f>
        <v>876.062,50</v>
      </c>
      <c r="N2787" s="1" t="s">
        <v>117</v>
      </c>
      <c r="O2787" s="7"/>
      <c r="P2787" s="6" t="str">
        <f>""</f>
        <v/>
      </c>
      <c r="Q2787" s="7"/>
      <c r="R2787" s="20" t="s">
        <v>2391</v>
      </c>
      <c r="S2787" s="1" t="str">
        <f>"N-180/16"</f>
        <v>N-180/16</v>
      </c>
      <c r="T2787" s="2" t="s">
        <v>33</v>
      </c>
    </row>
    <row r="2788" spans="1:20" ht="38.25" x14ac:dyDescent="0.25">
      <c r="A2788" s="1">
        <v>2784</v>
      </c>
      <c r="B2788" s="1" t="str">
        <f>"2016-2218"</f>
        <v>2016-2218</v>
      </c>
      <c r="C2788" s="2" t="s">
        <v>1458</v>
      </c>
      <c r="D2788" s="1" t="s">
        <v>1351</v>
      </c>
      <c r="E2788" s="3" t="str">
        <f>"2016/S 002-0025027"</f>
        <v>2016/S 002-0025027</v>
      </c>
      <c r="F2788" s="2" t="s">
        <v>23</v>
      </c>
      <c r="G2788" s="2" t="str">
        <f>CONCATENATE("SB LEASING D.O.O.,"," ULICA GRADA VUKOVARA 284,"," 10000 ZAGREB,"," OIB: 08745792574")</f>
        <v>SB LEASING D.O.O., ULICA GRADA VUKOVARA 284, 10000 ZAGREB, OIB: 08745792574</v>
      </c>
      <c r="H2788" s="4"/>
      <c r="I2788" s="1" t="s">
        <v>282</v>
      </c>
      <c r="J2788" s="1" t="s">
        <v>1459</v>
      </c>
      <c r="K2788" s="6" t="str">
        <f>"973.131,96"</f>
        <v>973.131,96</v>
      </c>
      <c r="L2788" s="6" t="str">
        <f>"243.282,99"</f>
        <v>243.282,99</v>
      </c>
      <c r="M2788" s="6" t="str">
        <f>"1.216.414,95"</f>
        <v>1.216.414,95</v>
      </c>
      <c r="N2788" s="1" t="s">
        <v>117</v>
      </c>
      <c r="O2788" s="7"/>
      <c r="P2788" s="6" t="str">
        <f>""</f>
        <v/>
      </c>
      <c r="Q2788" s="7"/>
      <c r="R2788" s="1"/>
      <c r="S2788" s="1" t="str">
        <f>"N-183-A/16"</f>
        <v>N-183-A/16</v>
      </c>
      <c r="T2788" s="2" t="s">
        <v>33</v>
      </c>
    </row>
    <row r="2789" spans="1:20" ht="38.25" x14ac:dyDescent="0.25">
      <c r="A2789" s="1">
        <v>2785</v>
      </c>
      <c r="B2789" s="1" t="str">
        <f>"2016-2218"</f>
        <v>2016-2218</v>
      </c>
      <c r="C2789" s="2" t="s">
        <v>1458</v>
      </c>
      <c r="D2789" s="1" t="s">
        <v>1351</v>
      </c>
      <c r="E2789" s="3" t="str">
        <f>"2016/S 002-0025027"</f>
        <v>2016/S 002-0025027</v>
      </c>
      <c r="F2789" s="2" t="s">
        <v>23</v>
      </c>
      <c r="G2789" s="2" t="str">
        <f>CONCATENATE("SB LEASING D.O.O.,"," ULICA GRADA VUKOVARA 284,"," 10000 ZAGREB,"," OIB: 08745792574")</f>
        <v>SB LEASING D.O.O., ULICA GRADA VUKOVARA 284, 10000 ZAGREB, OIB: 08745792574</v>
      </c>
      <c r="H2789" s="4"/>
      <c r="I2789" s="1" t="s">
        <v>282</v>
      </c>
      <c r="J2789" s="1" t="s">
        <v>1460</v>
      </c>
      <c r="K2789" s="6" t="str">
        <f>"1.658.082,48"</f>
        <v>1.658.082,48</v>
      </c>
      <c r="L2789" s="6" t="str">
        <f>"414.520,62"</f>
        <v>414.520,62</v>
      </c>
      <c r="M2789" s="6" t="str">
        <f>"2.072.603,10"</f>
        <v>2.072.603,10</v>
      </c>
      <c r="N2789" s="5">
        <v>43210</v>
      </c>
      <c r="O2789" s="7"/>
      <c r="P2789" s="6" t="str">
        <f>"1.827.725,05"</f>
        <v>1.827.725,05</v>
      </c>
      <c r="Q2789" s="7"/>
      <c r="R2789" s="1"/>
      <c r="S2789" s="1" t="str">
        <f>"N-183-B/16"</f>
        <v>N-183-B/16</v>
      </c>
      <c r="T2789" s="2" t="s">
        <v>33</v>
      </c>
    </row>
    <row r="2790" spans="1:20" ht="38.25" x14ac:dyDescent="0.25">
      <c r="A2790" s="1">
        <v>2786</v>
      </c>
      <c r="B2790" s="1" t="str">
        <f>"2016-2218"</f>
        <v>2016-2218</v>
      </c>
      <c r="C2790" s="2" t="s">
        <v>1458</v>
      </c>
      <c r="D2790" s="1" t="s">
        <v>1351</v>
      </c>
      <c r="E2790" s="3" t="str">
        <f>"2016/S 002-0025027"</f>
        <v>2016/S 002-0025027</v>
      </c>
      <c r="F2790" s="2" t="s">
        <v>23</v>
      </c>
      <c r="G2790" s="2" t="str">
        <f>CONCATENATE("ERSTE &amp; STEIERMÄRKISCHE S-LEASING D.O.O.,"," ZELINSKA 3,"," 10000 ZAGREB,"," OIB: 4655067166")</f>
        <v>ERSTE &amp; STEIERMÄRKISCHE S-LEASING D.O.O., ZELINSKA 3, 10000 ZAGREB, OIB: 4655067166</v>
      </c>
      <c r="H2790" s="4"/>
      <c r="I2790" s="1" t="s">
        <v>282</v>
      </c>
      <c r="J2790" s="1" t="s">
        <v>1459</v>
      </c>
      <c r="K2790" s="6" t="str">
        <f>"2.409.517,68"</f>
        <v>2.409.517,68</v>
      </c>
      <c r="L2790" s="6" t="str">
        <f>"602.379,42"</f>
        <v>602.379,42</v>
      </c>
      <c r="M2790" s="6" t="str">
        <f>"3.011.897,10"</f>
        <v>3.011.897,10</v>
      </c>
      <c r="N2790" s="1" t="s">
        <v>117</v>
      </c>
      <c r="O2790" s="7"/>
      <c r="P2790" s="6" t="str">
        <f>""</f>
        <v/>
      </c>
      <c r="Q2790" s="7"/>
      <c r="R2790" s="1"/>
      <c r="S2790" s="1" t="str">
        <f>"N-183-C/16"</f>
        <v>N-183-C/16</v>
      </c>
      <c r="T2790" s="2" t="s">
        <v>33</v>
      </c>
    </row>
    <row r="2791" spans="1:20" ht="38.25" x14ac:dyDescent="0.25">
      <c r="A2791" s="1">
        <v>2787</v>
      </c>
      <c r="B2791" s="1" t="str">
        <f>"2016-2218"</f>
        <v>2016-2218</v>
      </c>
      <c r="C2791" s="2" t="s">
        <v>1458</v>
      </c>
      <c r="D2791" s="1" t="s">
        <v>1351</v>
      </c>
      <c r="E2791" s="3" t="str">
        <f>"2016/S 002-0025027"</f>
        <v>2016/S 002-0025027</v>
      </c>
      <c r="F2791" s="2" t="s">
        <v>23</v>
      </c>
      <c r="G2791" s="2" t="str">
        <f>CONCATENATE("UNICREDIT LEASING CROATIA D.O.O.,"," HEINZELOVA 33,"," 10000 ZAGREB,"," OIB: 187361412")</f>
        <v>UNICREDIT LEASING CROATIA D.O.O., HEINZELOVA 33, 10000 ZAGREB, OIB: 187361412</v>
      </c>
      <c r="H2791" s="4"/>
      <c r="I2791" s="1" t="s">
        <v>282</v>
      </c>
      <c r="J2791" s="1" t="s">
        <v>1459</v>
      </c>
      <c r="K2791" s="6" t="str">
        <f>"3.159.708,56"</f>
        <v>3.159.708,56</v>
      </c>
      <c r="L2791" s="6" t="str">
        <f>"789.927,14"</f>
        <v>789.927,14</v>
      </c>
      <c r="M2791" s="6" t="str">
        <f>"3.949.635,70"</f>
        <v>3.949.635,70</v>
      </c>
      <c r="N2791" s="1" t="s">
        <v>117</v>
      </c>
      <c r="O2791" s="7"/>
      <c r="P2791" s="6" t="str">
        <f>""</f>
        <v/>
      </c>
      <c r="Q2791" s="7"/>
      <c r="R2791" s="1"/>
      <c r="S2791" s="1" t="str">
        <f>"N-183-D/16"</f>
        <v>N-183-D/16</v>
      </c>
      <c r="T2791" s="2" t="s">
        <v>33</v>
      </c>
    </row>
    <row r="2792" spans="1:20" ht="38.25" x14ac:dyDescent="0.25">
      <c r="A2792" s="1">
        <v>2788</v>
      </c>
      <c r="B2792" s="1" t="str">
        <f>"2016-3194"</f>
        <v>2016-3194</v>
      </c>
      <c r="C2792" s="2" t="s">
        <v>1461</v>
      </c>
      <c r="D2792" s="1" t="s">
        <v>1322</v>
      </c>
      <c r="E2792" s="3" t="str">
        <f>"2016/S 002-0028427"</f>
        <v>2016/S 002-0028427</v>
      </c>
      <c r="F2792" s="2" t="s">
        <v>23</v>
      </c>
      <c r="G2792" s="2" t="str">
        <f>CONCATENATE("EKONERG D.O.O.,"," KORANSKA ULICA 5,"," 10000 ZAGREB,"," OIB: 71690188016")</f>
        <v>EKONERG D.O.O., KORANSKA ULICA 5, 10000 ZAGREB, OIB: 71690188016</v>
      </c>
      <c r="H2792" s="4"/>
      <c r="I2792" s="1" t="s">
        <v>1462</v>
      </c>
      <c r="J2792" s="1" t="s">
        <v>1463</v>
      </c>
      <c r="K2792" s="6" t="str">
        <f>"1.395.000,00"</f>
        <v>1.395.000,00</v>
      </c>
      <c r="L2792" s="6" t="str">
        <f>"348.750,00"</f>
        <v>348.750,00</v>
      </c>
      <c r="M2792" s="6" t="str">
        <f>"1.743.750,00"</f>
        <v>1.743.750,00</v>
      </c>
      <c r="N2792" s="5">
        <v>43587</v>
      </c>
      <c r="O2792" s="7"/>
      <c r="P2792" s="6" t="str">
        <f>"1.124.506,12"</f>
        <v>1.124.506,12</v>
      </c>
      <c r="Q2792" s="7"/>
      <c r="R2792" s="1"/>
      <c r="S2792" s="1" t="str">
        <f>"N-184/16"</f>
        <v>N-184/16</v>
      </c>
      <c r="T2792" s="2" t="s">
        <v>33</v>
      </c>
    </row>
    <row r="2793" spans="1:20" ht="165.75" x14ac:dyDescent="0.25">
      <c r="A2793" s="1">
        <v>2789</v>
      </c>
      <c r="B2793" s="1" t="str">
        <f>"2016-3143"</f>
        <v>2016-3143</v>
      </c>
      <c r="C2793" s="2" t="s">
        <v>1464</v>
      </c>
      <c r="D2793" s="1" t="s">
        <v>1325</v>
      </c>
      <c r="E2793" s="3" t="str">
        <f>"2016/S 002-0027438"</f>
        <v>2016/S 002-0027438</v>
      </c>
      <c r="F2793" s="2" t="s">
        <v>23</v>
      </c>
      <c r="G2793" s="2" t="str">
        <f>CONCATENATE("PROMETNICE ZAGREB D.O.O.,"," OIB: 28111148974")</f>
        <v>PROMETNICE ZAGREB D.O.O., OIB: 28111148974</v>
      </c>
      <c r="H2793" s="1" t="str">
        <f>CONCATENATE("IPT-INŽENJERING D.O.O.,"," OIB: 39792730053",CHAR(10),"GEO-BIM D.O.O.,"," OIB: 64311322215",CHAR(10),"INGRI D.O.O.,"," OIB: 82406368957",CHAR(10),"DOKO DOM D.O.O.,"," OIB: 94894101319")</f>
        <v>IPT-INŽENJERING D.O.O., OIB: 39792730053
GEO-BIM D.O.O., OIB: 64311322215
INGRI D.O.O., OIB: 82406368957
DOKO DOM D.O.O., OIB: 94894101319</v>
      </c>
      <c r="I2793" s="1" t="s">
        <v>783</v>
      </c>
      <c r="J2793" s="1" t="s">
        <v>1465</v>
      </c>
      <c r="K2793" s="6" t="str">
        <f>"109.000,00"</f>
        <v>109.000,00</v>
      </c>
      <c r="L2793" s="6" t="str">
        <f>"27.250,00"</f>
        <v>27.250,00</v>
      </c>
      <c r="M2793" s="6" t="str">
        <f>"136.250,00"</f>
        <v>136.250,00</v>
      </c>
      <c r="N2793" s="1" t="s">
        <v>117</v>
      </c>
      <c r="O2793" s="7"/>
      <c r="P2793" s="6" t="str">
        <f>""</f>
        <v/>
      </c>
      <c r="Q2793" s="7"/>
      <c r="R2793" s="1"/>
      <c r="S2793" s="1" t="str">
        <f>"N-186/16"</f>
        <v>N-186/16</v>
      </c>
      <c r="T2793" s="2" t="s">
        <v>29</v>
      </c>
    </row>
    <row r="2794" spans="1:20" ht="38.25" x14ac:dyDescent="0.25">
      <c r="A2794" s="1">
        <v>2790</v>
      </c>
      <c r="B2794" s="1" t="str">
        <f>"2016-2828"</f>
        <v>2016-2828</v>
      </c>
      <c r="C2794" s="2" t="s">
        <v>1466</v>
      </c>
      <c r="D2794" s="1" t="s">
        <v>948</v>
      </c>
      <c r="E2794" s="3" t="str">
        <f>"2016/S 002-0021448"</f>
        <v>2016/S 002-0021448</v>
      </c>
      <c r="F2794" s="2" t="s">
        <v>23</v>
      </c>
      <c r="G2794" s="2" t="str">
        <f>CONCATENATE("UNICREDIT LEASING CROATIA D.O.O.,"," HEINZELOVA 33,"," 10000 ZAGREB,"," OIB: 187361412")</f>
        <v>UNICREDIT LEASING CROATIA D.O.O., HEINZELOVA 33, 10000 ZAGREB, OIB: 187361412</v>
      </c>
      <c r="H2794" s="4"/>
      <c r="I2794" s="1" t="s">
        <v>1467</v>
      </c>
      <c r="J2794" s="1" t="s">
        <v>1468</v>
      </c>
      <c r="K2794" s="6" t="str">
        <f>"1.380.828,84"</f>
        <v>1.380.828,84</v>
      </c>
      <c r="L2794" s="6" t="str">
        <f>"345.207,21"</f>
        <v>345.207,21</v>
      </c>
      <c r="M2794" s="6" t="str">
        <f>"1.726.036,05"</f>
        <v>1.726.036,05</v>
      </c>
      <c r="N2794" s="5">
        <v>43137</v>
      </c>
      <c r="O2794" s="7"/>
      <c r="P2794" s="6" t="str">
        <f>"1.512.697,98"</f>
        <v>1.512.697,98</v>
      </c>
      <c r="Q2794" s="7"/>
      <c r="R2794" s="1"/>
      <c r="S2794" s="1" t="str">
        <f>"N-188-A/16"</f>
        <v>N-188-A/16</v>
      </c>
      <c r="T2794" s="2" t="s">
        <v>33</v>
      </c>
    </row>
    <row r="2795" spans="1:20" ht="38.25" x14ac:dyDescent="0.25">
      <c r="A2795" s="1">
        <v>2791</v>
      </c>
      <c r="B2795" s="1" t="str">
        <f>"2016-2828"</f>
        <v>2016-2828</v>
      </c>
      <c r="C2795" s="2" t="s">
        <v>1466</v>
      </c>
      <c r="D2795" s="1" t="s">
        <v>948</v>
      </c>
      <c r="E2795" s="3" t="str">
        <f>"2016/S 002-0021448"</f>
        <v>2016/S 002-0021448</v>
      </c>
      <c r="F2795" s="2" t="s">
        <v>23</v>
      </c>
      <c r="G2795" s="2" t="str">
        <f>CONCATENATE("SB LEASING D.O.O.,"," ULICA GRADA VUKOVARA 284,"," 10000 ZAGREB,"," OIB: 08745792574")</f>
        <v>SB LEASING D.O.O., ULICA GRADA VUKOVARA 284, 10000 ZAGREB, OIB: 08745792574</v>
      </c>
      <c r="H2795" s="4"/>
      <c r="I2795" s="1" t="s">
        <v>580</v>
      </c>
      <c r="J2795" s="1" t="s">
        <v>1083</v>
      </c>
      <c r="K2795" s="6" t="str">
        <f>"7.617.202,08"</f>
        <v>7.617.202,08</v>
      </c>
      <c r="L2795" s="6" t="str">
        <f>"1.904.300,52"</f>
        <v>1.904.300,52</v>
      </c>
      <c r="M2795" s="6" t="str">
        <f>"9.521.502,60"</f>
        <v>9.521.502,60</v>
      </c>
      <c r="N2795" s="5">
        <v>43292</v>
      </c>
      <c r="O2795" s="7"/>
      <c r="P2795" s="6" t="str">
        <f>"7.825.723,00"</f>
        <v>7.825.723,00</v>
      </c>
      <c r="Q2795" s="7"/>
      <c r="R2795" s="1"/>
      <c r="S2795" s="1" t="str">
        <f>"N-188-B/16"</f>
        <v>N-188-B/16</v>
      </c>
      <c r="T2795" s="2" t="s">
        <v>33</v>
      </c>
    </row>
    <row r="2796" spans="1:20" ht="38.25" x14ac:dyDescent="0.25">
      <c r="A2796" s="1">
        <v>2792</v>
      </c>
      <c r="B2796" s="1" t="str">
        <f>"2016-2828"</f>
        <v>2016-2828</v>
      </c>
      <c r="C2796" s="2" t="s">
        <v>1466</v>
      </c>
      <c r="D2796" s="1" t="s">
        <v>948</v>
      </c>
      <c r="E2796" s="3" t="str">
        <f>"2016/S 002-0021448"</f>
        <v>2016/S 002-0021448</v>
      </c>
      <c r="F2796" s="2" t="s">
        <v>23</v>
      </c>
      <c r="G2796" s="2" t="str">
        <f>CONCATENATE("SB LEASING D.O.O.,"," ULICA GRADA VUKOVARA 284,"," 10000 ZAGREB,"," OIB: 08745792574")</f>
        <v>SB LEASING D.O.O., ULICA GRADA VUKOVARA 284, 10000 ZAGREB, OIB: 08745792574</v>
      </c>
      <c r="H2796" s="4"/>
      <c r="I2796" s="1" t="s">
        <v>580</v>
      </c>
      <c r="J2796" s="1" t="s">
        <v>1083</v>
      </c>
      <c r="K2796" s="6" t="str">
        <f>"2.280.238,32"</f>
        <v>2.280.238,32</v>
      </c>
      <c r="L2796" s="6" t="str">
        <f>"570.059,58"</f>
        <v>570.059,58</v>
      </c>
      <c r="M2796" s="6" t="str">
        <f>"2.850.297,90"</f>
        <v>2.850.297,90</v>
      </c>
      <c r="N2796" s="5">
        <v>43292</v>
      </c>
      <c r="O2796" s="7"/>
      <c r="P2796" s="6" t="str">
        <f>"2.370.592,78"</f>
        <v>2.370.592,78</v>
      </c>
      <c r="Q2796" s="7"/>
      <c r="R2796" s="1"/>
      <c r="S2796" s="1" t="str">
        <f>"N-188-C/16"</f>
        <v>N-188-C/16</v>
      </c>
      <c r="T2796" s="2" t="s">
        <v>33</v>
      </c>
    </row>
    <row r="2797" spans="1:20" ht="38.25" x14ac:dyDescent="0.25">
      <c r="A2797" s="1">
        <v>2793</v>
      </c>
      <c r="B2797" s="1" t="str">
        <f>"2016-2828"</f>
        <v>2016-2828</v>
      </c>
      <c r="C2797" s="2" t="s">
        <v>1466</v>
      </c>
      <c r="D2797" s="1" t="s">
        <v>948</v>
      </c>
      <c r="E2797" s="3" t="str">
        <f>"2016/S 002-0021448"</f>
        <v>2016/S 002-0021448</v>
      </c>
      <c r="F2797" s="2" t="s">
        <v>23</v>
      </c>
      <c r="G2797" s="2" t="str">
        <f>CONCATENATE("SB LEASING D.O.O.,"," ULICA GRADA VUKOVARA 284,"," 10000 ZAGREB,"," OIB: 08745792574")</f>
        <v>SB LEASING D.O.O., ULICA GRADA VUKOVARA 284, 10000 ZAGREB, OIB: 08745792574</v>
      </c>
      <c r="H2797" s="4"/>
      <c r="I2797" s="1" t="s">
        <v>1469</v>
      </c>
      <c r="J2797" s="1" t="s">
        <v>1152</v>
      </c>
      <c r="K2797" s="6" t="str">
        <f>"16.808.465,16"</f>
        <v>16.808.465,16</v>
      </c>
      <c r="L2797" s="6" t="str">
        <f>"4.202.116,29"</f>
        <v>4.202.116,29</v>
      </c>
      <c r="M2797" s="6" t="str">
        <f>"21.010.581,45"</f>
        <v>21.010.581,45</v>
      </c>
      <c r="N2797" s="5">
        <v>43292</v>
      </c>
      <c r="O2797" s="7"/>
      <c r="P2797" s="6" t="str">
        <f>"17.940.935,51"</f>
        <v>17.940.935,51</v>
      </c>
      <c r="Q2797" s="7"/>
      <c r="R2797" s="1"/>
      <c r="S2797" s="1" t="str">
        <f>"N-188-D/16"</f>
        <v>N-188-D/16</v>
      </c>
      <c r="T2797" s="2" t="s">
        <v>33</v>
      </c>
    </row>
    <row r="2798" spans="1:20" ht="38.25" x14ac:dyDescent="0.25">
      <c r="A2798" s="1">
        <v>2794</v>
      </c>
      <c r="B2798" s="1" t="str">
        <f>"2016-2828"</f>
        <v>2016-2828</v>
      </c>
      <c r="C2798" s="2" t="s">
        <v>1466</v>
      </c>
      <c r="D2798" s="1" t="s">
        <v>948</v>
      </c>
      <c r="E2798" s="3" t="str">
        <f>"2016/S 002-0021448"</f>
        <v>2016/S 002-0021448</v>
      </c>
      <c r="F2798" s="2" t="s">
        <v>23</v>
      </c>
      <c r="G2798" s="2" t="str">
        <f>CONCATENATE("SB LEASING D.O.O.,"," ULICA GRADA VUKOVARA 284,"," 10000 ZAGREB,"," OIB: 08745792574")</f>
        <v>SB LEASING D.O.O., ULICA GRADA VUKOVARA 284, 10000 ZAGREB, OIB: 08745792574</v>
      </c>
      <c r="H2798" s="4"/>
      <c r="I2798" s="1" t="s">
        <v>580</v>
      </c>
      <c r="J2798" s="1" t="s">
        <v>1083</v>
      </c>
      <c r="K2798" s="6" t="str">
        <f>"3.861.623,28"</f>
        <v>3.861.623,28</v>
      </c>
      <c r="L2798" s="6" t="str">
        <f>"965.405,82"</f>
        <v>965.405,82</v>
      </c>
      <c r="M2798" s="6" t="str">
        <f>"4.827.029,10"</f>
        <v>4.827.029,10</v>
      </c>
      <c r="N2798" s="5">
        <v>43292</v>
      </c>
      <c r="O2798" s="7"/>
      <c r="P2798" s="6" t="str">
        <f>"4.101.043,90"</f>
        <v>4.101.043,90</v>
      </c>
      <c r="Q2798" s="7"/>
      <c r="R2798" s="1"/>
      <c r="S2798" s="1" t="str">
        <f>"N-188-E/16"</f>
        <v>N-188-E/16</v>
      </c>
      <c r="T2798" s="2" t="s">
        <v>33</v>
      </c>
    </row>
    <row r="2799" spans="1:20" ht="51" x14ac:dyDescent="0.25">
      <c r="A2799" s="1">
        <v>2795</v>
      </c>
      <c r="B2799" s="1" t="str">
        <f>"2017-273"</f>
        <v>2017-273</v>
      </c>
      <c r="C2799" s="2" t="s">
        <v>1470</v>
      </c>
      <c r="D2799" s="1" t="s">
        <v>1008</v>
      </c>
      <c r="E2799" s="3" t="str">
        <f>"2017/S 0F2-0013895"</f>
        <v>2017/S 0F2-0013895</v>
      </c>
      <c r="F2799" s="2" t="s">
        <v>23</v>
      </c>
      <c r="G2799" s="2" t="str">
        <f>CONCATENATE("KAP4 D.O.O.,"," POKORNOGA 9,"," 10000 ZAGREB,"," OIB: 68965490837")</f>
        <v>KAP4 D.O.O., POKORNOGA 9, 10000 ZAGREB, OIB: 68965490837</v>
      </c>
      <c r="H2799" s="4"/>
      <c r="I2799" s="1" t="s">
        <v>549</v>
      </c>
      <c r="J2799" s="1" t="s">
        <v>550</v>
      </c>
      <c r="K2799" s="6" t="str">
        <f>"888.000,00"</f>
        <v>888.000,00</v>
      </c>
      <c r="L2799" s="6" t="str">
        <f>"222.000,00"</f>
        <v>222.000,00</v>
      </c>
      <c r="M2799" s="6" t="str">
        <f>"1.110.000,00"</f>
        <v>1.110.000,00</v>
      </c>
      <c r="N2799" s="5">
        <v>43581</v>
      </c>
      <c r="O2799" s="7"/>
      <c r="P2799" s="6" t="str">
        <f>"706.626,00"</f>
        <v>706.626,00</v>
      </c>
      <c r="Q2799" s="7"/>
      <c r="R2799" s="1"/>
      <c r="S2799" s="1" t="str">
        <f>"N-23/17"</f>
        <v>N-23/17</v>
      </c>
      <c r="T2799" s="2" t="s">
        <v>33</v>
      </c>
    </row>
    <row r="2800" spans="1:20" ht="38.25" x14ac:dyDescent="0.25">
      <c r="A2800" s="1">
        <v>2796</v>
      </c>
      <c r="B2800" s="1" t="str">
        <f>"2017-1220"</f>
        <v>2017-1220</v>
      </c>
      <c r="C2800" s="2" t="s">
        <v>1471</v>
      </c>
      <c r="D2800" s="1" t="s">
        <v>152</v>
      </c>
      <c r="E2800" s="3" t="str">
        <f>"2017/S 0F2-0011561"</f>
        <v>2017/S 0F2-0011561</v>
      </c>
      <c r="F2800" s="2" t="s">
        <v>23</v>
      </c>
      <c r="G2800" s="2" t="str">
        <f>CONCATENATE("BERHE D.O.O. ZASTUPSTVO I TRGOVINA,"," RADNIČKA CESTA 40-5,"," 10000 ZAGREB,"," OIB: 99296372942")</f>
        <v>BERHE D.O.O. ZASTUPSTVO I TRGOVINA, RADNIČKA CESTA 40-5, 10000 ZAGREB, OIB: 99296372942</v>
      </c>
      <c r="H2800" s="4"/>
      <c r="I2800" s="1" t="s">
        <v>216</v>
      </c>
      <c r="J2800" s="1" t="s">
        <v>1472</v>
      </c>
      <c r="K2800" s="6" t="str">
        <f>"579.900,00"</f>
        <v>579.900,00</v>
      </c>
      <c r="L2800" s="6" t="str">
        <f>"144.975,00"</f>
        <v>144.975,00</v>
      </c>
      <c r="M2800" s="6" t="str">
        <f>"724.875,00"</f>
        <v>724.875,00</v>
      </c>
      <c r="N2800" s="1" t="s">
        <v>117</v>
      </c>
      <c r="O2800" s="7"/>
      <c r="P2800" s="6" t="str">
        <f>""</f>
        <v/>
      </c>
      <c r="Q2800" s="7"/>
      <c r="R2800" s="1"/>
      <c r="S2800" s="1" t="str">
        <f>"N-37-A/17"</f>
        <v>N-37-A/17</v>
      </c>
      <c r="T2800" s="2" t="s">
        <v>538</v>
      </c>
    </row>
    <row r="2801" spans="1:20" ht="38.25" x14ac:dyDescent="0.25">
      <c r="A2801" s="1">
        <v>2797</v>
      </c>
      <c r="B2801" s="1" t="str">
        <f>"2017-70"</f>
        <v>2017-70</v>
      </c>
      <c r="C2801" s="2" t="s">
        <v>1473</v>
      </c>
      <c r="D2801" s="1" t="s">
        <v>1384</v>
      </c>
      <c r="E2801" s="3" t="str">
        <f>"2017/S 0F2-0013743"</f>
        <v>2017/S 0F2-0013743</v>
      </c>
      <c r="F2801" s="2" t="s">
        <v>23</v>
      </c>
      <c r="G2801" s="2" t="str">
        <f>CONCATENATE("EKO-PLAN D.O.O.,"," 2. JAZBINSKI GAJ 1A,"," 10000 ZAGREB,"," OIB: 55034160084")</f>
        <v>EKO-PLAN D.O.O., 2. JAZBINSKI GAJ 1A, 10000 ZAGREB, OIB: 55034160084</v>
      </c>
      <c r="H2801" s="4"/>
      <c r="I2801" s="1" t="s">
        <v>689</v>
      </c>
      <c r="J2801" s="1" t="s">
        <v>690</v>
      </c>
      <c r="K2801" s="6" t="str">
        <f>"439.000,00"</f>
        <v>439.000,00</v>
      </c>
      <c r="L2801" s="6" t="str">
        <f>"109.750,00"</f>
        <v>109.750,00</v>
      </c>
      <c r="M2801" s="6" t="str">
        <f>"548.750,00"</f>
        <v>548.750,00</v>
      </c>
      <c r="N2801" s="1" t="s">
        <v>117</v>
      </c>
      <c r="O2801" s="7"/>
      <c r="P2801" s="6" t="str">
        <f>""</f>
        <v/>
      </c>
      <c r="Q2801" s="7"/>
      <c r="R2801" s="1"/>
      <c r="S2801" s="1" t="str">
        <f>"N-39/17"</f>
        <v>N-39/17</v>
      </c>
      <c r="T2801" s="2" t="s">
        <v>29</v>
      </c>
    </row>
    <row r="2802" spans="1:20" ht="38.25" x14ac:dyDescent="0.25">
      <c r="A2802" s="1">
        <v>2798</v>
      </c>
      <c r="B2802" s="1" t="str">
        <f>"2017-46"</f>
        <v>2017-46</v>
      </c>
      <c r="C2802" s="2" t="s">
        <v>1474</v>
      </c>
      <c r="D2802" s="1" t="s">
        <v>119</v>
      </c>
      <c r="E2802" s="3" t="str">
        <f>"2017/S 0F2-0012804"</f>
        <v>2017/S 0F2-0012804</v>
      </c>
      <c r="F2802" s="2" t="s">
        <v>23</v>
      </c>
      <c r="G2802" s="2" t="str">
        <f>CONCATENATE("VODOTEHNIKA D.D.,"," KOTURAŠKA CESTA 49,"," 10000 ZAGREB,"," OIB: 1763143132")</f>
        <v>VODOTEHNIKA D.D., KOTURAŠKA CESTA 49, 10000 ZAGREB, OIB: 1763143132</v>
      </c>
      <c r="H2802" s="4"/>
      <c r="I2802" s="1" t="s">
        <v>697</v>
      </c>
      <c r="J2802" s="1" t="s">
        <v>1111</v>
      </c>
      <c r="K2802" s="6" t="str">
        <f>"3.679.189,41"</f>
        <v>3.679.189,41</v>
      </c>
      <c r="L2802" s="6" t="str">
        <f>"919.797,35"</f>
        <v>919.797,35</v>
      </c>
      <c r="M2802" s="6" t="str">
        <f>"4.598.986,76"</f>
        <v>4.598.986,76</v>
      </c>
      <c r="N2802" s="1" t="s">
        <v>117</v>
      </c>
      <c r="O2802" s="7"/>
      <c r="P2802" s="6" t="str">
        <f>""</f>
        <v/>
      </c>
      <c r="Q2802" s="7"/>
      <c r="R2802" s="1"/>
      <c r="S2802" s="1" t="str">
        <f>"N-42/17"</f>
        <v>N-42/17</v>
      </c>
      <c r="T2802" s="2" t="s">
        <v>29</v>
      </c>
    </row>
    <row r="2803" spans="1:20" ht="38.25" x14ac:dyDescent="0.25">
      <c r="A2803" s="1">
        <v>2799</v>
      </c>
      <c r="B2803" s="1" t="str">
        <f>"2017-46"</f>
        <v>2017-46</v>
      </c>
      <c r="C2803" s="2" t="s">
        <v>1474</v>
      </c>
      <c r="D2803" s="1" t="s">
        <v>119</v>
      </c>
      <c r="E2803" s="3" t="str">
        <f>"2017/S 0F2-0012804"</f>
        <v>2017/S 0F2-0012804</v>
      </c>
      <c r="F2803" s="2" t="s">
        <v>1372</v>
      </c>
      <c r="G2803" s="2" t="str">
        <f>CONCATENATE("VODOTEHNIKA D.D.,"," KOTURAŠKA CESTA 49,"," 10000 ZAGREB,"," OIB: 1763143132")</f>
        <v>VODOTEHNIKA D.D., KOTURAŠKA CESTA 49, 10000 ZAGREB, OIB: 1763143132</v>
      </c>
      <c r="H2803" s="4"/>
      <c r="I2803" s="1" t="s">
        <v>1475</v>
      </c>
      <c r="J2803" s="1" t="s">
        <v>115</v>
      </c>
      <c r="K2803" s="6" t="str">
        <f>""</f>
        <v/>
      </c>
      <c r="L2803" s="6" t="str">
        <f>"0,00"</f>
        <v>0,00</v>
      </c>
      <c r="M2803" s="6" t="str">
        <f>"0,00"</f>
        <v>0,00</v>
      </c>
      <c r="N2803" s="1" t="s">
        <v>117</v>
      </c>
      <c r="O2803" s="7"/>
      <c r="P2803" s="6" t="str">
        <f>""</f>
        <v/>
      </c>
      <c r="Q2803" s="7"/>
      <c r="R2803" s="1"/>
      <c r="S2803" s="1" t="str">
        <f>"N-42/17-1"</f>
        <v>N-42/17-1</v>
      </c>
      <c r="T2803" s="2" t="s">
        <v>29</v>
      </c>
    </row>
    <row r="2804" spans="1:20" ht="140.25" x14ac:dyDescent="0.25">
      <c r="A2804" s="1">
        <v>2800</v>
      </c>
      <c r="B2804" s="1" t="str">
        <f>"2017-45"</f>
        <v>2017-45</v>
      </c>
      <c r="C2804" s="2" t="s">
        <v>1476</v>
      </c>
      <c r="D2804" s="1" t="s">
        <v>119</v>
      </c>
      <c r="E2804" s="3" t="str">
        <f>"2017/S 0F2-0012260"</f>
        <v>2017/S 0F2-0012260</v>
      </c>
      <c r="F2804" s="2" t="s">
        <v>23</v>
      </c>
      <c r="G2804" s="2" t="str">
        <f>CONCATENATE("IZGRADNJA FUTURA D.O.O.,"," LEDINSKA ULICA 35,"," 10255 DONJI STUPNIK,"," OIB: 14482540987")</f>
        <v>IZGRADNJA FUTURA D.O.O., LEDINSKA ULICA 35, 10255 DONJI STUPNIK, OIB: 14482540987</v>
      </c>
      <c r="H2804" s="1" t="str">
        <f>CONCATENATE("GEO ISPITIVANJA D.O.O.,"," OIB: 95172244706",CHAR(10),"BETON-LAB D.O.O.,"," OIB: 60752261439",CHAR(10),"ELEKTROKOVINA ADRIA D.O.O.,"," OIB: 86742905038")</f>
        <v>GEO ISPITIVANJA D.O.O., OIB: 95172244706
BETON-LAB D.O.O., OIB: 60752261439
ELEKTROKOVINA ADRIA D.O.O., OIB: 86742905038</v>
      </c>
      <c r="I2804" s="1" t="s">
        <v>713</v>
      </c>
      <c r="J2804" s="1" t="s">
        <v>63</v>
      </c>
      <c r="K2804" s="6" t="str">
        <f>"3.950.740,70"</f>
        <v>3.950.740,70</v>
      </c>
      <c r="L2804" s="6" t="str">
        <f>"987.685,18"</f>
        <v>987.685,18</v>
      </c>
      <c r="M2804" s="6" t="str">
        <f>"4.938.425,88"</f>
        <v>4.938.425,88</v>
      </c>
      <c r="N2804" s="1" t="s">
        <v>117</v>
      </c>
      <c r="O2804" s="7"/>
      <c r="P2804" s="6" t="str">
        <f>""</f>
        <v/>
      </c>
      <c r="Q2804" s="7"/>
      <c r="R2804" s="1"/>
      <c r="S2804" s="1" t="str">
        <f>"N-43/17"</f>
        <v>N-43/17</v>
      </c>
      <c r="T2804" s="2" t="s">
        <v>29</v>
      </c>
    </row>
    <row r="2805" spans="1:20" ht="140.25" x14ac:dyDescent="0.25">
      <c r="A2805" s="1">
        <v>2801</v>
      </c>
      <c r="B2805" s="1" t="str">
        <f>"2017-45"</f>
        <v>2017-45</v>
      </c>
      <c r="C2805" s="2" t="s">
        <v>1476</v>
      </c>
      <c r="D2805" s="1" t="s">
        <v>119</v>
      </c>
      <c r="E2805" s="3" t="str">
        <f>"2017/S 0F2-0012260"</f>
        <v>2017/S 0F2-0012260</v>
      </c>
      <c r="F2805" s="2" t="s">
        <v>1372</v>
      </c>
      <c r="G2805" s="2" t="str">
        <f>CONCATENATE("IZGRADNJA FUTURA D.O.O.,"," LEDINSKA ULICA 35,"," 10255 DONJI STUPNIK,"," OIB: 14482540987")</f>
        <v>IZGRADNJA FUTURA D.O.O., LEDINSKA ULICA 35, 10255 DONJI STUPNIK, OIB: 14482540987</v>
      </c>
      <c r="H2805" s="1" t="str">
        <f>CONCATENATE("GEO ISPITIVANJA D.O.O.,"," OIB: 95172244706",CHAR(10),"BETON-LAB D.O.O.,"," OIB: 60752261439",CHAR(10),"ELEKTROKOVINA ADRIA D.O.O.,"," OIB: 86742905038")</f>
        <v>GEO ISPITIVANJA D.O.O., OIB: 95172244706
BETON-LAB D.O.O., OIB: 60752261439
ELEKTROKOVINA ADRIA D.O.O., OIB: 86742905038</v>
      </c>
      <c r="I2805" s="1" t="s">
        <v>652</v>
      </c>
      <c r="J2805" s="1" t="s">
        <v>140</v>
      </c>
      <c r="K2805" s="6" t="str">
        <f>""</f>
        <v/>
      </c>
      <c r="L2805" s="6" t="str">
        <f>"0,00"</f>
        <v>0,00</v>
      </c>
      <c r="M2805" s="6" t="str">
        <f>"0,00"</f>
        <v>0,00</v>
      </c>
      <c r="N2805" s="1" t="s">
        <v>117</v>
      </c>
      <c r="O2805" s="7"/>
      <c r="P2805" s="6" t="str">
        <f>""</f>
        <v/>
      </c>
      <c r="Q2805" s="7"/>
      <c r="R2805" s="1"/>
      <c r="S2805" s="1" t="str">
        <f>"N-43/17-3"</f>
        <v>N-43/17-3</v>
      </c>
      <c r="T2805" s="2" t="s">
        <v>29</v>
      </c>
    </row>
    <row r="2806" spans="1:20" ht="38.25" x14ac:dyDescent="0.25">
      <c r="A2806" s="1">
        <v>2802</v>
      </c>
      <c r="B2806" s="1" t="str">
        <f>"2017-45"</f>
        <v>2017-45</v>
      </c>
      <c r="C2806" s="2" t="s">
        <v>1476</v>
      </c>
      <c r="D2806" s="1" t="s">
        <v>119</v>
      </c>
      <c r="E2806" s="3" t="str">
        <f>""</f>
        <v/>
      </c>
      <c r="F2806" s="2" t="s">
        <v>1372</v>
      </c>
      <c r="G2806" s="2" t="str">
        <f>CONCATENATE("IZGRADNJA FUTURA D.O.O.,"," LEDINSKA ULICA 35,"," 10255 DONJI STUPNIK,"," OIB: 14482540987")</f>
        <v>IZGRADNJA FUTURA D.O.O., LEDINSKA ULICA 35, 10255 DONJI STUPNIK, OIB: 14482540987</v>
      </c>
      <c r="H2806" s="4"/>
      <c r="I2806" s="1" t="s">
        <v>241</v>
      </c>
      <c r="J2806" s="1" t="s">
        <v>248</v>
      </c>
      <c r="K2806" s="6" t="str">
        <f>""</f>
        <v/>
      </c>
      <c r="L2806" s="6" t="str">
        <f>"0,00"</f>
        <v>0,00</v>
      </c>
      <c r="M2806" s="6" t="str">
        <f>"0,00"</f>
        <v>0,00</v>
      </c>
      <c r="N2806" s="1" t="s">
        <v>117</v>
      </c>
      <c r="O2806" s="7"/>
      <c r="P2806" s="6" t="str">
        <f>""</f>
        <v/>
      </c>
      <c r="Q2806" s="7"/>
      <c r="R2806" s="1"/>
      <c r="S2806" s="1" t="str">
        <f>"N-43/17-4"</f>
        <v>N-43/17-4</v>
      </c>
      <c r="T2806" s="2" t="s">
        <v>29</v>
      </c>
    </row>
    <row r="2807" spans="1:20" ht="38.25" x14ac:dyDescent="0.25">
      <c r="A2807" s="1">
        <v>2803</v>
      </c>
      <c r="B2807" s="1" t="str">
        <f>"2017-143"</f>
        <v>2017-143</v>
      </c>
      <c r="C2807" s="2" t="s">
        <v>1477</v>
      </c>
      <c r="D2807" s="1" t="s">
        <v>119</v>
      </c>
      <c r="E2807" s="3" t="str">
        <f>"2017/S 0F2-0012710"</f>
        <v>2017/S 0F2-0012710</v>
      </c>
      <c r="F2807" s="2" t="s">
        <v>23</v>
      </c>
      <c r="G2807" s="2" t="str">
        <f>CONCATENATE("GEORAD D.O.O.,"," KORNATSKA 1,"," 10000 ZAGREB,"," OIB: 49756748234")</f>
        <v>GEORAD D.O.O., KORNATSKA 1, 10000 ZAGREB, OIB: 49756748234</v>
      </c>
      <c r="H2807" s="1" t="str">
        <f>CONCATENATE("ENA D.O.O.,"," OIB: 24759414355")</f>
        <v>ENA D.O.O., OIB: 24759414355</v>
      </c>
      <c r="I2807" s="1" t="s">
        <v>1478</v>
      </c>
      <c r="J2807" s="1" t="s">
        <v>177</v>
      </c>
      <c r="K2807" s="6" t="str">
        <f>"957.316,38"</f>
        <v>957.316,38</v>
      </c>
      <c r="L2807" s="6" t="str">
        <f>"239.329,10"</f>
        <v>239.329,10</v>
      </c>
      <c r="M2807" s="6" t="str">
        <f>"1.196.645,48"</f>
        <v>1.196.645,48</v>
      </c>
      <c r="N2807" s="1" t="s">
        <v>117</v>
      </c>
      <c r="O2807" s="7"/>
      <c r="P2807" s="6" t="str">
        <f>""</f>
        <v/>
      </c>
      <c r="Q2807" s="7"/>
      <c r="R2807" s="1"/>
      <c r="S2807" s="1" t="str">
        <f>"N-45/17"</f>
        <v>N-45/17</v>
      </c>
      <c r="T2807" s="2" t="s">
        <v>29</v>
      </c>
    </row>
    <row r="2808" spans="1:20" ht="38.25" x14ac:dyDescent="0.25">
      <c r="A2808" s="1">
        <v>2804</v>
      </c>
      <c r="B2808" s="1" t="str">
        <f>"2017-143"</f>
        <v>2017-143</v>
      </c>
      <c r="C2808" s="2" t="s">
        <v>1477</v>
      </c>
      <c r="D2808" s="1" t="s">
        <v>119</v>
      </c>
      <c r="E2808" s="3" t="str">
        <f>"2017/S 0F2-0012710"</f>
        <v>2017/S 0F2-0012710</v>
      </c>
      <c r="F2808" s="2" t="s">
        <v>1372</v>
      </c>
      <c r="G2808" s="2" t="str">
        <f>CONCATENATE("GEORAD D.O.O.,"," KORNATSKA 1,"," 10000 ZAGREB,"," OIB: 49756748234")</f>
        <v>GEORAD D.O.O., KORNATSKA 1, 10000 ZAGREB, OIB: 49756748234</v>
      </c>
      <c r="H2808" s="1" t="str">
        <f>CONCATENATE("ENA D.O.O.,"," OIB: 24759414355")</f>
        <v>ENA D.O.O., OIB: 24759414355</v>
      </c>
      <c r="I2808" s="1" t="s">
        <v>263</v>
      </c>
      <c r="J2808" s="1" t="s">
        <v>43</v>
      </c>
      <c r="K2808" s="6" t="str">
        <f>""</f>
        <v/>
      </c>
      <c r="L2808" s="6" t="str">
        <f>"0,00"</f>
        <v>0,00</v>
      </c>
      <c r="M2808" s="6" t="str">
        <f>"0,00"</f>
        <v>0,00</v>
      </c>
      <c r="N2808" s="1" t="s">
        <v>117</v>
      </c>
      <c r="O2808" s="7"/>
      <c r="P2808" s="6" t="str">
        <f>""</f>
        <v/>
      </c>
      <c r="Q2808" s="7"/>
      <c r="R2808" s="1"/>
      <c r="S2808" s="1" t="str">
        <f>"N-45/17-1"</f>
        <v>N-45/17-1</v>
      </c>
      <c r="T2808" s="2" t="s">
        <v>29</v>
      </c>
    </row>
    <row r="2809" spans="1:20" ht="140.25" x14ac:dyDescent="0.25">
      <c r="A2809" s="1">
        <v>2805</v>
      </c>
      <c r="B2809" s="1" t="str">
        <f>"2017-71"</f>
        <v>2017-71</v>
      </c>
      <c r="C2809" s="2" t="s">
        <v>1479</v>
      </c>
      <c r="D2809" s="1" t="s">
        <v>1384</v>
      </c>
      <c r="E2809" s="3" t="str">
        <f>"2017/S 0F2-0013533"</f>
        <v>2017/S 0F2-0013533</v>
      </c>
      <c r="F2809" s="2" t="s">
        <v>23</v>
      </c>
      <c r="G2809" s="2" t="str">
        <f>CONCATENATE("IPZ D.D.,"," PRILAZ BARUNA FILIPOVIĆA 21,"," 10000 ZAGREB,"," OIB: 9481097846")</f>
        <v>IPZ D.D., PRILAZ BARUNA FILIPOVIĆA 21, 10000 ZAGREB, OIB: 9481097846</v>
      </c>
      <c r="H2809" s="1" t="str">
        <f>CONCATENATE("FLAMIT D.O.O.,"," OIB: 84050612509")</f>
        <v>FLAMIT D.O.O., OIB: 84050612509</v>
      </c>
      <c r="I2809" s="1" t="s">
        <v>763</v>
      </c>
      <c r="J2809" s="1" t="s">
        <v>1480</v>
      </c>
      <c r="K2809" s="6" t="str">
        <f>"181.600,00"</f>
        <v>181.600,00</v>
      </c>
      <c r="L2809" s="6" t="str">
        <f>"45.400,00"</f>
        <v>45.400,00</v>
      </c>
      <c r="M2809" s="6" t="str">
        <f>"227.000,00"</f>
        <v>227.000,00</v>
      </c>
      <c r="N2809" s="1" t="s">
        <v>117</v>
      </c>
      <c r="O2809" s="7"/>
      <c r="P2809" s="6" t="str">
        <f>""</f>
        <v/>
      </c>
      <c r="Q2809" s="7"/>
      <c r="R2809" s="1"/>
      <c r="S2809" s="1" t="str">
        <f>"N-65/17"</f>
        <v>N-65/17</v>
      </c>
      <c r="T2809" s="2" t="s">
        <v>29</v>
      </c>
    </row>
    <row r="2810" spans="1:20" ht="140.25" x14ac:dyDescent="0.25">
      <c r="A2810" s="1">
        <v>2806</v>
      </c>
      <c r="B2810" s="1" t="str">
        <f>"2017-71"</f>
        <v>2017-71</v>
      </c>
      <c r="C2810" s="2" t="s">
        <v>1479</v>
      </c>
      <c r="D2810" s="1" t="s">
        <v>1384</v>
      </c>
      <c r="E2810" s="3" t="str">
        <f>"2017/S 0F2-0013533"</f>
        <v>2017/S 0F2-0013533</v>
      </c>
      <c r="F2810" s="2" t="s">
        <v>1372</v>
      </c>
      <c r="G2810" s="2" t="str">
        <f>CONCATENATE("IPZ D.D.,"," PRILAZ BARUNA FILIPOVIĆA 21,"," 10000 ZAGREB,"," OIB: 9481097846")</f>
        <v>IPZ D.D., PRILAZ BARUNA FILIPOVIĆA 21, 10000 ZAGREB, OIB: 9481097846</v>
      </c>
      <c r="H2810" s="1" t="str">
        <f>CONCATENATE("FLAMIT D.O.O.,"," OIB: 84050612509")</f>
        <v>FLAMIT D.O.O., OIB: 84050612509</v>
      </c>
      <c r="I2810" s="1" t="s">
        <v>1481</v>
      </c>
      <c r="J2810" s="1" t="s">
        <v>53</v>
      </c>
      <c r="K2810" s="6" t="str">
        <f>""</f>
        <v/>
      </c>
      <c r="L2810" s="6" t="str">
        <f>"0,00"</f>
        <v>0,00</v>
      </c>
      <c r="M2810" s="6" t="str">
        <f>"0,00"</f>
        <v>0,00</v>
      </c>
      <c r="N2810" s="1" t="s">
        <v>117</v>
      </c>
      <c r="O2810" s="7"/>
      <c r="P2810" s="6" t="str">
        <f>""</f>
        <v/>
      </c>
      <c r="Q2810" s="7"/>
      <c r="R2810" s="1"/>
      <c r="S2810" s="1" t="str">
        <f>"N-65/17-1"</f>
        <v>N-65/17-1</v>
      </c>
      <c r="T2810" s="2" t="s">
        <v>29</v>
      </c>
    </row>
    <row r="2811" spans="1:20" ht="140.25" x14ac:dyDescent="0.25">
      <c r="A2811" s="1">
        <v>2807</v>
      </c>
      <c r="B2811" s="1" t="str">
        <f>"2017-71"</f>
        <v>2017-71</v>
      </c>
      <c r="C2811" s="2" t="s">
        <v>1479</v>
      </c>
      <c r="D2811" s="1" t="s">
        <v>1384</v>
      </c>
      <c r="E2811" s="3" t="str">
        <f>"2017/S 0F2-0013533"</f>
        <v>2017/S 0F2-0013533</v>
      </c>
      <c r="F2811" s="2" t="s">
        <v>1372</v>
      </c>
      <c r="G2811" s="2" t="str">
        <f>CONCATENATE("IPZ D.D.,"," PRILAZ BARUNA FILIPOVIĆA 21,"," 10000 ZAGREB,"," OIB: 9481097846")</f>
        <v>IPZ D.D., PRILAZ BARUNA FILIPOVIĆA 21, 10000 ZAGREB, OIB: 9481097846</v>
      </c>
      <c r="H2811" s="1" t="str">
        <f>CONCATENATE("FLAMIT D.O.O.,"," OIB: 84050612509")</f>
        <v>FLAMIT D.O.O., OIB: 84050612509</v>
      </c>
      <c r="I2811" s="1" t="s">
        <v>361</v>
      </c>
      <c r="J2811" s="1" t="s">
        <v>587</v>
      </c>
      <c r="K2811" s="6" t="str">
        <f>""</f>
        <v/>
      </c>
      <c r="L2811" s="6" t="str">
        <f>"0,00"</f>
        <v>0,00</v>
      </c>
      <c r="M2811" s="6" t="str">
        <f>"0,00"</f>
        <v>0,00</v>
      </c>
      <c r="N2811" s="1" t="s">
        <v>117</v>
      </c>
      <c r="O2811" s="7"/>
      <c r="P2811" s="6" t="str">
        <f>""</f>
        <v/>
      </c>
      <c r="Q2811" s="7"/>
      <c r="R2811" s="1"/>
      <c r="S2811" s="1" t="str">
        <f>"N-65/17-2"</f>
        <v>N-65/17-2</v>
      </c>
      <c r="T2811" s="2" t="s">
        <v>29</v>
      </c>
    </row>
    <row r="2812" spans="1:20" ht="38.25" x14ac:dyDescent="0.25">
      <c r="A2812" s="1">
        <v>2808</v>
      </c>
      <c r="B2812" s="1" t="str">
        <f>"2017-473"</f>
        <v>2017-473</v>
      </c>
      <c r="C2812" s="2" t="s">
        <v>1482</v>
      </c>
      <c r="D2812" s="1" t="s">
        <v>1483</v>
      </c>
      <c r="E2812" s="3" t="str">
        <f>"2017/S 0F2-0017348"</f>
        <v>2017/S 0F2-0017348</v>
      </c>
      <c r="F2812" s="2" t="s">
        <v>23</v>
      </c>
      <c r="G2812" s="2" t="str">
        <f>CONCATENATE("EUROMONT INTRO D.O.O.,"," KANALSKI PUT 20,"," 10000 ZAGREB,"," OIB: 46289034988")</f>
        <v>EUROMONT INTRO D.O.O., KANALSKI PUT 20, 10000 ZAGREB, OIB: 46289034988</v>
      </c>
      <c r="H2812" s="4"/>
      <c r="I2812" s="1" t="s">
        <v>1484</v>
      </c>
      <c r="J2812" s="1" t="s">
        <v>1485</v>
      </c>
      <c r="K2812" s="6" t="str">
        <f>"798.026,00"</f>
        <v>798.026,00</v>
      </c>
      <c r="L2812" s="6" t="str">
        <f>"199.506,50"</f>
        <v>199.506,50</v>
      </c>
      <c r="M2812" s="6" t="str">
        <f>"997.532,50"</f>
        <v>997.532,50</v>
      </c>
      <c r="N2812" s="5">
        <v>43213</v>
      </c>
      <c r="O2812" s="7"/>
      <c r="P2812" s="6" t="str">
        <f>"997.532,50"</f>
        <v>997.532,50</v>
      </c>
      <c r="Q2812" s="7"/>
      <c r="R2812" s="1"/>
      <c r="S2812" s="1" t="str">
        <f>"N-76/17"</f>
        <v>N-76/17</v>
      </c>
      <c r="T2812" s="2" t="s">
        <v>33</v>
      </c>
    </row>
    <row r="2813" spans="1:20" ht="38.25" x14ac:dyDescent="0.25">
      <c r="A2813" s="1">
        <v>2809</v>
      </c>
      <c r="B2813" s="1" t="str">
        <f>"2017-142"</f>
        <v>2017-142</v>
      </c>
      <c r="C2813" s="2" t="s">
        <v>1486</v>
      </c>
      <c r="D2813" s="1" t="s">
        <v>119</v>
      </c>
      <c r="E2813" s="3" t="str">
        <f>"2017/S 0F2-0017518"</f>
        <v>2017/S 0F2-0017518</v>
      </c>
      <c r="F2813" s="2" t="s">
        <v>23</v>
      </c>
      <c r="G2813" s="2" t="str">
        <f>CONCATENATE("BOLČEVIĆ-GRADNJA D.O.O.,"," DUGOSELSKA CESTA 56,"," 10361 SESVETSKI KRALJEVEC,"," OIB: 520986705")</f>
        <v>BOLČEVIĆ-GRADNJA D.O.O., DUGOSELSKA CESTA 56, 10361 SESVETSKI KRALJEVEC, OIB: 520986705</v>
      </c>
      <c r="H2813" s="1" t="str">
        <f>CONCATENATE("MGV D.O.O.,"," OIB: 07790118186")</f>
        <v>MGV D.O.O., OIB: 07790118186</v>
      </c>
      <c r="I2813" s="1" t="s">
        <v>783</v>
      </c>
      <c r="J2813" s="1" t="s">
        <v>139</v>
      </c>
      <c r="K2813" s="6" t="str">
        <f>"996.058,50"</f>
        <v>996.058,50</v>
      </c>
      <c r="L2813" s="6" t="str">
        <f>"249.014,63"</f>
        <v>249.014,63</v>
      </c>
      <c r="M2813" s="6" t="str">
        <f>"1.245.073,13"</f>
        <v>1.245.073,13</v>
      </c>
      <c r="N2813" s="1" t="s">
        <v>117</v>
      </c>
      <c r="O2813" s="7"/>
      <c r="P2813" s="6" t="str">
        <f>""</f>
        <v/>
      </c>
      <c r="Q2813" s="7"/>
      <c r="R2813" s="1"/>
      <c r="S2813" s="1" t="str">
        <f>"N-80/17"</f>
        <v>N-80/17</v>
      </c>
      <c r="T2813" s="2" t="s">
        <v>33</v>
      </c>
    </row>
    <row r="2814" spans="1:20" ht="38.25" x14ac:dyDescent="0.25">
      <c r="A2814" s="1">
        <v>2810</v>
      </c>
      <c r="B2814" s="1" t="str">
        <f>"2017-142"</f>
        <v>2017-142</v>
      </c>
      <c r="C2814" s="2" t="s">
        <v>1486</v>
      </c>
      <c r="D2814" s="1" t="s">
        <v>119</v>
      </c>
      <c r="E2814" s="3" t="str">
        <f>"2017/S 0F2-0017518"</f>
        <v>2017/S 0F2-0017518</v>
      </c>
      <c r="F2814" s="2" t="s">
        <v>1372</v>
      </c>
      <c r="G2814" s="2" t="str">
        <f>CONCATENATE("BOLČEVIĆ-GRADNJA D.O.O.,"," DUGOSELSKA CESTA 56,"," 10361 SESVETSKI KRALJEVEC,"," OIB: 520986705")</f>
        <v>BOLČEVIĆ-GRADNJA D.O.O., DUGOSELSKA CESTA 56, 10361 SESVETSKI KRALJEVEC, OIB: 520986705</v>
      </c>
      <c r="H2814" s="1" t="str">
        <f>CONCATENATE("MGV D.O.O.,"," OIB: 07790118186")</f>
        <v>MGV D.O.O., OIB: 07790118186</v>
      </c>
      <c r="I2814" s="1" t="s">
        <v>139</v>
      </c>
      <c r="J2814" s="1" t="s">
        <v>842</v>
      </c>
      <c r="K2814" s="6" t="str">
        <f>""</f>
        <v/>
      </c>
      <c r="L2814" s="6" t="str">
        <f>"0,00"</f>
        <v>0,00</v>
      </c>
      <c r="M2814" s="6" t="str">
        <f>"0,00"</f>
        <v>0,00</v>
      </c>
      <c r="N2814" s="1" t="s">
        <v>117</v>
      </c>
      <c r="O2814" s="7"/>
      <c r="P2814" s="6" t="str">
        <f>""</f>
        <v/>
      </c>
      <c r="Q2814" s="7"/>
      <c r="R2814" s="1"/>
      <c r="S2814" s="1" t="str">
        <f>"N-80/17-1"</f>
        <v>N-80/17-1</v>
      </c>
      <c r="T2814" s="2" t="s">
        <v>33</v>
      </c>
    </row>
    <row r="2815" spans="1:20" ht="38.25" x14ac:dyDescent="0.25">
      <c r="A2815" s="1">
        <v>2811</v>
      </c>
      <c r="B2815" s="1" t="str">
        <f>"2017-142"</f>
        <v>2017-142</v>
      </c>
      <c r="C2815" s="2" t="s">
        <v>1486</v>
      </c>
      <c r="D2815" s="1" t="s">
        <v>119</v>
      </c>
      <c r="E2815" s="3" t="str">
        <f>"2017/S 0F2-0017518"</f>
        <v>2017/S 0F2-0017518</v>
      </c>
      <c r="F2815" s="2" t="s">
        <v>1372</v>
      </c>
      <c r="G2815" s="2" t="str">
        <f>CONCATENATE("BOLČEVIĆ-GRADNJA D.O.O.,"," DUGOSELSKA CESTA 56,"," 10361 SESVETSKI KRALJEVEC,"," OIB: 520986705")</f>
        <v>BOLČEVIĆ-GRADNJA D.O.O., DUGOSELSKA CESTA 56, 10361 SESVETSKI KRALJEVEC, OIB: 520986705</v>
      </c>
      <c r="H2815" s="1" t="str">
        <f>CONCATENATE("MGV D.O.O.,"," OIB: 07790118186")</f>
        <v>MGV D.O.O., OIB: 07790118186</v>
      </c>
      <c r="I2815" s="1" t="s">
        <v>1129</v>
      </c>
      <c r="J2815" s="1" t="s">
        <v>42</v>
      </c>
      <c r="K2815" s="6" t="str">
        <f>""</f>
        <v/>
      </c>
      <c r="L2815" s="6" t="str">
        <f>"0,00"</f>
        <v>0,00</v>
      </c>
      <c r="M2815" s="6" t="str">
        <f>"0,00"</f>
        <v>0,00</v>
      </c>
      <c r="N2815" s="1" t="s">
        <v>117</v>
      </c>
      <c r="O2815" s="7"/>
      <c r="P2815" s="6" t="str">
        <f>""</f>
        <v/>
      </c>
      <c r="Q2815" s="7"/>
      <c r="R2815" s="1"/>
      <c r="S2815" s="1" t="str">
        <f>"N-80/17-2"</f>
        <v>N-80/17-2</v>
      </c>
      <c r="T2815" s="2" t="s">
        <v>33</v>
      </c>
    </row>
    <row r="2816" spans="1:20" ht="38.25" x14ac:dyDescent="0.25">
      <c r="A2816" s="1">
        <v>2812</v>
      </c>
      <c r="B2816" s="1" t="str">
        <f>"2017-2856"</f>
        <v>2017-2856</v>
      </c>
      <c r="C2816" s="2" t="s">
        <v>1487</v>
      </c>
      <c r="D2816" s="1" t="s">
        <v>727</v>
      </c>
      <c r="E2816" s="3" t="str">
        <f>"2018/S 0F3-0004216"</f>
        <v>2018/S 0F3-0004216</v>
      </c>
      <c r="F2816" s="2" t="s">
        <v>23</v>
      </c>
      <c r="G2816" s="2" t="str">
        <f>CONCATENATE("GIS IMPRO D.O.O.,"," EUGENA DE PIENNES 7,"," 10340 VRBOVEC,"," OIB: 55076902104")</f>
        <v>GIS IMPRO D.O.O., EUGENA DE PIENNES 7, 10340 VRBOVEC, OIB: 55076902104</v>
      </c>
      <c r="H2816" s="4"/>
      <c r="I2816" s="1" t="s">
        <v>861</v>
      </c>
      <c r="J2816" s="1" t="s">
        <v>1006</v>
      </c>
      <c r="K2816" s="6" t="str">
        <f>"252.105,00"</f>
        <v>252.105,00</v>
      </c>
      <c r="L2816" s="6" t="str">
        <f>"63.026,25"</f>
        <v>63.026,25</v>
      </c>
      <c r="M2816" s="6" t="str">
        <f>"315.131,25"</f>
        <v>315.131,25</v>
      </c>
      <c r="N2816" s="5">
        <v>43378</v>
      </c>
      <c r="O2816" s="7"/>
      <c r="P2816" s="6" t="str">
        <f>"319.704,86"</f>
        <v>319.704,86</v>
      </c>
      <c r="Q2816" s="7"/>
      <c r="R2816" s="1"/>
      <c r="S2816" s="1" t="str">
        <f>"N-82/17"</f>
        <v>N-82/17</v>
      </c>
      <c r="T2816" s="2" t="s">
        <v>33</v>
      </c>
    </row>
    <row r="2817" spans="1:20" ht="89.25" x14ac:dyDescent="0.25">
      <c r="A2817" s="1">
        <v>2813</v>
      </c>
      <c r="B2817" s="1" t="str">
        <f>"2017-184"</f>
        <v>2017-184</v>
      </c>
      <c r="C2817" s="2" t="s">
        <v>1488</v>
      </c>
      <c r="D2817" s="1" t="s">
        <v>1384</v>
      </c>
      <c r="E2817" s="3" t="str">
        <f>"2017/S 0F2-0020514"</f>
        <v>2017/S 0F2-0020514</v>
      </c>
      <c r="F2817" s="2" t="s">
        <v>23</v>
      </c>
      <c r="G2817" s="2" t="str">
        <f>CONCATENATE("IPZ D.D.,"," PRILAZ BARUNA FILIPOVIĆA 21,"," 10000 ZAGREB,"," OIB: 9481097846")</f>
        <v>IPZ D.D., PRILAZ BARUNA FILIPOVIĆA 21, 10000 ZAGREB, OIB: 9481097846</v>
      </c>
      <c r="H2817" s="4"/>
      <c r="I2817" s="1" t="s">
        <v>563</v>
      </c>
      <c r="J2817" s="1" t="s">
        <v>372</v>
      </c>
      <c r="K2817" s="6" t="str">
        <f>"390.000,00"</f>
        <v>390.000,00</v>
      </c>
      <c r="L2817" s="6" t="str">
        <f>"97.500,00"</f>
        <v>97.500,00</v>
      </c>
      <c r="M2817" s="6" t="str">
        <f>"487.500,00"</f>
        <v>487.500,00</v>
      </c>
      <c r="N2817" s="1" t="s">
        <v>117</v>
      </c>
      <c r="O2817" s="7"/>
      <c r="P2817" s="6" t="str">
        <f>""</f>
        <v/>
      </c>
      <c r="Q2817" s="7"/>
      <c r="R2817" s="1"/>
      <c r="S2817" s="1" t="str">
        <f>"N-83/17"</f>
        <v>N-83/17</v>
      </c>
      <c r="T2817" s="2" t="s">
        <v>29</v>
      </c>
    </row>
    <row r="2818" spans="1:20" ht="38.25" x14ac:dyDescent="0.25">
      <c r="A2818" s="1">
        <v>2814</v>
      </c>
      <c r="B2818" s="1" t="str">
        <f>"2017-2826"</f>
        <v>2017-2826</v>
      </c>
      <c r="C2818" s="2" t="s">
        <v>1489</v>
      </c>
      <c r="D2818" s="1" t="s">
        <v>1490</v>
      </c>
      <c r="E2818" s="3" t="str">
        <f>"2017/S 0F2-0022317"</f>
        <v>2017/S 0F2-0022317</v>
      </c>
      <c r="F2818" s="2" t="s">
        <v>23</v>
      </c>
      <c r="G2818" s="2" t="str">
        <f>CONCATENATE("COMBIS D.O.O.,"," BAŠTIJANOVA 52A,"," 10000 ZAGREB,"," OIB: 91678676896")</f>
        <v>COMBIS D.O.O., BAŠTIJANOVA 52A, 10000 ZAGREB, OIB: 91678676896</v>
      </c>
      <c r="H2818" s="4"/>
      <c r="I2818" s="1" t="s">
        <v>563</v>
      </c>
      <c r="J2818" s="1" t="s">
        <v>372</v>
      </c>
      <c r="K2818" s="6" t="str">
        <f>"2.059.999,77"</f>
        <v>2.059.999,77</v>
      </c>
      <c r="L2818" s="6" t="str">
        <f>"514.999,94"</f>
        <v>514.999,94</v>
      </c>
      <c r="M2818" s="6" t="str">
        <f>"2.574.999,71"</f>
        <v>2.574.999,71</v>
      </c>
      <c r="N2818" s="5">
        <v>43283</v>
      </c>
      <c r="O2818" s="7"/>
      <c r="P2818" s="6" t="str">
        <f>"2.574.999,71"</f>
        <v>2.574.999,71</v>
      </c>
      <c r="Q2818" s="7"/>
      <c r="R2818" s="1"/>
      <c r="S2818" s="1" t="str">
        <f>"N-84/17"</f>
        <v>N-84/17</v>
      </c>
      <c r="T2818" s="2" t="s">
        <v>33</v>
      </c>
    </row>
    <row r="2819" spans="1:20" ht="38.25" x14ac:dyDescent="0.25">
      <c r="A2819" s="1">
        <v>2815</v>
      </c>
      <c r="B2819" s="1" t="str">
        <f>"2017-2835"</f>
        <v>2017-2835</v>
      </c>
      <c r="C2819" s="2" t="s">
        <v>1491</v>
      </c>
      <c r="D2819" s="1" t="s">
        <v>1384</v>
      </c>
      <c r="E2819" s="3" t="str">
        <f>"2017/S 0F2-0020770"</f>
        <v>2017/S 0F2-0020770</v>
      </c>
      <c r="F2819" s="2" t="s">
        <v>23</v>
      </c>
      <c r="G2819" s="2" t="str">
        <f>CONCATENATE("UNICUMTECHNA D.O.O.,"," OIB: 9395434187")</f>
        <v>UNICUMTECHNA D.O.O., OIB: 9395434187</v>
      </c>
      <c r="H2819" s="4"/>
      <c r="I2819" s="1" t="s">
        <v>837</v>
      </c>
      <c r="J2819" s="1" t="s">
        <v>219</v>
      </c>
      <c r="K2819" s="6" t="str">
        <f>"87.500,00"</f>
        <v>87.500,00</v>
      </c>
      <c r="L2819" s="6" t="str">
        <f>"21.875,00"</f>
        <v>21.875,00</v>
      </c>
      <c r="M2819" s="6" t="str">
        <f>"109.375,00"</f>
        <v>109.375,00</v>
      </c>
      <c r="N2819" s="1" t="s">
        <v>117</v>
      </c>
      <c r="O2819" s="7"/>
      <c r="P2819" s="6" t="str">
        <f>""</f>
        <v/>
      </c>
      <c r="Q2819" s="7"/>
      <c r="R2819" s="1"/>
      <c r="S2819" s="1" t="str">
        <f>"N-85/17"</f>
        <v>N-85/17</v>
      </c>
      <c r="T2819" s="2" t="s">
        <v>660</v>
      </c>
    </row>
    <row r="2820" spans="1:20" ht="165.75" x14ac:dyDescent="0.25">
      <c r="A2820" s="1">
        <v>2816</v>
      </c>
      <c r="B2820" s="1" t="str">
        <f>"2017-1027"</f>
        <v>2017-1027</v>
      </c>
      <c r="C2820" s="2" t="s">
        <v>1492</v>
      </c>
      <c r="D2820" s="1" t="s">
        <v>599</v>
      </c>
      <c r="E2820" s="3" t="str">
        <f>"2017/S 0F2-0023194"</f>
        <v>2017/S 0F2-0023194</v>
      </c>
      <c r="F2820" s="2" t="s">
        <v>23</v>
      </c>
      <c r="G2820" s="2" t="str">
        <f>CONCATENATE("KONČAR - INEM D.D.,"," FALLEROVO ŠETALIŠTE 22,"," 10000 ZAGREB,"," OIB: 18545665005")</f>
        <v>KONČAR - INEM D.D., FALLEROVO ŠETALIŠTE 22, 10000 ZAGREB, OIB: 18545665005</v>
      </c>
      <c r="H2820" s="4"/>
      <c r="I2820" s="1" t="s">
        <v>848</v>
      </c>
      <c r="J2820" s="1" t="s">
        <v>451</v>
      </c>
      <c r="K2820" s="6" t="str">
        <f>"365.000,00"</f>
        <v>365.000,00</v>
      </c>
      <c r="L2820" s="6" t="str">
        <f>"91.250,00"</f>
        <v>91.250,00</v>
      </c>
      <c r="M2820" s="6" t="str">
        <f>"456.250,00"</f>
        <v>456.250,00</v>
      </c>
      <c r="N2820" s="1" t="s">
        <v>117</v>
      </c>
      <c r="O2820" s="7"/>
      <c r="P2820" s="6" t="str">
        <f>""</f>
        <v/>
      </c>
      <c r="Q2820" s="7"/>
      <c r="R2820" s="20" t="s">
        <v>2391</v>
      </c>
      <c r="S2820" s="1" t="str">
        <f>"N-86/17"</f>
        <v>N-86/17</v>
      </c>
      <c r="T2820" s="2" t="s">
        <v>33</v>
      </c>
    </row>
    <row r="2821" spans="1:20" ht="102" x14ac:dyDescent="0.25">
      <c r="A2821" s="1">
        <v>2817</v>
      </c>
      <c r="B2821" s="1" t="str">
        <f>"2017-2713"</f>
        <v>2017-2713</v>
      </c>
      <c r="C2821" s="2" t="s">
        <v>1493</v>
      </c>
      <c r="D2821" s="1" t="s">
        <v>1494</v>
      </c>
      <c r="E2821" s="3" t="str">
        <f>"2018/S 0F3-0002677"</f>
        <v>2018/S 0F3-0002677</v>
      </c>
      <c r="F2821" s="2" t="s">
        <v>23</v>
      </c>
      <c r="G2821" s="2" t="str">
        <f>CONCATENATE("KARST D.O.O.,"," UL. NIKOLE PAVIĆA 11,"," 10000 ZAGREB,"," OIB: 33162411239")</f>
        <v>KARST D.O.O., UL. NIKOLE PAVIĆA 11, 10000 ZAGREB, OIB: 33162411239</v>
      </c>
      <c r="H2821" s="1" t="str">
        <f>CONCATENATE("GEOTEHNIČKI STUDIO D.O.O.,"," OIB: 65389569788",CHAR(10),"HIDRO-GEO PROJEKT D.O.O.,"," OIB: 09473107998")</f>
        <v>GEOTEHNIČKI STUDIO D.O.O., OIB: 65389569788
HIDRO-GEO PROJEKT D.O.O., OIB: 09473107998</v>
      </c>
      <c r="I2821" s="1" t="s">
        <v>848</v>
      </c>
      <c r="J2821" s="1" t="s">
        <v>451</v>
      </c>
      <c r="K2821" s="6" t="str">
        <f>"429.368,00"</f>
        <v>429.368,00</v>
      </c>
      <c r="L2821" s="6" t="str">
        <f>"107.342,00"</f>
        <v>107.342,00</v>
      </c>
      <c r="M2821" s="6" t="str">
        <f>"536.710,00"</f>
        <v>536.710,00</v>
      </c>
      <c r="N2821" s="5">
        <v>43343</v>
      </c>
      <c r="O2821" s="7"/>
      <c r="P2821" s="6" t="str">
        <f>"514.390,72"</f>
        <v>514.390,72</v>
      </c>
      <c r="Q2821" s="7"/>
      <c r="R2821" s="1"/>
      <c r="S2821" s="1" t="str">
        <f>"N-88/17"</f>
        <v>N-88/17</v>
      </c>
      <c r="T2821" s="2" t="s">
        <v>33</v>
      </c>
    </row>
    <row r="2822" spans="1:20" ht="38.25" x14ac:dyDescent="0.25">
      <c r="A2822" s="1">
        <v>2818</v>
      </c>
      <c r="B2822" s="1" t="str">
        <f>"2017-2002"</f>
        <v>2017-2002</v>
      </c>
      <c r="C2822" s="2" t="s">
        <v>1495</v>
      </c>
      <c r="D2822" s="1" t="s">
        <v>1496</v>
      </c>
      <c r="E2822" s="3" t="str">
        <f>"2017/S 0F2-0023726"</f>
        <v>2017/S 0F2-0023726</v>
      </c>
      <c r="F2822" s="2" t="s">
        <v>23</v>
      </c>
      <c r="G2822" s="2" t="str">
        <f>CONCATENATE("GEO-CENTAR D.O.O.,"," JURJA IV. ZRINSKOG 12/B,"," 40000 ČAKOVEC,"," OIB: 71106141762")</f>
        <v>GEO-CENTAR D.O.O., JURJA IV. ZRINSKOG 12/B, 40000 ČAKOVEC, OIB: 71106141762</v>
      </c>
      <c r="H2822" s="4"/>
      <c r="I2822" s="1" t="s">
        <v>734</v>
      </c>
      <c r="J2822" s="1" t="s">
        <v>140</v>
      </c>
      <c r="K2822" s="6" t="str">
        <f>"268.990,00"</f>
        <v>268.990,00</v>
      </c>
      <c r="L2822" s="6" t="str">
        <f>"67.247,50"</f>
        <v>67.247,50</v>
      </c>
      <c r="M2822" s="6" t="str">
        <f>"336.237,50"</f>
        <v>336.237,50</v>
      </c>
      <c r="N2822" s="5">
        <v>43161</v>
      </c>
      <c r="O2822" s="7"/>
      <c r="P2822" s="6" t="str">
        <f>"330.675,00"</f>
        <v>330.675,00</v>
      </c>
      <c r="Q2822" s="7"/>
      <c r="R2822" s="1"/>
      <c r="S2822" s="1" t="str">
        <f>"N-89/17"</f>
        <v>N-89/17</v>
      </c>
      <c r="T2822" s="2" t="s">
        <v>33</v>
      </c>
    </row>
    <row r="2823" spans="1:20" ht="38.25" x14ac:dyDescent="0.25">
      <c r="A2823" s="1">
        <v>2819</v>
      </c>
      <c r="B2823" s="1" t="str">
        <f>"2017-2857"</f>
        <v>2017-2857</v>
      </c>
      <c r="C2823" s="2" t="s">
        <v>1497</v>
      </c>
      <c r="D2823" s="1" t="s">
        <v>1498</v>
      </c>
      <c r="E2823" s="3" t="str">
        <f>"2018/S 0F3-0003912"</f>
        <v>2018/S 0F3-0003912</v>
      </c>
      <c r="F2823" s="2" t="s">
        <v>23</v>
      </c>
      <c r="G2823" s="2" t="str">
        <f>CONCATENATE("MI MARIS D.O.O.,"," ŽITNA 12,"," 10310 IVANIĆ-GRAD,"," OIB: 38118858399")</f>
        <v>MI MARIS D.O.O., ŽITNA 12, 10310 IVANIĆ-GRAD, OIB: 38118858399</v>
      </c>
      <c r="H2823" s="4"/>
      <c r="I2823" s="1" t="s">
        <v>848</v>
      </c>
      <c r="J2823" s="1" t="s">
        <v>451</v>
      </c>
      <c r="K2823" s="6" t="str">
        <f>"1.445.828,00"</f>
        <v>1.445.828,00</v>
      </c>
      <c r="L2823" s="6" t="str">
        <f>"361.457,00"</f>
        <v>361.457,00</v>
      </c>
      <c r="M2823" s="6" t="str">
        <f>"1.807.285,00"</f>
        <v>1.807.285,00</v>
      </c>
      <c r="N2823" s="5">
        <v>43404</v>
      </c>
      <c r="O2823" s="7"/>
      <c r="P2823" s="6" t="str">
        <f>"1.787.043,41"</f>
        <v>1.787.043,41</v>
      </c>
      <c r="Q2823" s="7"/>
      <c r="R2823" s="1"/>
      <c r="S2823" s="1" t="str">
        <f>"N-90/17"</f>
        <v>N-90/17</v>
      </c>
      <c r="T2823" s="2" t="s">
        <v>33</v>
      </c>
    </row>
    <row r="2824" spans="1:20" ht="38.25" x14ac:dyDescent="0.25">
      <c r="A2824" s="1">
        <v>2820</v>
      </c>
      <c r="B2824" s="1" t="str">
        <f>"2017-2753"</f>
        <v>2017-2753</v>
      </c>
      <c r="C2824" s="2" t="s">
        <v>1499</v>
      </c>
      <c r="D2824" s="1" t="s">
        <v>1500</v>
      </c>
      <c r="E2824" s="3" t="str">
        <f>"2017/S 0F2-0017183"</f>
        <v>2017/S 0F2-0017183</v>
      </c>
      <c r="F2824" s="2" t="s">
        <v>23</v>
      </c>
      <c r="G2824" s="2" t="str">
        <f>CONCATENATE("COMET D.O.O.,"," OIB: 48249084626")</f>
        <v>COMET D.O.O., OIB: 48249084626</v>
      </c>
      <c r="H2824" s="4"/>
      <c r="I2824" s="1" t="s">
        <v>734</v>
      </c>
      <c r="J2824" s="1" t="s">
        <v>140</v>
      </c>
      <c r="K2824" s="6" t="str">
        <f>"249.631,50"</f>
        <v>249.631,50</v>
      </c>
      <c r="L2824" s="6" t="str">
        <f>"62.407,88"</f>
        <v>62.407,88</v>
      </c>
      <c r="M2824" s="6" t="str">
        <f>"312.039,38"</f>
        <v>312.039,38</v>
      </c>
      <c r="N2824" s="1" t="s">
        <v>117</v>
      </c>
      <c r="O2824" s="7"/>
      <c r="P2824" s="6" t="str">
        <f>""</f>
        <v/>
      </c>
      <c r="Q2824" s="7"/>
      <c r="R2824" s="1"/>
      <c r="S2824" s="1" t="str">
        <f>"N-91/17"</f>
        <v>N-91/17</v>
      </c>
      <c r="T2824" s="2" t="s">
        <v>538</v>
      </c>
    </row>
    <row r="2825" spans="1:20" ht="89.25" x14ac:dyDescent="0.25">
      <c r="A2825" s="1">
        <v>2821</v>
      </c>
      <c r="B2825" s="1" t="str">
        <f>"2017-189"</f>
        <v>2017-189</v>
      </c>
      <c r="C2825" s="2" t="s">
        <v>1501</v>
      </c>
      <c r="D2825" s="1" t="s">
        <v>1384</v>
      </c>
      <c r="E2825" s="3" t="str">
        <f>"2017/S 0F2-0022244"</f>
        <v>2017/S 0F2-0022244</v>
      </c>
      <c r="F2825" s="2" t="s">
        <v>23</v>
      </c>
      <c r="G2825" s="2" t="str">
        <f>CONCATENATE("KAPROJEKT D.O.O.,"," M. VRHOVCA 3,"," 47000 KARLOVAC,"," OIB: 42714818335")</f>
        <v>KAPROJEKT D.O.O., M. VRHOVCA 3, 47000 KARLOVAC, OIB: 42714818335</v>
      </c>
      <c r="H2825" s="4"/>
      <c r="I2825" s="1" t="s">
        <v>734</v>
      </c>
      <c r="J2825" s="1" t="s">
        <v>735</v>
      </c>
      <c r="K2825" s="6" t="str">
        <f>"276.127,00"</f>
        <v>276.127,00</v>
      </c>
      <c r="L2825" s="6" t="str">
        <f>"69.031,75"</f>
        <v>69.031,75</v>
      </c>
      <c r="M2825" s="6" t="str">
        <f>"345.158,75"</f>
        <v>345.158,75</v>
      </c>
      <c r="N2825" s="1" t="s">
        <v>117</v>
      </c>
      <c r="O2825" s="7"/>
      <c r="P2825" s="6" t="str">
        <f>""</f>
        <v/>
      </c>
      <c r="Q2825" s="7"/>
      <c r="R2825" s="1"/>
      <c r="S2825" s="1" t="str">
        <f>"N-92/17"</f>
        <v>N-92/17</v>
      </c>
      <c r="T2825" s="2" t="s">
        <v>29</v>
      </c>
    </row>
    <row r="2826" spans="1:20" ht="76.5" x14ac:dyDescent="0.25">
      <c r="A2826" s="1">
        <v>2822</v>
      </c>
      <c r="B2826" s="1" t="str">
        <f>"2017-67"</f>
        <v>2017-67</v>
      </c>
      <c r="C2826" s="2" t="s">
        <v>1502</v>
      </c>
      <c r="D2826" s="1" t="s">
        <v>1503</v>
      </c>
      <c r="E2826" s="3" t="str">
        <f>"2017/S 0F2-0013309"</f>
        <v>2017/S 0F2-0013309</v>
      </c>
      <c r="F2826" s="2" t="s">
        <v>23</v>
      </c>
      <c r="G2826" s="2" t="str">
        <f>CONCATENATE("KONČAR - KET D.D.,"," FALLEROVO ŠETALIŠTE 22,"," 10000 ZAGREB,"," OIB: 29898970552")</f>
        <v>KONČAR - KET D.D., FALLEROVO ŠETALIŠTE 22, 10000 ZAGREB, OIB: 29898970552</v>
      </c>
      <c r="H2826" s="1" t="str">
        <f>CONCATENATE("PA-EL D.O.O.,"," OIB: 56740849320",CHAR(10),"TIGRA D.O.O.,"," OIB: 2983006023")</f>
        <v>PA-EL D.O.O., OIB: 56740849320
TIGRA D.O.O., OIB: 2983006023</v>
      </c>
      <c r="I2826" s="1" t="s">
        <v>734</v>
      </c>
      <c r="J2826" s="1" t="s">
        <v>140</v>
      </c>
      <c r="K2826" s="6" t="str">
        <f>"10.849.979,77"</f>
        <v>10.849.979,77</v>
      </c>
      <c r="L2826" s="6" t="str">
        <f>"2.712.494,94"</f>
        <v>2.712.494,94</v>
      </c>
      <c r="M2826" s="6" t="str">
        <f>"13.562.474,71"</f>
        <v>13.562.474,71</v>
      </c>
      <c r="N2826" s="1" t="s">
        <v>117</v>
      </c>
      <c r="O2826" s="7"/>
      <c r="P2826" s="6" t="str">
        <f>""</f>
        <v/>
      </c>
      <c r="Q2826" s="7"/>
      <c r="R2826" s="1"/>
      <c r="S2826" s="1" t="str">
        <f>"N-93/17"</f>
        <v>N-93/17</v>
      </c>
      <c r="T2826" s="2" t="s">
        <v>29</v>
      </c>
    </row>
    <row r="2827" spans="1:20" ht="38.25" x14ac:dyDescent="0.25">
      <c r="A2827" s="1">
        <v>2823</v>
      </c>
      <c r="B2827" s="1" t="str">
        <f>"2017-144"</f>
        <v>2017-144</v>
      </c>
      <c r="C2827" s="2" t="s">
        <v>1504</v>
      </c>
      <c r="D2827" s="1" t="s">
        <v>119</v>
      </c>
      <c r="E2827" s="3" t="str">
        <f>"2017/S 0F2-0017792"</f>
        <v>2017/S 0F2-0017792</v>
      </c>
      <c r="F2827" s="2" t="s">
        <v>23</v>
      </c>
      <c r="G2827" s="2" t="str">
        <f>CONCATENATE("VODOTEHNIKA D.D.,"," KOTURAŠKA CESTA 49,"," 10000 ZAGREB,"," OIB: 1763143132")</f>
        <v>VODOTEHNIKA D.D., KOTURAŠKA CESTA 49, 10000 ZAGREB, OIB: 1763143132</v>
      </c>
      <c r="H2827" s="4"/>
      <c r="I2827" s="1" t="s">
        <v>734</v>
      </c>
      <c r="J2827" s="1" t="s">
        <v>140</v>
      </c>
      <c r="K2827" s="6" t="str">
        <f>"978.180,12"</f>
        <v>978.180,12</v>
      </c>
      <c r="L2827" s="6" t="str">
        <f>"244.545,03"</f>
        <v>244.545,03</v>
      </c>
      <c r="M2827" s="6" t="str">
        <f>"1.222.725,15"</f>
        <v>1.222.725,15</v>
      </c>
      <c r="N2827" s="1" t="s">
        <v>117</v>
      </c>
      <c r="O2827" s="7"/>
      <c r="P2827" s="6" t="str">
        <f>""</f>
        <v/>
      </c>
      <c r="Q2827" s="7"/>
      <c r="R2827" s="1"/>
      <c r="S2827" s="1" t="str">
        <f>"N-94/17"</f>
        <v>N-94/17</v>
      </c>
      <c r="T2827" s="2" t="s">
        <v>29</v>
      </c>
    </row>
    <row r="2828" spans="1:20" ht="38.25" x14ac:dyDescent="0.25">
      <c r="A2828" s="1">
        <v>2824</v>
      </c>
      <c r="B2828" s="1" t="str">
        <f>"2017-2840"</f>
        <v>2017-2840</v>
      </c>
      <c r="C2828" s="2" t="s">
        <v>1505</v>
      </c>
      <c r="D2828" s="1" t="s">
        <v>1266</v>
      </c>
      <c r="E2828" s="3" t="str">
        <f>"2017/S 0F2-0013594"</f>
        <v>2017/S 0F2-0013594</v>
      </c>
      <c r="F2828" s="2" t="s">
        <v>23</v>
      </c>
      <c r="G2828" s="2" t="str">
        <f>CONCATENATE("SPECIJALNA OPREMA - LUČKO D.O.O.,"," DONJI STUPNIK,"," DOLENICA 20,"," 10250 LUČKO,"," OIB: 3557766515")</f>
        <v>SPECIJALNA OPREMA - LUČKO D.O.O., DONJI STUPNIK, DOLENICA 20, 10250 LUČKO, OIB: 3557766515</v>
      </c>
      <c r="H2828" s="4"/>
      <c r="I2828" s="1" t="s">
        <v>1506</v>
      </c>
      <c r="J2828" s="1" t="s">
        <v>1507</v>
      </c>
      <c r="K2828" s="6" t="str">
        <f>"298.894,00"</f>
        <v>298.894,00</v>
      </c>
      <c r="L2828" s="6" t="str">
        <f>"74.723,50"</f>
        <v>74.723,50</v>
      </c>
      <c r="M2828" s="6" t="str">
        <f>"373.617,50"</f>
        <v>373.617,50</v>
      </c>
      <c r="N2828" s="1" t="s">
        <v>117</v>
      </c>
      <c r="O2828" s="7"/>
      <c r="P2828" s="6" t="str">
        <f>""</f>
        <v/>
      </c>
      <c r="Q2828" s="7"/>
      <c r="R2828" s="1"/>
      <c r="S2828" s="1" t="str">
        <f>"N-95/17"</f>
        <v>N-95/17</v>
      </c>
      <c r="T2828" s="2" t="s">
        <v>538</v>
      </c>
    </row>
    <row r="2829" spans="1:20" ht="38.25" x14ac:dyDescent="0.25">
      <c r="A2829" s="1">
        <v>2825</v>
      </c>
      <c r="B2829" s="1" t="str">
        <f>"2017-1373"</f>
        <v>2017-1373</v>
      </c>
      <c r="C2829" s="2" t="s">
        <v>1508</v>
      </c>
      <c r="D2829" s="1" t="s">
        <v>1509</v>
      </c>
      <c r="E2829" s="3" t="str">
        <f>"2017/S 0F2-0022274"</f>
        <v>2017/S 0F2-0022274</v>
      </c>
      <c r="F2829" s="2" t="s">
        <v>23</v>
      </c>
      <c r="G2829" s="2" t="str">
        <f>CONCATENATE("RO-TEHNOLOGIJA D.O.O.,"," NOVA CESTA 86,"," 51410 OPATIJA,"," OIB: 94757004774")</f>
        <v>RO-TEHNOLOGIJA D.O.O., NOVA CESTA 86, 51410 OPATIJA, OIB: 94757004774</v>
      </c>
      <c r="H2829" s="4"/>
      <c r="I2829" s="1" t="s">
        <v>872</v>
      </c>
      <c r="J2829" s="1" t="s">
        <v>1510</v>
      </c>
      <c r="K2829" s="6" t="str">
        <f>"388.800,00"</f>
        <v>388.800,00</v>
      </c>
      <c r="L2829" s="6" t="str">
        <f>"97.200,00"</f>
        <v>97.200,00</v>
      </c>
      <c r="M2829" s="6" t="str">
        <f>"486.000,00"</f>
        <v>486.000,00</v>
      </c>
      <c r="N2829" s="5">
        <v>43280</v>
      </c>
      <c r="O2829" s="7"/>
      <c r="P2829" s="6" t="str">
        <f>"486.000,00"</f>
        <v>486.000,00</v>
      </c>
      <c r="Q2829" s="7"/>
      <c r="R2829" s="1"/>
      <c r="S2829" s="1" t="str">
        <f>"N-96/17"</f>
        <v>N-96/17</v>
      </c>
      <c r="T2829" s="2" t="s">
        <v>33</v>
      </c>
    </row>
    <row r="2830" spans="1:20" ht="38.25" x14ac:dyDescent="0.25">
      <c r="A2830" s="1">
        <v>2826</v>
      </c>
      <c r="B2830" s="1" t="str">
        <f>"2017-1407"</f>
        <v>2017-1407</v>
      </c>
      <c r="C2830" s="2" t="s">
        <v>1511</v>
      </c>
      <c r="D2830" s="1" t="s">
        <v>1512</v>
      </c>
      <c r="E2830" s="3" t="str">
        <f>"2017/S 0F2-0022625"</f>
        <v>2017/S 0F2-0022625</v>
      </c>
      <c r="F2830" s="2" t="s">
        <v>23</v>
      </c>
      <c r="G2830" s="2" t="str">
        <f>CONCATENATE("GRA-PO D.O.O.,"," GOSPODARSKA 5B,"," 10255 ZAGREB - STUPNIK,"," OIB: 05364995085")</f>
        <v>GRA-PO D.O.O., GOSPODARSKA 5B, 10255 ZAGREB - STUPNIK, OIB: 05364995085</v>
      </c>
      <c r="H2830" s="4"/>
      <c r="I2830" s="1" t="s">
        <v>872</v>
      </c>
      <c r="J2830" s="1" t="s">
        <v>1510</v>
      </c>
      <c r="K2830" s="6" t="str">
        <f>"4.802.990,00"</f>
        <v>4.802.990,00</v>
      </c>
      <c r="L2830" s="6" t="str">
        <f>"1.200.747,50"</f>
        <v>1.200.747,50</v>
      </c>
      <c r="M2830" s="6" t="str">
        <f>"6.003.737,50"</f>
        <v>6.003.737,50</v>
      </c>
      <c r="N2830" s="5">
        <v>43293</v>
      </c>
      <c r="O2830" s="7"/>
      <c r="P2830" s="6" t="str">
        <f>"6.003.737,50"</f>
        <v>6.003.737,50</v>
      </c>
      <c r="Q2830" s="7"/>
      <c r="R2830" s="1"/>
      <c r="S2830" s="1" t="str">
        <f>"N-97-A/17"</f>
        <v>N-97-A/17</v>
      </c>
      <c r="T2830" s="2" t="s">
        <v>33</v>
      </c>
    </row>
    <row r="2831" spans="1:20" ht="38.25" x14ac:dyDescent="0.25">
      <c r="A2831" s="1">
        <v>2827</v>
      </c>
      <c r="B2831" s="1" t="str">
        <f>"2017-1407"</f>
        <v>2017-1407</v>
      </c>
      <c r="C2831" s="2" t="s">
        <v>1511</v>
      </c>
      <c r="D2831" s="1" t="s">
        <v>1512</v>
      </c>
      <c r="E2831" s="3" t="str">
        <f>"2017/S 0F2-0022625"</f>
        <v>2017/S 0F2-0022625</v>
      </c>
      <c r="F2831" s="2" t="s">
        <v>23</v>
      </c>
      <c r="G2831" s="2" t="str">
        <f>CONCATENATE("GRA-PO D.O.O.,"," GOSPODARSKA 5B,"," 10255 ZAGREB - STUPNIK,"," OIB: 05364995085")</f>
        <v>GRA-PO D.O.O., GOSPODARSKA 5B, 10255 ZAGREB - STUPNIK, OIB: 05364995085</v>
      </c>
      <c r="H2831" s="4"/>
      <c r="I2831" s="1" t="s">
        <v>872</v>
      </c>
      <c r="J2831" s="1" t="s">
        <v>1510</v>
      </c>
      <c r="K2831" s="6" t="str">
        <f>"384.750,00"</f>
        <v>384.750,00</v>
      </c>
      <c r="L2831" s="6" t="str">
        <f>"96.187,50"</f>
        <v>96.187,50</v>
      </c>
      <c r="M2831" s="6" t="str">
        <f>"480.937,50"</f>
        <v>480.937,50</v>
      </c>
      <c r="N2831" s="5">
        <v>43269</v>
      </c>
      <c r="O2831" s="7"/>
      <c r="P2831" s="6" t="str">
        <f>"480.954,54"</f>
        <v>480.954,54</v>
      </c>
      <c r="Q2831" s="7"/>
      <c r="R2831" s="1"/>
      <c r="S2831" s="1" t="str">
        <f>"N-97-B/17"</f>
        <v>N-97-B/17</v>
      </c>
      <c r="T2831" s="2" t="s">
        <v>33</v>
      </c>
    </row>
    <row r="2832" spans="1:20" ht="38.25" x14ac:dyDescent="0.25">
      <c r="A2832" s="1">
        <v>2828</v>
      </c>
      <c r="B2832" s="1" t="str">
        <f>"2017-1407"</f>
        <v>2017-1407</v>
      </c>
      <c r="C2832" s="2" t="s">
        <v>1511</v>
      </c>
      <c r="D2832" s="1" t="s">
        <v>1512</v>
      </c>
      <c r="E2832" s="3" t="str">
        <f>"2017/S 0F2-0022625"</f>
        <v>2017/S 0F2-0022625</v>
      </c>
      <c r="F2832" s="2" t="s">
        <v>23</v>
      </c>
      <c r="G2832" s="2" t="str">
        <f>CONCATENATE("AGRO-HONOR D.O.O.,"," KRALJA TOMISLAVA 82,"," 31300 BELI MANASTIR,"," OIB: 82775399135")</f>
        <v>AGRO-HONOR D.O.O., KRALJA TOMISLAVA 82, 31300 BELI MANASTIR, OIB: 82775399135</v>
      </c>
      <c r="H2832" s="4"/>
      <c r="I2832" s="1" t="s">
        <v>872</v>
      </c>
      <c r="J2832" s="1" t="s">
        <v>1510</v>
      </c>
      <c r="K2832" s="6" t="str">
        <f>"344.460,00"</f>
        <v>344.460,00</v>
      </c>
      <c r="L2832" s="6" t="str">
        <f>"86.115,00"</f>
        <v>86.115,00</v>
      </c>
      <c r="M2832" s="6" t="str">
        <f>"430.575,00"</f>
        <v>430.575,00</v>
      </c>
      <c r="N2832" s="5">
        <v>43157</v>
      </c>
      <c r="O2832" s="7"/>
      <c r="P2832" s="6" t="str">
        <f>"413.087,50"</f>
        <v>413.087,50</v>
      </c>
      <c r="Q2832" s="7"/>
      <c r="R2832" s="1"/>
      <c r="S2832" s="1" t="str">
        <f>"N-97-C/17"</f>
        <v>N-97-C/17</v>
      </c>
      <c r="T2832" s="2" t="s">
        <v>33</v>
      </c>
    </row>
    <row r="2833" spans="1:20" ht="38.25" x14ac:dyDescent="0.25">
      <c r="A2833" s="1">
        <v>2829</v>
      </c>
      <c r="B2833" s="1" t="str">
        <f>"2017-1407"</f>
        <v>2017-1407</v>
      </c>
      <c r="C2833" s="2" t="s">
        <v>1511</v>
      </c>
      <c r="D2833" s="1" t="s">
        <v>1512</v>
      </c>
      <c r="E2833" s="3" t="str">
        <f>"2017/S 0F2-0022625"</f>
        <v>2017/S 0F2-0022625</v>
      </c>
      <c r="F2833" s="2" t="s">
        <v>23</v>
      </c>
      <c r="G2833" s="2" t="str">
        <f>CONCATENATE("HITTNER D.O.O.,"," PAKRAČKA ULICA 10,"," 43000 BJELOVAR,"," OIB: 59308102082")</f>
        <v>HITTNER D.O.O., PAKRAČKA ULICA 10, 43000 BJELOVAR, OIB: 59308102082</v>
      </c>
      <c r="H2833" s="4"/>
      <c r="I2833" s="1" t="s">
        <v>872</v>
      </c>
      <c r="J2833" s="1" t="s">
        <v>1510</v>
      </c>
      <c r="K2833" s="6" t="str">
        <f>"195.936,00"</f>
        <v>195.936,00</v>
      </c>
      <c r="L2833" s="6" t="str">
        <f>"48.984,00"</f>
        <v>48.984,00</v>
      </c>
      <c r="M2833" s="6" t="str">
        <f>"244.920,00"</f>
        <v>244.920,00</v>
      </c>
      <c r="N2833" s="5">
        <v>43175</v>
      </c>
      <c r="O2833" s="7"/>
      <c r="P2833" s="6" t="str">
        <f>"244.920,00"</f>
        <v>244.920,00</v>
      </c>
      <c r="Q2833" s="7"/>
      <c r="R2833" s="1"/>
      <c r="S2833" s="1" t="str">
        <f>"N-97-D/17"</f>
        <v>N-97-D/17</v>
      </c>
      <c r="T2833" s="2" t="s">
        <v>33</v>
      </c>
    </row>
    <row r="2834" spans="1:20" ht="38.25" x14ac:dyDescent="0.25">
      <c r="A2834" s="1">
        <v>2830</v>
      </c>
      <c r="B2834" s="1" t="str">
        <f>"2017-2782"</f>
        <v>2017-2782</v>
      </c>
      <c r="C2834" s="2" t="s">
        <v>1513</v>
      </c>
      <c r="D2834" s="1" t="s">
        <v>1279</v>
      </c>
      <c r="E2834" s="3" t="str">
        <f>"2017/S 0F2-0022544"</f>
        <v>2017/S 0F2-0022544</v>
      </c>
      <c r="F2834" s="2" t="s">
        <v>23</v>
      </c>
      <c r="G2834" s="2" t="str">
        <f>CONCATENATE("DOLI PROM D.O.O.,"," MALE PUTINE 14,"," 10000 ZAGREB,"," OIB: 08741309749")</f>
        <v>DOLI PROM D.O.O., MALE PUTINE 14, 10000 ZAGREB, OIB: 08741309749</v>
      </c>
      <c r="H2834" s="4"/>
      <c r="I2834" s="1" t="s">
        <v>872</v>
      </c>
      <c r="J2834" s="1" t="s">
        <v>1510</v>
      </c>
      <c r="K2834" s="6" t="str">
        <f>"598.100,00"</f>
        <v>598.100,00</v>
      </c>
      <c r="L2834" s="6" t="str">
        <f>"149.525,00"</f>
        <v>149.525,00</v>
      </c>
      <c r="M2834" s="6" t="str">
        <f>"747.625,00"</f>
        <v>747.625,00</v>
      </c>
      <c r="N2834" s="5">
        <v>43223</v>
      </c>
      <c r="O2834" s="7"/>
      <c r="P2834" s="6" t="str">
        <f>"747.625,00"</f>
        <v>747.625,00</v>
      </c>
      <c r="Q2834" s="7"/>
      <c r="R2834" s="1"/>
      <c r="S2834" s="1" t="str">
        <f>"N-98/17"</f>
        <v>N-98/17</v>
      </c>
      <c r="T2834" s="2" t="s">
        <v>33</v>
      </c>
    </row>
    <row r="2835" spans="1:20" ht="38.25" x14ac:dyDescent="0.25">
      <c r="A2835" s="1">
        <v>2831</v>
      </c>
      <c r="B2835" s="1" t="str">
        <f>"2017-2864"</f>
        <v>2017-2864</v>
      </c>
      <c r="C2835" s="2" t="s">
        <v>1514</v>
      </c>
      <c r="D2835" s="1" t="s">
        <v>762</v>
      </c>
      <c r="E2835" s="3" t="str">
        <f>"2017/S 0F2-0021787"</f>
        <v>2017/S 0F2-0021787</v>
      </c>
      <c r="F2835" s="2" t="s">
        <v>23</v>
      </c>
      <c r="G2835" s="2" t="str">
        <f>CONCATENATE("INSTRUKTAŽNI CENTAR USTANOVA ZA OBRAZOVANJE ODRASLIH,"," FRANJE RAČKOG 4,"," 48260 KRIŽEVCI,"," OIB: 2463231579")</f>
        <v>INSTRUKTAŽNI CENTAR USTANOVA ZA OBRAZOVANJE ODRASLIH, FRANJE RAČKOG 4, 48260 KRIŽEVCI, OIB: 2463231579</v>
      </c>
      <c r="H2835" s="4"/>
      <c r="I2835" s="1" t="s">
        <v>1515</v>
      </c>
      <c r="J2835" s="1" t="s">
        <v>43</v>
      </c>
      <c r="K2835" s="6" t="str">
        <f>"49.950,00"</f>
        <v>49.950,00</v>
      </c>
      <c r="L2835" s="6" t="str">
        <f>"12.487,50"</f>
        <v>12.487,50</v>
      </c>
      <c r="M2835" s="6" t="str">
        <f>"62.437,50"</f>
        <v>62.437,50</v>
      </c>
      <c r="N2835" s="1" t="s">
        <v>117</v>
      </c>
      <c r="O2835" s="7"/>
      <c r="P2835" s="6" t="str">
        <f>""</f>
        <v/>
      </c>
      <c r="Q2835" s="7"/>
      <c r="R2835" s="1"/>
      <c r="S2835" s="1" t="str">
        <f>"N-99/17"</f>
        <v>N-99/17</v>
      </c>
      <c r="T2835" s="2" t="s">
        <v>660</v>
      </c>
    </row>
    <row r="2836" spans="1:20" ht="38.25" x14ac:dyDescent="0.25">
      <c r="A2836" s="1">
        <v>2832</v>
      </c>
      <c r="B2836" s="1" t="str">
        <f>"2017-2043"</f>
        <v>2017-2043</v>
      </c>
      <c r="C2836" s="2" t="s">
        <v>1516</v>
      </c>
      <c r="D2836" s="1" t="s">
        <v>1517</v>
      </c>
      <c r="E2836" s="3" t="str">
        <f>"2017/S F14-0023440"</f>
        <v>2017/S F14-0023440</v>
      </c>
      <c r="F2836" s="2" t="s">
        <v>23</v>
      </c>
      <c r="G2836" s="2" t="str">
        <f>CONCATENATE("FDS-TRGOVINA D.O.O.,"," MAJSTORSKA 1G,"," 10000 ZAGREB,"," OIB: 71814187727")</f>
        <v>FDS-TRGOVINA D.O.O., MAJSTORSKA 1G, 10000 ZAGREB, OIB: 71814187727</v>
      </c>
      <c r="H2836" s="4"/>
      <c r="I2836" s="1" t="s">
        <v>1515</v>
      </c>
      <c r="J2836" s="1" t="s">
        <v>43</v>
      </c>
      <c r="K2836" s="6" t="str">
        <f>"367.500,00"</f>
        <v>367.500,00</v>
      </c>
      <c r="L2836" s="6" t="str">
        <f>"91.875,00"</f>
        <v>91.875,00</v>
      </c>
      <c r="M2836" s="6" t="str">
        <f>"459.375,00"</f>
        <v>459.375,00</v>
      </c>
      <c r="N2836" s="5">
        <v>43271</v>
      </c>
      <c r="O2836" s="7"/>
      <c r="P2836" s="6" t="str">
        <f>"459.375,00"</f>
        <v>459.375,00</v>
      </c>
      <c r="Q2836" s="7"/>
      <c r="R2836" s="1"/>
      <c r="S2836" s="1" t="str">
        <f>"N-100/17"</f>
        <v>N-100/17</v>
      </c>
      <c r="T2836" s="2" t="s">
        <v>29</v>
      </c>
    </row>
    <row r="2837" spans="1:20" ht="38.25" x14ac:dyDescent="0.25">
      <c r="A2837" s="1">
        <v>2833</v>
      </c>
      <c r="B2837" s="1" t="str">
        <f>"2017-2774"</f>
        <v>2017-2774</v>
      </c>
      <c r="C2837" s="2" t="s">
        <v>1518</v>
      </c>
      <c r="D2837" s="1" t="s">
        <v>1519</v>
      </c>
      <c r="E2837" s="3" t="str">
        <f>"2017/S 0F2-0025455"</f>
        <v>2017/S 0F2-0025455</v>
      </c>
      <c r="F2837" s="2" t="s">
        <v>23</v>
      </c>
      <c r="G2837" s="2" t="str">
        <f>CONCATENATE("KALA D.O.O.,"," FRANKOPANSKA 97A,"," 35404 CERNIK,"," OIB: 94389348128")</f>
        <v>KALA D.O.O., FRANKOPANSKA 97A, 35404 CERNIK, OIB: 94389348128</v>
      </c>
      <c r="H2837" s="4"/>
      <c r="I2837" s="1" t="s">
        <v>872</v>
      </c>
      <c r="J2837" s="1" t="s">
        <v>1510</v>
      </c>
      <c r="K2837" s="6" t="str">
        <f>"1.028.759,98"</f>
        <v>1.028.759,98</v>
      </c>
      <c r="L2837" s="6" t="str">
        <f>"257.190,00"</f>
        <v>257.190,00</v>
      </c>
      <c r="M2837" s="6" t="str">
        <f>"1.285.949,98"</f>
        <v>1.285.949,98</v>
      </c>
      <c r="N2837" s="5">
        <v>43418</v>
      </c>
      <c r="O2837" s="7"/>
      <c r="P2837" s="6" t="str">
        <f>"1.077.693,70"</f>
        <v>1.077.693,70</v>
      </c>
      <c r="Q2837" s="7"/>
      <c r="R2837" s="1"/>
      <c r="S2837" s="1" t="str">
        <f>"N-101/17"</f>
        <v>N-101/17</v>
      </c>
      <c r="T2837" s="2" t="s">
        <v>33</v>
      </c>
    </row>
    <row r="2838" spans="1:20" ht="38.25" x14ac:dyDescent="0.25">
      <c r="A2838" s="1">
        <v>2834</v>
      </c>
      <c r="B2838" s="1" t="str">
        <f>"2017-2187"</f>
        <v>2017-2187</v>
      </c>
      <c r="C2838" s="2" t="s">
        <v>1520</v>
      </c>
      <c r="D2838" s="1" t="s">
        <v>1521</v>
      </c>
      <c r="E2838" s="3" t="str">
        <f>"2017/S 0F2-0021725"</f>
        <v>2017/S 0F2-0021725</v>
      </c>
      <c r="F2838" s="2" t="s">
        <v>23</v>
      </c>
      <c r="G2838" s="2" t="str">
        <f>CONCATENATE("AQUA INŽENJERING D.O.O,"," ZAGREBAČKA ULICA 15,"," 10360 SESVETE,"," OIB: 73980898845")</f>
        <v>AQUA INŽENJERING D.O.O, ZAGREBAČKA ULICA 15, 10360 SESVETE, OIB: 73980898845</v>
      </c>
      <c r="H2838" s="4"/>
      <c r="I2838" s="1" t="s">
        <v>1515</v>
      </c>
      <c r="J2838" s="1" t="s">
        <v>43</v>
      </c>
      <c r="K2838" s="6" t="str">
        <f>"715.928,00"</f>
        <v>715.928,00</v>
      </c>
      <c r="L2838" s="6" t="str">
        <f>"178.982,00"</f>
        <v>178.982,00</v>
      </c>
      <c r="M2838" s="6" t="str">
        <f>"894.910,00"</f>
        <v>894.910,00</v>
      </c>
      <c r="N2838" s="5">
        <v>43419</v>
      </c>
      <c r="O2838" s="7"/>
      <c r="P2838" s="6" t="str">
        <f>"894.910,00"</f>
        <v>894.910,00</v>
      </c>
      <c r="Q2838" s="7"/>
      <c r="R2838" s="1"/>
      <c r="S2838" s="1" t="str">
        <f>"N-102/17"</f>
        <v>N-102/17</v>
      </c>
      <c r="T2838" s="2" t="s">
        <v>29</v>
      </c>
    </row>
    <row r="2839" spans="1:20" ht="38.25" x14ac:dyDescent="0.25">
      <c r="A2839" s="1">
        <v>2835</v>
      </c>
      <c r="B2839" s="1" t="str">
        <f>"2017-2011"</f>
        <v>2017-2011</v>
      </c>
      <c r="C2839" s="2" t="s">
        <v>1522</v>
      </c>
      <c r="D2839" s="1" t="s">
        <v>1523</v>
      </c>
      <c r="E2839" s="3" t="str">
        <f>"2017/S 0F2-0023355"</f>
        <v>2017/S 0F2-0023355</v>
      </c>
      <c r="F2839" s="2" t="s">
        <v>23</v>
      </c>
      <c r="G2839" s="2" t="str">
        <f>CONCATENATE("DOLENAC PROMET D.O.O.,"," NAZOROVA 22,"," 44250 PETRINJA,"," OIB: 21780210989")</f>
        <v>DOLENAC PROMET D.O.O., NAZOROVA 22, 44250 PETRINJA, OIB: 21780210989</v>
      </c>
      <c r="H2839" s="4"/>
      <c r="I2839" s="1" t="s">
        <v>1515</v>
      </c>
      <c r="J2839" s="1" t="s">
        <v>43</v>
      </c>
      <c r="K2839" s="6" t="str">
        <f>"249.693,00"</f>
        <v>249.693,00</v>
      </c>
      <c r="L2839" s="6" t="str">
        <f>"62.423,25"</f>
        <v>62.423,25</v>
      </c>
      <c r="M2839" s="6" t="str">
        <f>"312.116,25"</f>
        <v>312.116,25</v>
      </c>
      <c r="N2839" s="5">
        <v>43278</v>
      </c>
      <c r="O2839" s="7"/>
      <c r="P2839" s="6" t="str">
        <f>"312.116,25"</f>
        <v>312.116,25</v>
      </c>
      <c r="Q2839" s="7"/>
      <c r="R2839" s="1"/>
      <c r="S2839" s="1" t="str">
        <f>"N-103/17"</f>
        <v>N-103/17</v>
      </c>
      <c r="T2839" s="2" t="s">
        <v>33</v>
      </c>
    </row>
    <row r="2840" spans="1:20" ht="51" x14ac:dyDescent="0.25">
      <c r="A2840" s="1">
        <v>2836</v>
      </c>
      <c r="B2840" s="1" t="str">
        <f>"2017-2893"</f>
        <v>2017-2893</v>
      </c>
      <c r="C2840" s="2" t="s">
        <v>1524</v>
      </c>
      <c r="D2840" s="1" t="s">
        <v>1266</v>
      </c>
      <c r="E2840" s="3" t="str">
        <f>"2017/S 0F2-0026491"</f>
        <v>2017/S 0F2-0026491</v>
      </c>
      <c r="F2840" s="2" t="s">
        <v>23</v>
      </c>
      <c r="G2840" s="2" t="str">
        <f>CONCATENATE("SPECIJALNA OPREMA - LUČKO D.O.O.,"," DONJI STUPNIK,"," DOLENICA 20,"," 10250 LUČKO,"," OIB: 3557766515")</f>
        <v>SPECIJALNA OPREMA - LUČKO D.O.O., DONJI STUPNIK, DOLENICA 20, 10250 LUČKO, OIB: 3557766515</v>
      </c>
      <c r="H2840" s="4"/>
      <c r="I2840" s="1" t="s">
        <v>881</v>
      </c>
      <c r="J2840" s="1" t="s">
        <v>461</v>
      </c>
      <c r="K2840" s="6" t="str">
        <f>"592.086,00"</f>
        <v>592.086,00</v>
      </c>
      <c r="L2840" s="6" t="str">
        <f>"148.021,50"</f>
        <v>148.021,50</v>
      </c>
      <c r="M2840" s="6" t="str">
        <f>"740.107,50"</f>
        <v>740.107,50</v>
      </c>
      <c r="N2840" s="1" t="s">
        <v>117</v>
      </c>
      <c r="O2840" s="7"/>
      <c r="P2840" s="6" t="str">
        <f>""</f>
        <v/>
      </c>
      <c r="Q2840" s="7"/>
      <c r="R2840" s="1"/>
      <c r="S2840" s="1" t="str">
        <f>"N-104/17"</f>
        <v>N-104/17</v>
      </c>
      <c r="T2840" s="2" t="s">
        <v>33</v>
      </c>
    </row>
    <row r="2841" spans="1:20" ht="38.25" x14ac:dyDescent="0.25">
      <c r="A2841" s="1">
        <v>2837</v>
      </c>
      <c r="B2841" s="1" t="str">
        <f>"2017-2795"</f>
        <v>2017-2795</v>
      </c>
      <c r="C2841" s="2" t="s">
        <v>1525</v>
      </c>
      <c r="D2841" s="1" t="s">
        <v>152</v>
      </c>
      <c r="E2841" s="3" t="str">
        <f>"2017/S F14-0020842"</f>
        <v>2017/S F14-0020842</v>
      </c>
      <c r="F2841" s="2" t="s">
        <v>23</v>
      </c>
      <c r="G2841" s="2" t="str">
        <f>CONCATENATE("BERHE D.O.O. ZASTUPSTVO I TRGOVINA,"," RADNIČKA CESTA 40-5,"," 10000 ZAGREB,"," OIB: 99296372942")</f>
        <v>BERHE D.O.O. ZASTUPSTVO I TRGOVINA, RADNIČKA CESTA 40-5, 10000 ZAGREB, OIB: 99296372942</v>
      </c>
      <c r="H2841" s="4"/>
      <c r="I2841" s="1" t="s">
        <v>1526</v>
      </c>
      <c r="J2841" s="1" t="s">
        <v>225</v>
      </c>
      <c r="K2841" s="6" t="str">
        <f>"162.400,00"</f>
        <v>162.400,00</v>
      </c>
      <c r="L2841" s="6" t="str">
        <f>"40.600,00"</f>
        <v>40.600,00</v>
      </c>
      <c r="M2841" s="6" t="str">
        <f>"203.000,00"</f>
        <v>203.000,00</v>
      </c>
      <c r="N2841" s="1" t="s">
        <v>117</v>
      </c>
      <c r="O2841" s="7"/>
      <c r="P2841" s="6" t="str">
        <f>""</f>
        <v/>
      </c>
      <c r="Q2841" s="7"/>
      <c r="R2841" s="1"/>
      <c r="S2841" s="1" t="str">
        <f>"N-105/17"</f>
        <v>N-105/17</v>
      </c>
      <c r="T2841" s="2" t="s">
        <v>538</v>
      </c>
    </row>
    <row r="2842" spans="1:20" ht="38.25" x14ac:dyDescent="0.25">
      <c r="A2842" s="1">
        <v>2838</v>
      </c>
      <c r="B2842" s="1" t="str">
        <f>"2017-2311"</f>
        <v>2017-2311</v>
      </c>
      <c r="C2842" s="2" t="s">
        <v>1527</v>
      </c>
      <c r="D2842" s="1" t="s">
        <v>1419</v>
      </c>
      <c r="E2842" s="3" t="str">
        <f>"2017/S 0F2-0025071"</f>
        <v>2017/S 0F2-0025071</v>
      </c>
      <c r="F2842" s="2" t="s">
        <v>23</v>
      </c>
      <c r="G2842" s="2" t="str">
        <f>CONCATENATE("COMPING D.O.O.,"," HEINZELOVA 70,"," 10000 ZAGREB,"," OIB: 09201087238")</f>
        <v>COMPING D.O.O., HEINZELOVA 70, 10000 ZAGREB, OIB: 09201087238</v>
      </c>
      <c r="H2842" s="4"/>
      <c r="I2842" s="1" t="s">
        <v>861</v>
      </c>
      <c r="J2842" s="1" t="s">
        <v>1006</v>
      </c>
      <c r="K2842" s="6" t="str">
        <f>"249.500,00"</f>
        <v>249.500,00</v>
      </c>
      <c r="L2842" s="6" t="str">
        <f>"62.375,00"</f>
        <v>62.375,00</v>
      </c>
      <c r="M2842" s="6" t="str">
        <f>"311.875,00"</f>
        <v>311.875,00</v>
      </c>
      <c r="N2842" s="5">
        <v>43229</v>
      </c>
      <c r="O2842" s="7"/>
      <c r="P2842" s="6" t="str">
        <f>"311.875,00"</f>
        <v>311.875,00</v>
      </c>
      <c r="Q2842" s="7"/>
      <c r="R2842" s="1"/>
      <c r="S2842" s="1" t="str">
        <f>"N-106/17"</f>
        <v>N-106/17</v>
      </c>
      <c r="T2842" s="2" t="s">
        <v>29</v>
      </c>
    </row>
    <row r="2843" spans="1:20" ht="38.25" x14ac:dyDescent="0.25">
      <c r="A2843" s="1">
        <v>2839</v>
      </c>
      <c r="B2843" s="1" t="str">
        <f>"2017-2727"</f>
        <v>2017-2727</v>
      </c>
      <c r="C2843" s="2" t="s">
        <v>1528</v>
      </c>
      <c r="D2843" s="1" t="s">
        <v>1519</v>
      </c>
      <c r="E2843" s="3" t="str">
        <f>"2017/S 0F2-0022901"</f>
        <v>2017/S 0F2-0022901</v>
      </c>
      <c r="F2843" s="2" t="s">
        <v>23</v>
      </c>
      <c r="G2843" s="2" t="str">
        <f>CONCATENATE("TIM-COLOR D.O.O.,"," DOMINIKA MANDIĆA 24,"," 10000 ZAGREB,"," OIB: 99936689438")</f>
        <v>TIM-COLOR D.O.O., DOMINIKA MANDIĆA 24, 10000 ZAGREB, OIB: 99936689438</v>
      </c>
      <c r="H2843" s="4"/>
      <c r="I2843" s="1" t="s">
        <v>892</v>
      </c>
      <c r="J2843" s="1" t="s">
        <v>229</v>
      </c>
      <c r="K2843" s="6" t="str">
        <f>"3.527.695,00"</f>
        <v>3.527.695,00</v>
      </c>
      <c r="L2843" s="6" t="str">
        <f>"881.923,75"</f>
        <v>881.923,75</v>
      </c>
      <c r="M2843" s="6" t="str">
        <f>"4.409.618,75"</f>
        <v>4.409.618,75</v>
      </c>
      <c r="N2843" s="5">
        <v>43578</v>
      </c>
      <c r="O2843" s="7"/>
      <c r="P2843" s="6" t="str">
        <f>"3.192.705,52"</f>
        <v>3.192.705,52</v>
      </c>
      <c r="Q2843" s="7"/>
      <c r="R2843" s="1"/>
      <c r="S2843" s="1" t="str">
        <f>"N-107/17"</f>
        <v>N-107/17</v>
      </c>
      <c r="T2843" s="2" t="s">
        <v>33</v>
      </c>
    </row>
    <row r="2844" spans="1:20" ht="76.5" x14ac:dyDescent="0.25">
      <c r="A2844" s="1">
        <v>2840</v>
      </c>
      <c r="B2844" s="1" t="str">
        <f>"2017-69"</f>
        <v>2017-69</v>
      </c>
      <c r="C2844" s="2" t="s">
        <v>1529</v>
      </c>
      <c r="D2844" s="1" t="s">
        <v>1384</v>
      </c>
      <c r="E2844" s="3" t="str">
        <f>"2017/S 0F2-0020573"</f>
        <v>2017/S 0F2-0020573</v>
      </c>
      <c r="F2844" s="2" t="s">
        <v>23</v>
      </c>
      <c r="G2844" s="2" t="str">
        <f>CONCATENATE("IPZ D.D.,"," PRILAZ BARUNA FILIPOVIĆA 21,"," 10000 ZAGREB,"," OIB: 9481097846")</f>
        <v>IPZ D.D., PRILAZ BARUNA FILIPOVIĆA 21, 10000 ZAGREB, OIB: 9481097846</v>
      </c>
      <c r="H2844" s="4"/>
      <c r="I2844" s="1" t="s">
        <v>892</v>
      </c>
      <c r="J2844" s="1" t="s">
        <v>229</v>
      </c>
      <c r="K2844" s="6" t="str">
        <f>"315.000,00"</f>
        <v>315.000,00</v>
      </c>
      <c r="L2844" s="6" t="str">
        <f>"78.750,00"</f>
        <v>78.750,00</v>
      </c>
      <c r="M2844" s="6" t="str">
        <f>"393.750,00"</f>
        <v>393.750,00</v>
      </c>
      <c r="N2844" s="1" t="s">
        <v>117</v>
      </c>
      <c r="O2844" s="7"/>
      <c r="P2844" s="6" t="str">
        <f>""</f>
        <v/>
      </c>
      <c r="Q2844" s="7"/>
      <c r="R2844" s="1"/>
      <c r="S2844" s="1" t="str">
        <f>"N-108/17"</f>
        <v>N-108/17</v>
      </c>
      <c r="T2844" s="2" t="s">
        <v>29</v>
      </c>
    </row>
    <row r="2845" spans="1:20" ht="76.5" x14ac:dyDescent="0.25">
      <c r="A2845" s="1">
        <v>2841</v>
      </c>
      <c r="B2845" s="1" t="str">
        <f>"2017-69"</f>
        <v>2017-69</v>
      </c>
      <c r="C2845" s="2" t="s">
        <v>1529</v>
      </c>
      <c r="D2845" s="1" t="s">
        <v>1384</v>
      </c>
      <c r="E2845" s="3" t="str">
        <f>"2017/S 0F2-0020573"</f>
        <v>2017/S 0F2-0020573</v>
      </c>
      <c r="F2845" s="2" t="s">
        <v>1372</v>
      </c>
      <c r="G2845" s="2" t="str">
        <f>CONCATENATE("IPZ D.D.,"," PRILAZ BARUNA FILIPOVIĆA 21,"," 10000 ZAGREB,"," OIB: 9481097846")</f>
        <v>IPZ D.D., PRILAZ BARUNA FILIPOVIĆA 21, 10000 ZAGREB, OIB: 9481097846</v>
      </c>
      <c r="H2845" s="4"/>
      <c r="I2845" s="1" t="s">
        <v>171</v>
      </c>
      <c r="J2845" s="1" t="s">
        <v>71</v>
      </c>
      <c r="K2845" s="6" t="str">
        <f>""</f>
        <v/>
      </c>
      <c r="L2845" s="6" t="str">
        <f>"0,00"</f>
        <v>0,00</v>
      </c>
      <c r="M2845" s="6" t="str">
        <f>"0,00"</f>
        <v>0,00</v>
      </c>
      <c r="N2845" s="1" t="s">
        <v>117</v>
      </c>
      <c r="O2845" s="7"/>
      <c r="P2845" s="6" t="str">
        <f>""</f>
        <v/>
      </c>
      <c r="Q2845" s="7"/>
      <c r="R2845" s="1"/>
      <c r="S2845" s="1" t="str">
        <f>"N-108/17-1"</f>
        <v>N-108/17-1</v>
      </c>
      <c r="T2845" s="2" t="s">
        <v>29</v>
      </c>
    </row>
    <row r="2846" spans="1:20" ht="76.5" x14ac:dyDescent="0.25">
      <c r="A2846" s="1">
        <v>2842</v>
      </c>
      <c r="B2846" s="1" t="str">
        <f>"2017-69"</f>
        <v>2017-69</v>
      </c>
      <c r="C2846" s="2" t="s">
        <v>1529</v>
      </c>
      <c r="D2846" s="1" t="s">
        <v>1384</v>
      </c>
      <c r="E2846" s="3" t="str">
        <f>"2017/S 0F2-0020573"</f>
        <v>2017/S 0F2-0020573</v>
      </c>
      <c r="F2846" s="2" t="s">
        <v>1372</v>
      </c>
      <c r="G2846" s="2" t="str">
        <f>CONCATENATE("IPZ D.D.,"," PRILAZ BARUNA FILIPOVIĆA 21,"," 10000 ZAGREB,"," OIB: 9481097846")</f>
        <v>IPZ D.D., PRILAZ BARUNA FILIPOVIĆA 21, 10000 ZAGREB, OIB: 9481097846</v>
      </c>
      <c r="H2846" s="4"/>
      <c r="I2846" s="1" t="s">
        <v>361</v>
      </c>
      <c r="J2846" s="1" t="s">
        <v>587</v>
      </c>
      <c r="K2846" s="6" t="str">
        <f>""</f>
        <v/>
      </c>
      <c r="L2846" s="6" t="str">
        <f>"0,00"</f>
        <v>0,00</v>
      </c>
      <c r="M2846" s="6" t="str">
        <f>"0,00"</f>
        <v>0,00</v>
      </c>
      <c r="N2846" s="1" t="s">
        <v>117</v>
      </c>
      <c r="O2846" s="7"/>
      <c r="P2846" s="6" t="str">
        <f>""</f>
        <v/>
      </c>
      <c r="Q2846" s="7"/>
      <c r="R2846" s="1"/>
      <c r="S2846" s="1" t="str">
        <f>"N-108/17-2"</f>
        <v>N-108/17-2</v>
      </c>
      <c r="T2846" s="2" t="s">
        <v>29</v>
      </c>
    </row>
    <row r="2847" spans="1:20" ht="38.25" x14ac:dyDescent="0.25">
      <c r="A2847" s="1">
        <v>2843</v>
      </c>
      <c r="B2847" s="1" t="str">
        <f>"2017-2212"</f>
        <v>2017-2212</v>
      </c>
      <c r="C2847" s="2" t="s">
        <v>1530</v>
      </c>
      <c r="D2847" s="1" t="s">
        <v>1531</v>
      </c>
      <c r="E2847" s="3" t="str">
        <f>"2017/S 0F2-0023310"</f>
        <v>2017/S 0F2-0023310</v>
      </c>
      <c r="F2847" s="2" t="s">
        <v>23</v>
      </c>
      <c r="G2847" s="2" t="str">
        <f>CONCATENATE("ECCOS-INŽENJERING D.O.O.,"," I. PILE 21,"," 10000 ZAGREB,"," OIB: 71629027685")</f>
        <v>ECCOS-INŽENJERING D.O.O., I. PILE 21, 10000 ZAGREB, OIB: 71629027685</v>
      </c>
      <c r="H2847" s="4"/>
      <c r="I2847" s="1" t="s">
        <v>892</v>
      </c>
      <c r="J2847" s="1" t="s">
        <v>229</v>
      </c>
      <c r="K2847" s="6" t="str">
        <f>"552.140,00"</f>
        <v>552.140,00</v>
      </c>
      <c r="L2847" s="6" t="str">
        <f>"138.035,00"</f>
        <v>138.035,00</v>
      </c>
      <c r="M2847" s="6" t="str">
        <f>"690.175,00"</f>
        <v>690.175,00</v>
      </c>
      <c r="N2847" s="1" t="s">
        <v>117</v>
      </c>
      <c r="O2847" s="7"/>
      <c r="P2847" s="6" t="str">
        <f>""</f>
        <v/>
      </c>
      <c r="Q2847" s="7"/>
      <c r="R2847" s="1"/>
      <c r="S2847" s="1" t="str">
        <f>"N-109/17"</f>
        <v>N-109/17</v>
      </c>
      <c r="T2847" s="2" t="s">
        <v>33</v>
      </c>
    </row>
    <row r="2848" spans="1:20" ht="38.25" x14ac:dyDescent="0.25">
      <c r="A2848" s="1">
        <v>2844</v>
      </c>
      <c r="B2848" s="1" t="str">
        <f>"2017-2698"</f>
        <v>2017-2698</v>
      </c>
      <c r="C2848" s="2" t="s">
        <v>1532</v>
      </c>
      <c r="D2848" s="1" t="s">
        <v>786</v>
      </c>
      <c r="E2848" s="3" t="str">
        <f>"2017/S F14-0026510"</f>
        <v>2017/S F14-0026510</v>
      </c>
      <c r="F2848" s="2" t="s">
        <v>23</v>
      </c>
      <c r="G2848" s="2" t="str">
        <f>CONCATENATE("COLAS HRVATSKA D.D.,"," MEĐIMURSKA 26,"," 42000 VARAŽDIN,"," OIB: 58701507957")</f>
        <v>COLAS HRVATSKA D.D., MEĐIMURSKA 26, 42000 VARAŽDIN, OIB: 58701507957</v>
      </c>
      <c r="H2848" s="4"/>
      <c r="I2848" s="1" t="s">
        <v>892</v>
      </c>
      <c r="J2848" s="1" t="s">
        <v>229</v>
      </c>
      <c r="K2848" s="6" t="str">
        <f>"687.838,50"</f>
        <v>687.838,50</v>
      </c>
      <c r="L2848" s="6" t="str">
        <f>"171.959,63"</f>
        <v>171.959,63</v>
      </c>
      <c r="M2848" s="6" t="str">
        <f>"859.798,13"</f>
        <v>859.798,13</v>
      </c>
      <c r="N2848" s="5">
        <v>43238</v>
      </c>
      <c r="O2848" s="7"/>
      <c r="P2848" s="6" t="str">
        <f>"859.744,36"</f>
        <v>859.744,36</v>
      </c>
      <c r="Q2848" s="7"/>
      <c r="R2848" s="1"/>
      <c r="S2848" s="1" t="str">
        <f>"N-110/17"</f>
        <v>N-110/17</v>
      </c>
      <c r="T2848" s="2" t="s">
        <v>33</v>
      </c>
    </row>
    <row r="2849" spans="1:20" ht="38.25" x14ac:dyDescent="0.25">
      <c r="A2849" s="1">
        <v>2845</v>
      </c>
      <c r="B2849" s="1" t="str">
        <f>"2017-2777"</f>
        <v>2017-2777</v>
      </c>
      <c r="C2849" s="2" t="s">
        <v>1533</v>
      </c>
      <c r="D2849" s="1" t="s">
        <v>1534</v>
      </c>
      <c r="E2849" s="3" t="str">
        <f>"2017/S 0F2-0024794"</f>
        <v>2017/S 0F2-0024794</v>
      </c>
      <c r="F2849" s="2" t="s">
        <v>23</v>
      </c>
      <c r="G2849" s="2" t="str">
        <f>CONCATENATE("ECCOS-INŽENJERING D.O.O.,"," I. PILE 21,"," 10000 ZAGREB,"," OIB: 71629027685")</f>
        <v>ECCOS-INŽENJERING D.O.O., I. PILE 21, 10000 ZAGREB, OIB: 71629027685</v>
      </c>
      <c r="H2849" s="1" t="str">
        <f>CONCATENATE("KING ICT D.O.O.,"," OIB: 67001695549")</f>
        <v>KING ICT D.O.O., OIB: 67001695549</v>
      </c>
      <c r="I2849" s="1" t="s">
        <v>927</v>
      </c>
      <c r="J2849" s="1" t="s">
        <v>339</v>
      </c>
      <c r="K2849" s="6" t="str">
        <f>"1.469.679,00"</f>
        <v>1.469.679,00</v>
      </c>
      <c r="L2849" s="6" t="str">
        <f>"367.419,75"</f>
        <v>367.419,75</v>
      </c>
      <c r="M2849" s="6" t="str">
        <f>"1.837.098,75"</f>
        <v>1.837.098,75</v>
      </c>
      <c r="N2849" s="5">
        <v>43277</v>
      </c>
      <c r="O2849" s="7"/>
      <c r="P2849" s="6" t="str">
        <f>"1.755.547,44"</f>
        <v>1.755.547,44</v>
      </c>
      <c r="Q2849" s="7"/>
      <c r="R2849" s="1"/>
      <c r="S2849" s="1" t="str">
        <f>"N-111/17"</f>
        <v>N-111/17</v>
      </c>
      <c r="T2849" s="2" t="s">
        <v>33</v>
      </c>
    </row>
    <row r="2850" spans="1:20" ht="38.25" x14ac:dyDescent="0.25">
      <c r="A2850" s="1">
        <v>2846</v>
      </c>
      <c r="B2850" s="1" t="str">
        <f>"2017-1946"</f>
        <v>2017-1946</v>
      </c>
      <c r="C2850" s="2" t="s">
        <v>1535</v>
      </c>
      <c r="D2850" s="1" t="s">
        <v>1536</v>
      </c>
      <c r="E2850" s="3" t="str">
        <f>"2017/S 0F2-0018550"</f>
        <v>2017/S 0F2-0018550</v>
      </c>
      <c r="F2850" s="2" t="s">
        <v>23</v>
      </c>
      <c r="G2850" s="2" t="str">
        <f>CONCATENATE("DUPLICO D.O.O.,"," SVETONEDELJSKA CESTA,"," KALINOVICA 18,"," 10436 RAKOV POTOK,"," OIB: 41025754642")</f>
        <v>DUPLICO D.O.O., SVETONEDELJSKA CESTA, KALINOVICA 18, 10436 RAKOV POTOK, OIB: 41025754642</v>
      </c>
      <c r="H2850" s="4"/>
      <c r="I2850" s="1" t="s">
        <v>1526</v>
      </c>
      <c r="J2850" s="1" t="s">
        <v>225</v>
      </c>
      <c r="K2850" s="6" t="str">
        <f>"364.587,82"</f>
        <v>364.587,82</v>
      </c>
      <c r="L2850" s="6" t="str">
        <f>"91.146,96"</f>
        <v>91.146,96</v>
      </c>
      <c r="M2850" s="6" t="str">
        <f>"455.734,78"</f>
        <v>455.734,78</v>
      </c>
      <c r="N2850" s="5">
        <v>43434</v>
      </c>
      <c r="O2850" s="7"/>
      <c r="P2850" s="6" t="str">
        <f>"455.734,78"</f>
        <v>455.734,78</v>
      </c>
      <c r="Q2850" s="7"/>
      <c r="R2850" s="1"/>
      <c r="S2850" s="1" t="str">
        <f>"N-112/17"</f>
        <v>N-112/17</v>
      </c>
      <c r="T2850" s="2" t="s">
        <v>33</v>
      </c>
    </row>
    <row r="2851" spans="1:20" ht="38.25" x14ac:dyDescent="0.25">
      <c r="A2851" s="1">
        <v>2847</v>
      </c>
      <c r="B2851" s="1" t="str">
        <f>"2017-1946"</f>
        <v>2017-1946</v>
      </c>
      <c r="C2851" s="2" t="s">
        <v>1535</v>
      </c>
      <c r="D2851" s="1" t="s">
        <v>1536</v>
      </c>
      <c r="E2851" s="3" t="str">
        <f>""</f>
        <v/>
      </c>
      <c r="F2851" s="2" t="s">
        <v>23</v>
      </c>
      <c r="G2851" s="2" t="str">
        <f>CONCATENATE("DUPLICO D.O.O.,"," SVETONEDELJSKA CESTA,"," KALINOVICA 18,"," 10436 RAKOV POTOK,"," OIB: 41025754642")</f>
        <v>DUPLICO D.O.O., SVETONEDELJSKA CESTA, KALINOVICA 18, 10436 RAKOV POTOK, OIB: 41025754642</v>
      </c>
      <c r="H2851" s="4"/>
      <c r="I2851" s="1" t="s">
        <v>111</v>
      </c>
      <c r="J2851" s="1" t="s">
        <v>225</v>
      </c>
      <c r="K2851" s="6" t="str">
        <f>"23.743,00"</f>
        <v>23.743,00</v>
      </c>
      <c r="L2851" s="6" t="str">
        <f>"5.935,75"</f>
        <v>5.935,75</v>
      </c>
      <c r="M2851" s="6" t="str">
        <f>"29.678,75"</f>
        <v>29.678,75</v>
      </c>
      <c r="N2851" s="5">
        <v>43434</v>
      </c>
      <c r="O2851" s="7"/>
      <c r="P2851" s="6" t="str">
        <f>"29.678,75"</f>
        <v>29.678,75</v>
      </c>
      <c r="Q2851" s="7"/>
      <c r="R2851" s="1"/>
      <c r="S2851" s="1" t="str">
        <f>"N-112/17-1"</f>
        <v>N-112/17-1</v>
      </c>
      <c r="T2851" s="2" t="s">
        <v>33</v>
      </c>
    </row>
    <row r="2852" spans="1:20" ht="38.25" x14ac:dyDescent="0.25">
      <c r="A2852" s="1">
        <v>2848</v>
      </c>
      <c r="B2852" s="1" t="str">
        <f>"2017-7"</f>
        <v>2017-7</v>
      </c>
      <c r="C2852" s="2" t="s">
        <v>1537</v>
      </c>
      <c r="D2852" s="1" t="s">
        <v>1538</v>
      </c>
      <c r="E2852" s="3" t="str">
        <f>"2017/S 0F2-0026504"</f>
        <v>2017/S 0F2-0026504</v>
      </c>
      <c r="F2852" s="2" t="s">
        <v>23</v>
      </c>
      <c r="G2852" s="2" t="str">
        <f>CONCATENATE("AGRA-TRGOVINA d.o.o.,"," KAČIĆEVA 6,"," 10000 ZAGREB,"," OIB: 9885929543")</f>
        <v>AGRA-TRGOVINA d.o.o., KAČIĆEVA 6, 10000 ZAGREB, OIB: 9885929543</v>
      </c>
      <c r="H2852" s="4"/>
      <c r="I2852" s="1" t="s">
        <v>876</v>
      </c>
      <c r="J2852" s="1" t="s">
        <v>1539</v>
      </c>
      <c r="K2852" s="6" t="str">
        <f>"774.000,00"</f>
        <v>774.000,00</v>
      </c>
      <c r="L2852" s="6" t="str">
        <f>"193.500,00"</f>
        <v>193.500,00</v>
      </c>
      <c r="M2852" s="6" t="str">
        <f>"967.500,00"</f>
        <v>967.500,00</v>
      </c>
      <c r="N2852" s="1" t="s">
        <v>117</v>
      </c>
      <c r="O2852" s="7"/>
      <c r="P2852" s="6" t="str">
        <f>""</f>
        <v/>
      </c>
      <c r="Q2852" s="7"/>
      <c r="R2852" s="1"/>
      <c r="S2852" s="1" t="str">
        <f>"N-113/17"</f>
        <v>N-113/17</v>
      </c>
      <c r="T2852" s="2" t="s">
        <v>29</v>
      </c>
    </row>
    <row r="2853" spans="1:20" ht="63.75" x14ac:dyDescent="0.25">
      <c r="A2853" s="1">
        <v>2849</v>
      </c>
      <c r="B2853" s="1" t="str">
        <f>"2017-193"</f>
        <v>2017-193</v>
      </c>
      <c r="C2853" s="2" t="s">
        <v>1540</v>
      </c>
      <c r="D2853" s="1" t="s">
        <v>1384</v>
      </c>
      <c r="E2853" s="3" t="str">
        <f>"2017/S 0F2-0020771"</f>
        <v>2017/S 0F2-0020771</v>
      </c>
      <c r="F2853" s="2" t="s">
        <v>23</v>
      </c>
      <c r="G2853" s="2" t="str">
        <f>CONCATENATE("MAŠINOPROJEKT D.O.O.,"," BRAĆE DOMANY 8,"," 10000 ZAGREB,"," OIB: 673908426")</f>
        <v>MAŠINOPROJEKT D.O.O., BRAĆE DOMANY 8, 10000 ZAGREB, OIB: 673908426</v>
      </c>
      <c r="H2853" s="4"/>
      <c r="I2853" s="1" t="s">
        <v>391</v>
      </c>
      <c r="J2853" s="1" t="s">
        <v>1541</v>
      </c>
      <c r="K2853" s="6" t="str">
        <f>"118.940,00"</f>
        <v>118.940,00</v>
      </c>
      <c r="L2853" s="6" t="str">
        <f>"29.735,00"</f>
        <v>29.735,00</v>
      </c>
      <c r="M2853" s="6" t="str">
        <f>"148.675,00"</f>
        <v>148.675,00</v>
      </c>
      <c r="N2853" s="1" t="s">
        <v>117</v>
      </c>
      <c r="O2853" s="7"/>
      <c r="P2853" s="6" t="str">
        <f>""</f>
        <v/>
      </c>
      <c r="Q2853" s="7"/>
      <c r="R2853" s="1"/>
      <c r="S2853" s="1" t="str">
        <f>"N-114/17"</f>
        <v>N-114/17</v>
      </c>
      <c r="T2853" s="2" t="s">
        <v>33</v>
      </c>
    </row>
    <row r="2854" spans="1:20" ht="63.75" x14ac:dyDescent="0.25">
      <c r="A2854" s="1">
        <v>2850</v>
      </c>
      <c r="B2854" s="1" t="str">
        <f>"2017-2901"</f>
        <v>2017-2901</v>
      </c>
      <c r="C2854" s="2" t="s">
        <v>1542</v>
      </c>
      <c r="D2854" s="1" t="s">
        <v>1543</v>
      </c>
      <c r="E2854" s="3" t="str">
        <f>"2017/S 0F2-0026509"</f>
        <v>2017/S 0F2-0026509</v>
      </c>
      <c r="F2854" s="2" t="s">
        <v>23</v>
      </c>
      <c r="G2854" s="2" t="str">
        <f>CONCATENATE("HOLOSYS D.O.O.")</f>
        <v>HOLOSYS D.O.O.</v>
      </c>
      <c r="H2854" s="4"/>
      <c r="I2854" s="1" t="s">
        <v>919</v>
      </c>
      <c r="J2854" s="1" t="s">
        <v>1068</v>
      </c>
      <c r="K2854" s="6" t="str">
        <f>"1.210.580,00"</f>
        <v>1.210.580,00</v>
      </c>
      <c r="L2854" s="6" t="str">
        <f>"302.645,00"</f>
        <v>302.645,00</v>
      </c>
      <c r="M2854" s="6" t="str">
        <f>"1.513.225,00"</f>
        <v>1.513.225,00</v>
      </c>
      <c r="N2854" s="1" t="s">
        <v>117</v>
      </c>
      <c r="O2854" s="7"/>
      <c r="P2854" s="6" t="str">
        <f>""</f>
        <v/>
      </c>
      <c r="Q2854" s="7"/>
      <c r="R2854" s="1"/>
      <c r="S2854" s="1" t="str">
        <f>"N-115/17"</f>
        <v>N-115/17</v>
      </c>
      <c r="T2854" s="2" t="s">
        <v>538</v>
      </c>
    </row>
    <row r="2855" spans="1:20" ht="38.25" x14ac:dyDescent="0.25">
      <c r="A2855" s="1">
        <v>2851</v>
      </c>
      <c r="B2855" s="1" t="str">
        <f>"2017-2598"</f>
        <v>2017-2598</v>
      </c>
      <c r="C2855" s="2" t="s">
        <v>1544</v>
      </c>
      <c r="D2855" s="1" t="s">
        <v>595</v>
      </c>
      <c r="E2855" s="3" t="str">
        <f>"2017/S 0F2-0021353"</f>
        <v>2017/S 0F2-0021353</v>
      </c>
      <c r="F2855" s="2" t="s">
        <v>23</v>
      </c>
      <c r="G2855" s="2" t="str">
        <f>CONCATENATE("O.K.I. MONT D.O.O.,"," DANKOVEČKA 87,"," 10000 ZAGREB,"," OIB: 98039404134")</f>
        <v>O.K.I. MONT D.O.O., DANKOVEČKA 87, 10000 ZAGREB, OIB: 98039404134</v>
      </c>
      <c r="H2855" s="4"/>
      <c r="I2855" s="1" t="s">
        <v>879</v>
      </c>
      <c r="J2855" s="1" t="s">
        <v>574</v>
      </c>
      <c r="K2855" s="6" t="str">
        <f>"2.587.900,00"</f>
        <v>2.587.900,00</v>
      </c>
      <c r="L2855" s="6" t="str">
        <f>"646.975,00"</f>
        <v>646.975,00</v>
      </c>
      <c r="M2855" s="6" t="str">
        <f>"3.234.875,00"</f>
        <v>3.234.875,00</v>
      </c>
      <c r="N2855" s="5">
        <v>43395</v>
      </c>
      <c r="O2855" s="7"/>
      <c r="P2855" s="6" t="str">
        <f>"3.234.875,00"</f>
        <v>3.234.875,00</v>
      </c>
      <c r="Q2855" s="7"/>
      <c r="R2855" s="1"/>
      <c r="S2855" s="1" t="str">
        <f>"N-116/17"</f>
        <v>N-116/17</v>
      </c>
      <c r="T2855" s="2" t="s">
        <v>33</v>
      </c>
    </row>
    <row r="2856" spans="1:20" ht="38.25" x14ac:dyDescent="0.25">
      <c r="A2856" s="1">
        <v>2852</v>
      </c>
      <c r="B2856" s="1" t="str">
        <f>"2017-2598"</f>
        <v>2017-2598</v>
      </c>
      <c r="C2856" s="2" t="s">
        <v>1544</v>
      </c>
      <c r="D2856" s="1" t="s">
        <v>595</v>
      </c>
      <c r="E2856" s="3" t="str">
        <f>"2017/S 0F2-0021353"</f>
        <v>2017/S 0F2-0021353</v>
      </c>
      <c r="F2856" s="2" t="s">
        <v>23</v>
      </c>
      <c r="G2856" s="2" t="str">
        <f>CONCATENATE("O.K.I. MONT D.O.O.,"," DANKOVEČKA 87,"," 10000 ZAGREB,"," OIB: 98039404134")</f>
        <v>O.K.I. MONT D.O.O., DANKOVEČKA 87, 10000 ZAGREB, OIB: 98039404134</v>
      </c>
      <c r="H2856" s="4"/>
      <c r="I2856" s="1" t="s">
        <v>1004</v>
      </c>
      <c r="J2856" s="1" t="s">
        <v>574</v>
      </c>
      <c r="K2856" s="6" t="str">
        <f>"2.587.900,00"</f>
        <v>2.587.900,00</v>
      </c>
      <c r="L2856" s="6" t="str">
        <f>"646.975,00"</f>
        <v>646.975,00</v>
      </c>
      <c r="M2856" s="6" t="str">
        <f>"3.234.875,00"</f>
        <v>3.234.875,00</v>
      </c>
      <c r="N2856" s="1" t="s">
        <v>117</v>
      </c>
      <c r="O2856" s="7"/>
      <c r="P2856" s="6" t="str">
        <f>""</f>
        <v/>
      </c>
      <c r="Q2856" s="7"/>
      <c r="R2856" s="1"/>
      <c r="S2856" s="1" t="str">
        <f>"N-116/17-1"</f>
        <v>N-116/17-1</v>
      </c>
      <c r="T2856" s="2" t="s">
        <v>33</v>
      </c>
    </row>
    <row r="2857" spans="1:20" ht="25.5" x14ac:dyDescent="0.25">
      <c r="A2857" s="1">
        <v>2853</v>
      </c>
      <c r="B2857" s="1" t="str">
        <f>"2017-2598"</f>
        <v>2017-2598</v>
      </c>
      <c r="C2857" s="2" t="s">
        <v>1544</v>
      </c>
      <c r="D2857" s="1" t="s">
        <v>595</v>
      </c>
      <c r="E2857" s="3" t="str">
        <f>""</f>
        <v/>
      </c>
      <c r="F2857" s="2" t="s">
        <v>23</v>
      </c>
      <c r="G2857" s="2" t="str">
        <f>CONCATENATE("O.K.I. MONT D.O.O.,"," DANKOVEČKA 87,"," 10000 ZAGREB,"," OIB: 98039404134")</f>
        <v>O.K.I. MONT D.O.O., DANKOVEČKA 87, 10000 ZAGREB, OIB: 98039404134</v>
      </c>
      <c r="H2857" s="4"/>
      <c r="I2857" s="1" t="s">
        <v>1545</v>
      </c>
      <c r="J2857" s="1" t="s">
        <v>574</v>
      </c>
      <c r="K2857" s="6" t="str">
        <f>"275.057,34"</f>
        <v>275.057,34</v>
      </c>
      <c r="L2857" s="6" t="str">
        <f>"68.764,34"</f>
        <v>68.764,34</v>
      </c>
      <c r="M2857" s="6" t="str">
        <f>"343.821,68"</f>
        <v>343.821,68</v>
      </c>
      <c r="N2857" s="5">
        <v>43395</v>
      </c>
      <c r="O2857" s="7"/>
      <c r="P2857" s="6" t="str">
        <f>"343.821,68"</f>
        <v>343.821,68</v>
      </c>
      <c r="Q2857" s="7"/>
      <c r="R2857" s="1"/>
      <c r="S2857" s="1" t="str">
        <f>"N-116/17-2"</f>
        <v>N-116/17-2</v>
      </c>
      <c r="T2857" s="2" t="s">
        <v>33</v>
      </c>
    </row>
    <row r="2858" spans="1:20" ht="38.25" x14ac:dyDescent="0.25">
      <c r="A2858" s="1">
        <v>2854</v>
      </c>
      <c r="B2858" s="1" t="str">
        <f>"2017-1003"</f>
        <v>2017-1003</v>
      </c>
      <c r="C2858" s="2" t="s">
        <v>1546</v>
      </c>
      <c r="D2858" s="1" t="s">
        <v>762</v>
      </c>
      <c r="E2858" s="3" t="str">
        <f>"2017/S 0F2-0024717"</f>
        <v>2017/S 0F2-0024717</v>
      </c>
      <c r="F2858" s="2" t="s">
        <v>23</v>
      </c>
      <c r="G2858" s="2" t="str">
        <f>CONCATENATE("EKSPERT D.O.O.,"," SELSKA CESTA 126,"," 10000 ZAGREB,"," OIB: 5054290785")</f>
        <v>EKSPERT D.O.O., SELSKA CESTA 126, 10000 ZAGREB, OIB: 5054290785</v>
      </c>
      <c r="H2858" s="4"/>
      <c r="I2858" s="1" t="s">
        <v>879</v>
      </c>
      <c r="J2858" s="1" t="s">
        <v>896</v>
      </c>
      <c r="K2858" s="6" t="str">
        <f>"230.400,00"</f>
        <v>230.400,00</v>
      </c>
      <c r="L2858" s="6" t="str">
        <f>"57.600,00"</f>
        <v>57.600,00</v>
      </c>
      <c r="M2858" s="6" t="str">
        <f>"288.000,00"</f>
        <v>288.000,00</v>
      </c>
      <c r="N2858" s="5">
        <v>43646</v>
      </c>
      <c r="O2858" s="7"/>
      <c r="P2858" s="6" t="str">
        <f>"90.000,00"</f>
        <v>90.000,00</v>
      </c>
      <c r="Q2858" s="7"/>
      <c r="R2858" s="1"/>
      <c r="S2858" s="1" t="str">
        <f>"N-117/17"</f>
        <v>N-117/17</v>
      </c>
      <c r="T2858" s="2" t="s">
        <v>33</v>
      </c>
    </row>
    <row r="2859" spans="1:20" ht="38.25" x14ac:dyDescent="0.25">
      <c r="A2859" s="1">
        <v>2855</v>
      </c>
      <c r="B2859" s="1" t="str">
        <f>"2017-769"</f>
        <v>2017-769</v>
      </c>
      <c r="C2859" s="2" t="s">
        <v>1547</v>
      </c>
      <c r="D2859" s="1" t="s">
        <v>1548</v>
      </c>
      <c r="E2859" s="3" t="str">
        <f>"2017/S 0F2-0023851"</f>
        <v>2017/S 0F2-0023851</v>
      </c>
      <c r="F2859" s="2" t="s">
        <v>23</v>
      </c>
      <c r="G2859" s="2" t="str">
        <f>CONCATENATE("AGRO-HONOR D.O.O.,"," KRALJA TOMISLAVA 82,"," 31300 BELI MANASTIR,"," OIB: 82775399135")</f>
        <v>AGRO-HONOR D.O.O., KRALJA TOMISLAVA 82, 31300 BELI MANASTIR, OIB: 82775399135</v>
      </c>
      <c r="H2859" s="4"/>
      <c r="I2859" s="1" t="s">
        <v>924</v>
      </c>
      <c r="J2859" s="1" t="s">
        <v>204</v>
      </c>
      <c r="K2859" s="6" t="str">
        <f>"4.747.680,00"</f>
        <v>4.747.680,00</v>
      </c>
      <c r="L2859" s="6" t="str">
        <f>"1.186.920,00"</f>
        <v>1.186.920,00</v>
      </c>
      <c r="M2859" s="6" t="str">
        <f>"5.934.600,00"</f>
        <v>5.934.600,00</v>
      </c>
      <c r="N2859" s="5">
        <v>43207</v>
      </c>
      <c r="O2859" s="7"/>
      <c r="P2859" s="6" t="str">
        <f>"5.934.600,00"</f>
        <v>5.934.600,00</v>
      </c>
      <c r="Q2859" s="7"/>
      <c r="R2859" s="1"/>
      <c r="S2859" s="1" t="str">
        <f>"N-118-A/17"</f>
        <v>N-118-A/17</v>
      </c>
      <c r="T2859" s="2" t="s">
        <v>33</v>
      </c>
    </row>
    <row r="2860" spans="1:20" ht="38.25" x14ac:dyDescent="0.25">
      <c r="A2860" s="1">
        <v>2856</v>
      </c>
      <c r="B2860" s="1" t="str">
        <f>"2017-769"</f>
        <v>2017-769</v>
      </c>
      <c r="C2860" s="2" t="s">
        <v>1547</v>
      </c>
      <c r="D2860" s="1" t="s">
        <v>1548</v>
      </c>
      <c r="E2860" s="3" t="str">
        <f>"2017/S 0F2-0023851"</f>
        <v>2017/S 0F2-0023851</v>
      </c>
      <c r="F2860" s="2" t="s">
        <v>23</v>
      </c>
      <c r="G2860" s="2" t="str">
        <f>CONCATENATE("DOLENAC PROMET D.O.O.,"," NAZOROVA 22,"," 44250 PETRINJA,"," OIB: 21780210989")</f>
        <v>DOLENAC PROMET D.O.O., NAZOROVA 22, 44250 PETRINJA, OIB: 21780210989</v>
      </c>
      <c r="H2860" s="4"/>
      <c r="I2860" s="1" t="s">
        <v>907</v>
      </c>
      <c r="J2860" s="1" t="s">
        <v>293</v>
      </c>
      <c r="K2860" s="6" t="str">
        <f>"19.920,00"</f>
        <v>19.920,00</v>
      </c>
      <c r="L2860" s="6" t="str">
        <f>"4.980,00"</f>
        <v>4.980,00</v>
      </c>
      <c r="M2860" s="6" t="str">
        <f>"24.900,00"</f>
        <v>24.900,00</v>
      </c>
      <c r="N2860" s="5">
        <v>43306</v>
      </c>
      <c r="O2860" s="7"/>
      <c r="P2860" s="6" t="str">
        <f>"15.562,50"</f>
        <v>15.562,50</v>
      </c>
      <c r="Q2860" s="7"/>
      <c r="R2860" s="1"/>
      <c r="S2860" s="1" t="str">
        <f>"N-118-B/17"</f>
        <v>N-118-B/17</v>
      </c>
      <c r="T2860" s="2" t="s">
        <v>33</v>
      </c>
    </row>
    <row r="2861" spans="1:20" ht="38.25" x14ac:dyDescent="0.25">
      <c r="A2861" s="1">
        <v>2857</v>
      </c>
      <c r="B2861" s="1" t="str">
        <f>"2017-769"</f>
        <v>2017-769</v>
      </c>
      <c r="C2861" s="2" t="s">
        <v>1547</v>
      </c>
      <c r="D2861" s="1" t="s">
        <v>1548</v>
      </c>
      <c r="E2861" s="3" t="str">
        <f>"2017/S 0F2-0023851"</f>
        <v>2017/S 0F2-0023851</v>
      </c>
      <c r="F2861" s="2" t="s">
        <v>23</v>
      </c>
      <c r="G2861" s="2" t="str">
        <f>CONCATENATE("DOLENAC PROMET D.O.O.,"," NAZOROVA 22,"," 44250 PETRINJA,"," OIB: 21780210989")</f>
        <v>DOLENAC PROMET D.O.O., NAZOROVA 22, 44250 PETRINJA, OIB: 21780210989</v>
      </c>
      <c r="H2861" s="4"/>
      <c r="I2861" s="1" t="s">
        <v>907</v>
      </c>
      <c r="J2861" s="1" t="s">
        <v>293</v>
      </c>
      <c r="K2861" s="6" t="str">
        <f>"145.560,00"</f>
        <v>145.560,00</v>
      </c>
      <c r="L2861" s="6" t="str">
        <f>"36.390,00"</f>
        <v>36.390,00</v>
      </c>
      <c r="M2861" s="6" t="str">
        <f>"181.950,00"</f>
        <v>181.950,00</v>
      </c>
      <c r="N2861" s="5">
        <v>43265</v>
      </c>
      <c r="O2861" s="7"/>
      <c r="P2861" s="6" t="str">
        <f>"181.950,00"</f>
        <v>181.950,00</v>
      </c>
      <c r="Q2861" s="7"/>
      <c r="R2861" s="1"/>
      <c r="S2861" s="1" t="str">
        <f>"N-118-C/17"</f>
        <v>N-118-C/17</v>
      </c>
      <c r="T2861" s="2" t="s">
        <v>33</v>
      </c>
    </row>
    <row r="2862" spans="1:20" ht="38.25" x14ac:dyDescent="0.25">
      <c r="A2862" s="1">
        <v>2858</v>
      </c>
      <c r="B2862" s="1" t="str">
        <f>"2017-2900"</f>
        <v>2017-2900</v>
      </c>
      <c r="C2862" s="2" t="s">
        <v>1549</v>
      </c>
      <c r="D2862" s="1" t="s">
        <v>1550</v>
      </c>
      <c r="E2862" s="3" t="str">
        <f>"2017/S F21-0025880"</f>
        <v>2017/S F21-0025880</v>
      </c>
      <c r="F2862" s="2" t="s">
        <v>23</v>
      </c>
      <c r="G2862" s="2" t="str">
        <f>CONCATENATE("POLIKLINIKA MEDIKOL,"," VOĆARSKA 106,"," 10000 ZAGREB,"," OIB: 5797018162")</f>
        <v>POLIKLINIKA MEDIKOL, VOĆARSKA 106, 10000 ZAGREB, OIB: 5797018162</v>
      </c>
      <c r="H2862" s="4"/>
      <c r="I2862" s="1" t="s">
        <v>1551</v>
      </c>
      <c r="J2862" s="1" t="s">
        <v>1552</v>
      </c>
      <c r="K2862" s="6" t="str">
        <f>"333.320,00"</f>
        <v>333.320,00</v>
      </c>
      <c r="L2862" s="6" t="str">
        <f>"83.330,00"</f>
        <v>83.330,00</v>
      </c>
      <c r="M2862" s="6" t="str">
        <f>"416.650,00"</f>
        <v>416.650,00</v>
      </c>
      <c r="N2862" s="1" t="s">
        <v>117</v>
      </c>
      <c r="O2862" s="7"/>
      <c r="P2862" s="6" t="str">
        <f>""</f>
        <v/>
      </c>
      <c r="Q2862" s="7"/>
      <c r="R2862" s="1"/>
      <c r="S2862" s="1" t="str">
        <f>"N-119/17"</f>
        <v>N-119/17</v>
      </c>
      <c r="T2862" s="2" t="s">
        <v>538</v>
      </c>
    </row>
    <row r="2863" spans="1:20" ht="38.25" x14ac:dyDescent="0.25">
      <c r="A2863" s="1">
        <v>2859</v>
      </c>
      <c r="B2863" s="1" t="str">
        <f>"2017-2892"</f>
        <v>2017-2892</v>
      </c>
      <c r="C2863" s="2" t="s">
        <v>1553</v>
      </c>
      <c r="D2863" s="1" t="s">
        <v>1494</v>
      </c>
      <c r="E2863" s="3" t="str">
        <f>"2017/S 0F2-0024901"</f>
        <v>2017/S 0F2-0024901</v>
      </c>
      <c r="F2863" s="2" t="s">
        <v>23</v>
      </c>
      <c r="G2863" s="2" t="str">
        <f>CONCATENATE("ISPOS D.O.O.,"," OIB: 45279397615")</f>
        <v>ISPOS D.O.O., OIB: 45279397615</v>
      </c>
      <c r="H2863" s="4"/>
      <c r="I2863" s="1" t="s">
        <v>801</v>
      </c>
      <c r="J2863" s="1" t="s">
        <v>264</v>
      </c>
      <c r="K2863" s="6" t="str">
        <f>"582.368,60"</f>
        <v>582.368,60</v>
      </c>
      <c r="L2863" s="6" t="str">
        <f>"145.592,15"</f>
        <v>145.592,15</v>
      </c>
      <c r="M2863" s="6" t="str">
        <f>"727.960,75"</f>
        <v>727.960,75</v>
      </c>
      <c r="N2863" s="1" t="s">
        <v>117</v>
      </c>
      <c r="O2863" s="7"/>
      <c r="P2863" s="6" t="str">
        <f>""</f>
        <v/>
      </c>
      <c r="Q2863" s="7"/>
      <c r="R2863" s="1"/>
      <c r="S2863" s="1" t="str">
        <f>"N-120/17"</f>
        <v>N-120/17</v>
      </c>
      <c r="T2863" s="2" t="s">
        <v>538</v>
      </c>
    </row>
    <row r="2864" spans="1:20" ht="38.25" x14ac:dyDescent="0.25">
      <c r="A2864" s="1">
        <v>2860</v>
      </c>
      <c r="B2864" s="1" t="str">
        <f>"2017-2384"</f>
        <v>2017-2384</v>
      </c>
      <c r="C2864" s="2" t="s">
        <v>1554</v>
      </c>
      <c r="D2864" s="1" t="s">
        <v>227</v>
      </c>
      <c r="E2864" s="3" t="str">
        <f>"2017/S 0F2-0025780"</f>
        <v>2017/S 0F2-0025780</v>
      </c>
      <c r="F2864" s="2" t="s">
        <v>23</v>
      </c>
      <c r="G2864" s="2" t="str">
        <f>CONCATENATE("PHB AUTOMATIZACIJA D.O.O.,"," ŽITNJAK bb,"," 10000 ZAGREB,"," OIB: 06838324425")</f>
        <v>PHB AUTOMATIZACIJA D.O.O., ŽITNJAK bb, 10000 ZAGREB, OIB: 06838324425</v>
      </c>
      <c r="H2864" s="4"/>
      <c r="I2864" s="1" t="s">
        <v>801</v>
      </c>
      <c r="J2864" s="1" t="s">
        <v>264</v>
      </c>
      <c r="K2864" s="6" t="str">
        <f>"509.376,00"</f>
        <v>509.376,00</v>
      </c>
      <c r="L2864" s="6" t="str">
        <f>"127.344,00"</f>
        <v>127.344,00</v>
      </c>
      <c r="M2864" s="6" t="str">
        <f>"636.720,00"</f>
        <v>636.720,00</v>
      </c>
      <c r="N2864" s="1" t="s">
        <v>117</v>
      </c>
      <c r="O2864" s="7"/>
      <c r="P2864" s="6" t="str">
        <f>""</f>
        <v/>
      </c>
      <c r="Q2864" s="7"/>
      <c r="R2864" s="1"/>
      <c r="S2864" s="1" t="str">
        <f>"N-121/17"</f>
        <v>N-121/17</v>
      </c>
      <c r="T2864" s="2" t="s">
        <v>538</v>
      </c>
    </row>
    <row r="2865" spans="1:20" ht="38.25" x14ac:dyDescent="0.25">
      <c r="A2865" s="1">
        <v>2861</v>
      </c>
      <c r="B2865" s="1" t="str">
        <f>"2017-2853"</f>
        <v>2017-2853</v>
      </c>
      <c r="C2865" s="2" t="s">
        <v>1555</v>
      </c>
      <c r="D2865" s="1" t="s">
        <v>1556</v>
      </c>
      <c r="E2865" s="3" t="str">
        <f>"2017/S 0F2-0026892"</f>
        <v>2017/S 0F2-0026892</v>
      </c>
      <c r="F2865" s="2" t="s">
        <v>23</v>
      </c>
      <c r="G2865" s="2" t="str">
        <f>CONCATENATE("BKS - LEASING CROATIA D.O.O.,"," IVANA LUČIĆA 2/A,"," 10000 ZAGREB,"," OIB: 52277663197")</f>
        <v>BKS - LEASING CROATIA D.O.O., IVANA LUČIĆA 2/A, 10000 ZAGREB, OIB: 52277663197</v>
      </c>
      <c r="H2865" s="4"/>
      <c r="I2865" s="1" t="s">
        <v>1557</v>
      </c>
      <c r="J2865" s="1" t="s">
        <v>1558</v>
      </c>
      <c r="K2865" s="6" t="str">
        <f>"1.945.093,44"</f>
        <v>1.945.093,44</v>
      </c>
      <c r="L2865" s="6" t="str">
        <f>"486.273,36"</f>
        <v>486.273,36</v>
      </c>
      <c r="M2865" s="6" t="str">
        <f>"2.431.366,80"</f>
        <v>2.431.366,80</v>
      </c>
      <c r="N2865" s="5">
        <v>43404</v>
      </c>
      <c r="O2865" s="7"/>
      <c r="P2865" s="6" t="str">
        <f>"2.431.366,80"</f>
        <v>2.431.366,80</v>
      </c>
      <c r="Q2865" s="7"/>
      <c r="R2865" s="1"/>
      <c r="S2865" s="1" t="str">
        <f>"N-122-A/17"</f>
        <v>N-122-A/17</v>
      </c>
      <c r="T2865" s="2" t="s">
        <v>33</v>
      </c>
    </row>
    <row r="2866" spans="1:20" ht="38.25" x14ac:dyDescent="0.25">
      <c r="A2866" s="1">
        <v>2862</v>
      </c>
      <c r="B2866" s="1" t="str">
        <f>"2017-1425"</f>
        <v>2017-1425</v>
      </c>
      <c r="C2866" s="2" t="s">
        <v>1559</v>
      </c>
      <c r="D2866" s="1" t="s">
        <v>1512</v>
      </c>
      <c r="E2866" s="3" t="str">
        <f>"2017/S 0F2-0026909"</f>
        <v>2017/S 0F2-0026909</v>
      </c>
      <c r="F2866" s="2" t="s">
        <v>23</v>
      </c>
      <c r="G2866" s="2" t="str">
        <f>CONCATENATE("AGROKLAS D.O.O.,"," GORNJA BRESTOVEČKA 36,"," 49247 ZLATAR BISTRICA,"," OIB: 01769874664")</f>
        <v>AGROKLAS D.O.O., GORNJA BRESTOVEČKA 36, 49247 ZLATAR BISTRICA, OIB: 01769874664</v>
      </c>
      <c r="H2866" s="4"/>
      <c r="I2866" s="1" t="s">
        <v>907</v>
      </c>
      <c r="J2866" s="1" t="s">
        <v>293</v>
      </c>
      <c r="K2866" s="6" t="str">
        <f>"88.500,00"</f>
        <v>88.500,00</v>
      </c>
      <c r="L2866" s="6" t="str">
        <f>"22.125,00"</f>
        <v>22.125,00</v>
      </c>
      <c r="M2866" s="6" t="str">
        <f>"110.625,00"</f>
        <v>110.625,00</v>
      </c>
      <c r="N2866" s="5">
        <v>43269</v>
      </c>
      <c r="O2866" s="7"/>
      <c r="P2866" s="6" t="str">
        <f>"110.625,00"</f>
        <v>110.625,00</v>
      </c>
      <c r="Q2866" s="7"/>
      <c r="R2866" s="1"/>
      <c r="S2866" s="1" t="str">
        <f>"N-123/17"</f>
        <v>N-123/17</v>
      </c>
      <c r="T2866" s="2" t="s">
        <v>33</v>
      </c>
    </row>
    <row r="2867" spans="1:20" ht="165.75" x14ac:dyDescent="0.25">
      <c r="A2867" s="1">
        <v>2863</v>
      </c>
      <c r="B2867" s="1" t="str">
        <f>"2017-2909"</f>
        <v>2017-2909</v>
      </c>
      <c r="C2867" s="2" t="s">
        <v>1560</v>
      </c>
      <c r="D2867" s="1" t="s">
        <v>1561</v>
      </c>
      <c r="E2867" s="3" t="str">
        <f>"2017/S 0F2-0025890"</f>
        <v>2017/S 0F2-0025890</v>
      </c>
      <c r="F2867" s="2" t="s">
        <v>23</v>
      </c>
      <c r="G2867" s="2" t="str">
        <f>CONCATENATE("AUTO HRVATSKA PRODAJNO SERVISNI CENTRI D.O.O,"," RADNIČKA CESTA 182,"," 10000 ZAGREB,"," OIB: 9064881685")</f>
        <v>AUTO HRVATSKA PRODAJNO SERVISNI CENTRI D.O.O, RADNIČKA CESTA 182, 10000 ZAGREB, OIB: 9064881685</v>
      </c>
      <c r="H2867" s="4"/>
      <c r="I2867" s="1" t="s">
        <v>907</v>
      </c>
      <c r="J2867" s="1" t="s">
        <v>293</v>
      </c>
      <c r="K2867" s="6" t="str">
        <f>"598.216,00"</f>
        <v>598.216,00</v>
      </c>
      <c r="L2867" s="6" t="str">
        <f>"149.554,00"</f>
        <v>149.554,00</v>
      </c>
      <c r="M2867" s="6" t="str">
        <f>"747.770,00"</f>
        <v>747.770,00</v>
      </c>
      <c r="N2867" s="1" t="s">
        <v>117</v>
      </c>
      <c r="O2867" s="7"/>
      <c r="P2867" s="6" t="str">
        <f>""</f>
        <v/>
      </c>
      <c r="Q2867" s="7"/>
      <c r="R2867" s="20" t="s">
        <v>2391</v>
      </c>
      <c r="S2867" s="1" t="str">
        <f>"N-124/17"</f>
        <v>N-124/17</v>
      </c>
      <c r="T2867" s="2" t="s">
        <v>33</v>
      </c>
    </row>
    <row r="2868" spans="1:20" ht="76.5" x14ac:dyDescent="0.25">
      <c r="A2868" s="1">
        <v>2864</v>
      </c>
      <c r="B2868" s="1" t="str">
        <f>"2017-2448"</f>
        <v>2017-2448</v>
      </c>
      <c r="C2868" s="2" t="s">
        <v>1562</v>
      </c>
      <c r="D2868" s="1" t="s">
        <v>1563</v>
      </c>
      <c r="E2868" s="3" t="str">
        <f>"2017/S F14-0023360"</f>
        <v>2017/S F14-0023360</v>
      </c>
      <c r="F2868" s="2" t="s">
        <v>23</v>
      </c>
      <c r="G2868" s="2" t="str">
        <f>CONCATENATE("KONČAR - PROFESIONALNE KUHINJE DRUŠTVO S OGRANIČENOM ODGOVORNOŠĆU ZA PROIZVODNJU I TRGOVINU UGOSTITELJSKOM OPREMOM,"," SLAVONSKA AVENIJA 18,"," 10000 ZAGREB,"," OIB: 0329818464")</f>
        <v>KONČAR - PROFESIONALNE KUHINJE DRUŠTVO S OGRANIČENOM ODGOVORNOŠĆU ZA PROIZVODNJU I TRGOVINU UGOSTITELJSKOM OPREMOM, SLAVONSKA AVENIJA 18, 10000 ZAGREB, OIB: 0329818464</v>
      </c>
      <c r="H2868" s="4"/>
      <c r="I2868" s="1" t="s">
        <v>915</v>
      </c>
      <c r="J2868" s="1" t="s">
        <v>670</v>
      </c>
      <c r="K2868" s="6" t="str">
        <f>"80.041,01"</f>
        <v>80.041,01</v>
      </c>
      <c r="L2868" s="6" t="str">
        <f>"20.010,25"</f>
        <v>20.010,25</v>
      </c>
      <c r="M2868" s="6" t="str">
        <f>"100.051,26"</f>
        <v>100.051,26</v>
      </c>
      <c r="N2868" s="5">
        <v>43241</v>
      </c>
      <c r="O2868" s="7"/>
      <c r="P2868" s="6" t="str">
        <f>"86.475,89"</f>
        <v>86.475,89</v>
      </c>
      <c r="Q2868" s="7"/>
      <c r="R2868" s="1"/>
      <c r="S2868" s="1" t="str">
        <f>"N-125-A/17"</f>
        <v>N-125-A/17</v>
      </c>
      <c r="T2868" s="2" t="s">
        <v>33</v>
      </c>
    </row>
    <row r="2869" spans="1:20" ht="38.25" x14ac:dyDescent="0.25">
      <c r="A2869" s="1">
        <v>2865</v>
      </c>
      <c r="B2869" s="1" t="str">
        <f>"2017-2448"</f>
        <v>2017-2448</v>
      </c>
      <c r="C2869" s="2" t="s">
        <v>1562</v>
      </c>
      <c r="D2869" s="1" t="s">
        <v>1563</v>
      </c>
      <c r="E2869" s="3" t="str">
        <f>"2017/S F14-0023360"</f>
        <v>2017/S F14-0023360</v>
      </c>
      <c r="F2869" s="2" t="s">
        <v>23</v>
      </c>
      <c r="G2869" s="2" t="str">
        <f>CONCATENATE("TRA-MONT D.O.O.,"," MILIVOJA MATOŠECA 5,"," 10000 ZAGREB,"," OIB: 05336208843")</f>
        <v>TRA-MONT D.O.O., MILIVOJA MATOŠECA 5, 10000 ZAGREB, OIB: 05336208843</v>
      </c>
      <c r="H2869" s="4"/>
      <c r="I2869" s="1" t="s">
        <v>915</v>
      </c>
      <c r="J2869" s="1" t="s">
        <v>670</v>
      </c>
      <c r="K2869" s="6" t="str">
        <f>"314.611,00"</f>
        <v>314.611,00</v>
      </c>
      <c r="L2869" s="6" t="str">
        <f>"78.652,75"</f>
        <v>78.652,75</v>
      </c>
      <c r="M2869" s="6" t="str">
        <f>"393.263,75"</f>
        <v>393.263,75</v>
      </c>
      <c r="N2869" s="5">
        <v>43215</v>
      </c>
      <c r="O2869" s="7"/>
      <c r="P2869" s="6" t="str">
        <f>"389.638,75"</f>
        <v>389.638,75</v>
      </c>
      <c r="Q2869" s="7"/>
      <c r="R2869" s="1"/>
      <c r="S2869" s="1" t="str">
        <f>"N-125-B/17"</f>
        <v>N-125-B/17</v>
      </c>
      <c r="T2869" s="2" t="s">
        <v>33</v>
      </c>
    </row>
    <row r="2870" spans="1:20" ht="25.5" x14ac:dyDescent="0.25">
      <c r="A2870" s="1">
        <v>2866</v>
      </c>
      <c r="B2870" s="1" t="str">
        <f>"2017-2448"</f>
        <v>2017-2448</v>
      </c>
      <c r="C2870" s="2" t="s">
        <v>1562</v>
      </c>
      <c r="D2870" s="1" t="s">
        <v>1563</v>
      </c>
      <c r="E2870" s="3" t="str">
        <f>""</f>
        <v/>
      </c>
      <c r="F2870" s="2" t="s">
        <v>23</v>
      </c>
      <c r="G2870" s="2" t="str">
        <f>CONCATENATE("TRA-MONT D.O.O.,"," MILIVOJA MATOŠECA 5,"," 10000 ZAGREB,"," OIB: 05336208843")</f>
        <v>TRA-MONT D.O.O., MILIVOJA MATOŠECA 5, 10000 ZAGREB, OIB: 05336208843</v>
      </c>
      <c r="H2870" s="4"/>
      <c r="I2870" s="1" t="s">
        <v>1564</v>
      </c>
      <c r="J2870" s="1" t="s">
        <v>670</v>
      </c>
      <c r="K2870" s="6" t="str">
        <f>"8.704,00"</f>
        <v>8.704,00</v>
      </c>
      <c r="L2870" s="6" t="str">
        <f>"2.176,00"</f>
        <v>2.176,00</v>
      </c>
      <c r="M2870" s="6" t="str">
        <f>"10.880,00"</f>
        <v>10.880,00</v>
      </c>
      <c r="N2870" s="5">
        <v>43270</v>
      </c>
      <c r="O2870" s="7"/>
      <c r="P2870" s="6" t="str">
        <f>"10.880,00"</f>
        <v>10.880,00</v>
      </c>
      <c r="Q2870" s="7"/>
      <c r="R2870" s="1"/>
      <c r="S2870" s="1" t="str">
        <f>"N-125-B/17-1"</f>
        <v>N-125-B/17-1</v>
      </c>
      <c r="T2870" s="2" t="s">
        <v>33</v>
      </c>
    </row>
    <row r="2871" spans="1:20" ht="38.25" x14ac:dyDescent="0.25">
      <c r="A2871" s="1">
        <v>2867</v>
      </c>
      <c r="B2871" s="1" t="str">
        <f>"2017-2448"</f>
        <v>2017-2448</v>
      </c>
      <c r="C2871" s="2" t="s">
        <v>1562</v>
      </c>
      <c r="D2871" s="1" t="s">
        <v>1563</v>
      </c>
      <c r="E2871" s="3" t="str">
        <f>"2017/S F14-0023360"</f>
        <v>2017/S F14-0023360</v>
      </c>
      <c r="F2871" s="2" t="s">
        <v>23</v>
      </c>
      <c r="G2871" s="2" t="str">
        <f>CONCATENATE("OPREMA RADMAN D.O.O.,"," VELIKOPOLJSKA 29,"," 10000 ZAGREB,"," OIB: 27290068263")</f>
        <v>OPREMA RADMAN D.O.O., VELIKOPOLJSKA 29, 10000 ZAGREB, OIB: 27290068263</v>
      </c>
      <c r="H2871" s="4"/>
      <c r="I2871" s="1" t="s">
        <v>1565</v>
      </c>
      <c r="J2871" s="1" t="s">
        <v>670</v>
      </c>
      <c r="K2871" s="6" t="str">
        <f>"106.900,00"</f>
        <v>106.900,00</v>
      </c>
      <c r="L2871" s="6" t="str">
        <f>"26.725,00"</f>
        <v>26.725,00</v>
      </c>
      <c r="M2871" s="6" t="str">
        <f>"133.625,00"</f>
        <v>133.625,00</v>
      </c>
      <c r="N2871" s="5">
        <v>43200</v>
      </c>
      <c r="O2871" s="7"/>
      <c r="P2871" s="6" t="str">
        <f>"133.625,00"</f>
        <v>133.625,00</v>
      </c>
      <c r="Q2871" s="7"/>
      <c r="R2871" s="1"/>
      <c r="S2871" s="1" t="str">
        <f>"N-125-C/17"</f>
        <v>N-125-C/17</v>
      </c>
      <c r="T2871" s="2" t="s">
        <v>33</v>
      </c>
    </row>
    <row r="2872" spans="1:20" ht="76.5" x14ac:dyDescent="0.25">
      <c r="A2872" s="1">
        <v>2868</v>
      </c>
      <c r="B2872" s="1" t="str">
        <f>"2017-2448"</f>
        <v>2017-2448</v>
      </c>
      <c r="C2872" s="2" t="s">
        <v>1562</v>
      </c>
      <c r="D2872" s="1" t="s">
        <v>1563</v>
      </c>
      <c r="E2872" s="3" t="str">
        <f>"2017/S F14-0023360"</f>
        <v>2017/S F14-0023360</v>
      </c>
      <c r="F2872" s="2" t="s">
        <v>23</v>
      </c>
      <c r="G2872" s="2" t="str">
        <f>CONCATENATE("KONČAR - PROFESIONALNE KUHINJE DRUŠTVO S OGRANIČENOM ODGOVORNOŠĆU ZA PROIZVODNJU I TRGOVINU UGOSTITELJSKOM OPREMOM,"," SLAVONSKA AVENIJA 18,"," 10000 ZAGREB,"," OIB: 0329818464")</f>
        <v>KONČAR - PROFESIONALNE KUHINJE DRUŠTVO S OGRANIČENOM ODGOVORNOŠĆU ZA PROIZVODNJU I TRGOVINU UGOSTITELJSKOM OPREMOM, SLAVONSKA AVENIJA 18, 10000 ZAGREB, OIB: 0329818464</v>
      </c>
      <c r="H2872" s="4"/>
      <c r="I2872" s="1" t="s">
        <v>915</v>
      </c>
      <c r="J2872" s="1" t="s">
        <v>670</v>
      </c>
      <c r="K2872" s="6" t="str">
        <f>"92.650,00"</f>
        <v>92.650,00</v>
      </c>
      <c r="L2872" s="6" t="str">
        <f>"23.162,50"</f>
        <v>23.162,50</v>
      </c>
      <c r="M2872" s="6" t="str">
        <f>"115.812,50"</f>
        <v>115.812,50</v>
      </c>
      <c r="N2872" s="5">
        <v>43242</v>
      </c>
      <c r="O2872" s="7"/>
      <c r="P2872" s="6" t="str">
        <f>"115.812,50"</f>
        <v>115.812,50</v>
      </c>
      <c r="Q2872" s="7"/>
      <c r="R2872" s="1"/>
      <c r="S2872" s="1" t="str">
        <f>"N-125-D/17"</f>
        <v>N-125-D/17</v>
      </c>
      <c r="T2872" s="2" t="s">
        <v>33</v>
      </c>
    </row>
    <row r="2873" spans="1:20" ht="178.5" x14ac:dyDescent="0.25">
      <c r="A2873" s="1">
        <v>2869</v>
      </c>
      <c r="B2873" s="1" t="str">
        <f>"2017-2963"</f>
        <v>2017-2963</v>
      </c>
      <c r="C2873" s="2" t="s">
        <v>1566</v>
      </c>
      <c r="D2873" s="1" t="s">
        <v>1567</v>
      </c>
      <c r="E2873" s="3" t="str">
        <f>"2017/S 0F2-0027000"</f>
        <v>2017/S 0F2-0027000</v>
      </c>
      <c r="F2873" s="2" t="s">
        <v>23</v>
      </c>
      <c r="G2873" s="2" t="str">
        <f>CONCATENATE("SVEUČILIŠTE U ZAGREBU - ARHITEKTONSKI FAKULTET,"," KAČIĆEVA 26,"," 10000 ZAGREB,"," OIB: 42061107444")</f>
        <v>SVEUČILIŠTE U ZAGREBU - ARHITEKTONSKI FAKULTET, KAČIĆEVA 26, 10000 ZAGREB, OIB: 42061107444</v>
      </c>
      <c r="H2873" s="1" t="str">
        <f>CONCATENATE("STATIČKI PROJEKTNI URED GIF D.O.O.,"," OIB: 08413028683",CHAR(10),"EXPERTO CREDE D.O.O.,"," OIB: 74925898370",CHAR(10),"PROJEKTNI URED KANCELJAK MARELIĆ D.O.O.,"," OIB: 01158597605")</f>
        <v>STATIČKI PROJEKTNI URED GIF D.O.O., OIB: 08413028683
EXPERTO CREDE D.O.O., OIB: 74925898370
PROJEKTNI URED KANCELJAK MARELIĆ D.O.O., OIB: 01158597605</v>
      </c>
      <c r="I2873" s="1" t="s">
        <v>565</v>
      </c>
      <c r="J2873" s="1" t="s">
        <v>566</v>
      </c>
      <c r="K2873" s="6" t="str">
        <f>"370.000,00"</f>
        <v>370.000,00</v>
      </c>
      <c r="L2873" s="6" t="str">
        <f>"92.500,00"</f>
        <v>92.500,00</v>
      </c>
      <c r="M2873" s="6" t="str">
        <f>"462.500,00"</f>
        <v>462.500,00</v>
      </c>
      <c r="N2873" s="1" t="s">
        <v>117</v>
      </c>
      <c r="O2873" s="7"/>
      <c r="P2873" s="6" t="str">
        <f>""</f>
        <v/>
      </c>
      <c r="Q2873" s="7"/>
      <c r="R2873" s="1"/>
      <c r="S2873" s="1" t="str">
        <f>"N-126/17"</f>
        <v>N-126/17</v>
      </c>
      <c r="T2873" s="2" t="s">
        <v>33</v>
      </c>
    </row>
    <row r="2874" spans="1:20" ht="165.75" x14ac:dyDescent="0.25">
      <c r="A2874" s="1">
        <v>2870</v>
      </c>
      <c r="B2874" s="1" t="str">
        <f>"2017-2686"</f>
        <v>2017-2686</v>
      </c>
      <c r="C2874" s="2" t="s">
        <v>1568</v>
      </c>
      <c r="D2874" s="1" t="s">
        <v>1569</v>
      </c>
      <c r="E2874" s="3" t="str">
        <f>"2017/S 0F2-0026417"</f>
        <v>2017/S 0F2-0026417</v>
      </c>
      <c r="F2874" s="2" t="s">
        <v>23</v>
      </c>
      <c r="G2874" s="2" t="str">
        <f>CONCATENATE("FRIGO D.O.O.,"," SUNEKOVA 182,"," 10000 ZAGREB,"," OIB: 74180657849")</f>
        <v>FRIGO D.O.O., SUNEKOVA 182, 10000 ZAGREB, OIB: 74180657849</v>
      </c>
      <c r="H2874" s="4"/>
      <c r="I2874" s="1" t="s">
        <v>1570</v>
      </c>
      <c r="J2874" s="1" t="s">
        <v>297</v>
      </c>
      <c r="K2874" s="6" t="str">
        <f>"1.092.700,00"</f>
        <v>1.092.700,00</v>
      </c>
      <c r="L2874" s="6" t="str">
        <f>"273.175,00"</f>
        <v>273.175,00</v>
      </c>
      <c r="M2874" s="6" t="str">
        <f>"1.365.875,00"</f>
        <v>1.365.875,00</v>
      </c>
      <c r="N2874" s="5">
        <v>43404</v>
      </c>
      <c r="O2874" s="7"/>
      <c r="P2874" s="6" t="str">
        <f>"1.365.875,00"</f>
        <v>1.365.875,00</v>
      </c>
      <c r="Q2874" s="7"/>
      <c r="R2874" s="20" t="s">
        <v>2391</v>
      </c>
      <c r="S2874" s="1" t="str">
        <f>"N-127/17"</f>
        <v>N-127/17</v>
      </c>
      <c r="T2874" s="2" t="s">
        <v>33</v>
      </c>
    </row>
    <row r="2875" spans="1:20" ht="76.5" x14ac:dyDescent="0.25">
      <c r="A2875" s="1">
        <v>2871</v>
      </c>
      <c r="B2875" s="1" t="str">
        <f>"2017-2933"</f>
        <v>2017-2933</v>
      </c>
      <c r="C2875" s="2" t="s">
        <v>1571</v>
      </c>
      <c r="D2875" s="1" t="s">
        <v>762</v>
      </c>
      <c r="E2875" s="3" t="str">
        <f>"2017/S 0F2-0026950"</f>
        <v>2017/S 0F2-0026950</v>
      </c>
      <c r="F2875" s="2" t="s">
        <v>23</v>
      </c>
      <c r="G2875" s="2" t="str">
        <f>CONCATENATE("PRONING DHI D.O.O.,"," RAČKOGA 3,"," 10000 ZAGREB,"," OIB: 37633620694")</f>
        <v>PRONING DHI D.O.O., RAČKOGA 3, 10000 ZAGREB, OIB: 37633620694</v>
      </c>
      <c r="H2875" s="1" t="str">
        <f>CONCATENATE("POSAVEC,"," RAŠICA &amp; LISZT ODVJETNIČKO DRUŠTVO D.O.O.,"," OIB: 7669540523")</f>
        <v>POSAVEC, RAŠICA &amp; LISZT ODVJETNIČKO DRUŠTVO D.O.O., OIB: 7669540523</v>
      </c>
      <c r="I2875" s="1" t="s">
        <v>973</v>
      </c>
      <c r="J2875" s="1" t="s">
        <v>493</v>
      </c>
      <c r="K2875" s="6" t="str">
        <f>"4.840.000,00"</f>
        <v>4.840.000,00</v>
      </c>
      <c r="L2875" s="6" t="str">
        <f>"1.210.000,00"</f>
        <v>1.210.000,00</v>
      </c>
      <c r="M2875" s="6" t="str">
        <f>"6.050.000,00"</f>
        <v>6.050.000,00</v>
      </c>
      <c r="N2875" s="1" t="s">
        <v>117</v>
      </c>
      <c r="O2875" s="7"/>
      <c r="P2875" s="6" t="str">
        <f>""</f>
        <v/>
      </c>
      <c r="Q2875" s="7"/>
      <c r="R2875" s="1"/>
      <c r="S2875" s="1" t="str">
        <f>"N-128/17"</f>
        <v>N-128/17</v>
      </c>
      <c r="T2875" s="2" t="s">
        <v>29</v>
      </c>
    </row>
    <row r="2876" spans="1:20" ht="38.25" x14ac:dyDescent="0.25">
      <c r="A2876" s="1">
        <v>2872</v>
      </c>
      <c r="B2876" s="1" t="str">
        <f>"2017-2902"</f>
        <v>2017-2902</v>
      </c>
      <c r="C2876" s="2" t="s">
        <v>1572</v>
      </c>
      <c r="D2876" s="1" t="s">
        <v>1573</v>
      </c>
      <c r="E2876" s="3" t="str">
        <f>"2017/S 0F2-0026182"</f>
        <v>2017/S 0F2-0026182</v>
      </c>
      <c r="F2876" s="2" t="s">
        <v>23</v>
      </c>
      <c r="G2876" s="2" t="str">
        <f>CONCATENATE("MACEL PLIN D.O.O.,"," MALEŠNICA 3C,"," 10000 ZAGREB,"," OIB: 36043571166")</f>
        <v>MACEL PLIN D.O.O., MALEŠNICA 3C, 10000 ZAGREB, OIB: 36043571166</v>
      </c>
      <c r="H2876" s="1" t="str">
        <f>CONCATENATE("MONTMONTAŽA D.D.,"," OIB: 4869603227")</f>
        <v>MONTMONTAŽA D.D., OIB: 4869603227</v>
      </c>
      <c r="I2876" s="1" t="s">
        <v>966</v>
      </c>
      <c r="J2876" s="1" t="s">
        <v>1574</v>
      </c>
      <c r="K2876" s="6" t="str">
        <f>"999.651,15"</f>
        <v>999.651,15</v>
      </c>
      <c r="L2876" s="6" t="str">
        <f>"249.912,79"</f>
        <v>249.912,79</v>
      </c>
      <c r="M2876" s="6" t="str">
        <f>"1.249.563,94"</f>
        <v>1.249.563,94</v>
      </c>
      <c r="N2876" s="1" t="s">
        <v>117</v>
      </c>
      <c r="O2876" s="7"/>
      <c r="P2876" s="6" t="str">
        <f>""</f>
        <v/>
      </c>
      <c r="Q2876" s="7"/>
      <c r="R2876" s="1"/>
      <c r="S2876" s="1" t="str">
        <f>"N-129/17"</f>
        <v>N-129/17</v>
      </c>
      <c r="T2876" s="2" t="s">
        <v>538</v>
      </c>
    </row>
    <row r="2877" spans="1:20" ht="38.25" x14ac:dyDescent="0.25">
      <c r="A2877" s="1">
        <v>2873</v>
      </c>
      <c r="B2877" s="1" t="str">
        <f>"2017-2903"</f>
        <v>2017-2903</v>
      </c>
      <c r="C2877" s="2" t="s">
        <v>1575</v>
      </c>
      <c r="D2877" s="1" t="s">
        <v>1576</v>
      </c>
      <c r="E2877" s="3" t="str">
        <f>"2017/S 0F2-0026100"</f>
        <v>2017/S 0F2-0026100</v>
      </c>
      <c r="F2877" s="2" t="s">
        <v>23</v>
      </c>
      <c r="G2877" s="2" t="str">
        <f>CONCATENATE("ELOB D.O.O.,"," AVENIJA V. HOLJEVCA 20,"," 10020 ZAGREB,"," OIB: 90957063004")</f>
        <v>ELOB D.O.O., AVENIJA V. HOLJEVCA 20, 10020 ZAGREB, OIB: 90957063004</v>
      </c>
      <c r="H2877" s="4"/>
      <c r="I2877" s="1" t="s">
        <v>1577</v>
      </c>
      <c r="J2877" s="1" t="s">
        <v>343</v>
      </c>
      <c r="K2877" s="6" t="str">
        <f>"507.400,00"</f>
        <v>507.400,00</v>
      </c>
      <c r="L2877" s="6" t="str">
        <f>"126.850,00"</f>
        <v>126.850,00</v>
      </c>
      <c r="M2877" s="6" t="str">
        <f>"634.250,00"</f>
        <v>634.250,00</v>
      </c>
      <c r="N2877" s="1" t="s">
        <v>117</v>
      </c>
      <c r="O2877" s="7"/>
      <c r="P2877" s="6" t="str">
        <f>""</f>
        <v/>
      </c>
      <c r="Q2877" s="7"/>
      <c r="R2877" s="1"/>
      <c r="S2877" s="1" t="str">
        <f>"N-130/17"</f>
        <v>N-130/17</v>
      </c>
      <c r="T2877" s="2" t="s">
        <v>538</v>
      </c>
    </row>
    <row r="2878" spans="1:20" ht="38.25" x14ac:dyDescent="0.25">
      <c r="A2878" s="1">
        <v>2874</v>
      </c>
      <c r="B2878" s="1" t="str">
        <f>"2017-2931"</f>
        <v>2017-2931</v>
      </c>
      <c r="C2878" s="2" t="s">
        <v>1578</v>
      </c>
      <c r="D2878" s="1" t="s">
        <v>1579</v>
      </c>
      <c r="E2878" s="3" t="str">
        <f>"2017/S 0F2-0027576"</f>
        <v>2017/S 0F2-0027576</v>
      </c>
      <c r="F2878" s="2" t="s">
        <v>23</v>
      </c>
      <c r="G2878" s="2" t="str">
        <f>CONCATENATE("E.T.AL. D.O.O.,"," BAČKA 36,"," 10000 ZAGREB,"," OIB: 91055981513")</f>
        <v>E.T.AL. D.O.O., BAČKA 36, 10000 ZAGREB, OIB: 91055981513</v>
      </c>
      <c r="H2878" s="4"/>
      <c r="I2878" s="1" t="s">
        <v>973</v>
      </c>
      <c r="J2878" s="1" t="s">
        <v>493</v>
      </c>
      <c r="K2878" s="6" t="str">
        <f>"879.645,00"</f>
        <v>879.645,00</v>
      </c>
      <c r="L2878" s="6" t="str">
        <f>"219.911,25"</f>
        <v>219.911,25</v>
      </c>
      <c r="M2878" s="6" t="str">
        <f>"1.099.556,25"</f>
        <v>1.099.556,25</v>
      </c>
      <c r="N2878" s="5">
        <v>43312</v>
      </c>
      <c r="O2878" s="7"/>
      <c r="P2878" s="6" t="str">
        <f>"1.099.556,25"</f>
        <v>1.099.556,25</v>
      </c>
      <c r="Q2878" s="7"/>
      <c r="R2878" s="1"/>
      <c r="S2878" s="1" t="str">
        <f>"N-131/17"</f>
        <v>N-131/17</v>
      </c>
      <c r="T2878" s="2" t="s">
        <v>29</v>
      </c>
    </row>
    <row r="2879" spans="1:20" ht="38.25" x14ac:dyDescent="0.25">
      <c r="A2879" s="1">
        <v>2875</v>
      </c>
      <c r="B2879" s="1" t="str">
        <f>"2017-2623"</f>
        <v>2017-2623</v>
      </c>
      <c r="C2879" s="2" t="s">
        <v>1580</v>
      </c>
      <c r="D2879" s="1" t="s">
        <v>1498</v>
      </c>
      <c r="E2879" s="3" t="str">
        <f>"2017/S 0F2-0027887"</f>
        <v>2017/S 0F2-0027887</v>
      </c>
      <c r="F2879" s="2" t="s">
        <v>23</v>
      </c>
      <c r="G2879" s="2" t="str">
        <f>CONCATENATE("MI MARIS D.O.O.,"," ŽITNA 12,"," 10310 IVANIĆ-GRAD,"," OIB: 38118858399")</f>
        <v>MI MARIS D.O.O., ŽITNA 12, 10310 IVANIĆ-GRAD, OIB: 38118858399</v>
      </c>
      <c r="H2879" s="1" t="str">
        <f>CONCATENATE("GEOKVADRAT D.O.O.,"," OIB: 32319202")</f>
        <v>GEOKVADRAT D.O.O., OIB: 32319202</v>
      </c>
      <c r="I2879" s="1" t="s">
        <v>966</v>
      </c>
      <c r="J2879" s="1" t="s">
        <v>1574</v>
      </c>
      <c r="K2879" s="6" t="str">
        <f>"5.785.874,55"</f>
        <v>5.785.874,55</v>
      </c>
      <c r="L2879" s="6" t="str">
        <f>"1.446.468,64"</f>
        <v>1.446.468,64</v>
      </c>
      <c r="M2879" s="6" t="str">
        <f>"7.232.343,19"</f>
        <v>7.232.343,19</v>
      </c>
      <c r="N2879" s="5">
        <v>43434</v>
      </c>
      <c r="O2879" s="7"/>
      <c r="P2879" s="6" t="str">
        <f>"6.404.747,88"</f>
        <v>6.404.747,88</v>
      </c>
      <c r="Q2879" s="7"/>
      <c r="R2879" s="1"/>
      <c r="S2879" s="1" t="str">
        <f>"N-132/17"</f>
        <v>N-132/17</v>
      </c>
      <c r="T2879" s="2" t="s">
        <v>33</v>
      </c>
    </row>
    <row r="2880" spans="1:20" ht="38.25" x14ac:dyDescent="0.25">
      <c r="A2880" s="1">
        <v>2876</v>
      </c>
      <c r="B2880" s="1" t="str">
        <f>"2017-2623"</f>
        <v>2017-2623</v>
      </c>
      <c r="C2880" s="2" t="s">
        <v>1580</v>
      </c>
      <c r="D2880" s="1" t="s">
        <v>1498</v>
      </c>
      <c r="E2880" s="3" t="str">
        <f>"2017/S 0F2-0027887"</f>
        <v>2017/S 0F2-0027887</v>
      </c>
      <c r="F2880" s="2" t="s">
        <v>23</v>
      </c>
      <c r="G2880" s="2" t="str">
        <f>CONCATENATE("MI MARIS D.O.O.,"," ŽITNA 12,"," 10310 IVANIĆ-GRAD,"," OIB: 38118858399")</f>
        <v>MI MARIS D.O.O., ŽITNA 12, 10310 IVANIĆ-GRAD, OIB: 38118858399</v>
      </c>
      <c r="H2880" s="1" t="str">
        <f>CONCATENATE("GEOKVADRAT D.O.O.,"," OIB: 32319202")</f>
        <v>GEOKVADRAT D.O.O., OIB: 32319202</v>
      </c>
      <c r="I2880" s="1" t="s">
        <v>261</v>
      </c>
      <c r="J2880" s="1" t="s">
        <v>210</v>
      </c>
      <c r="K2880" s="6" t="str">
        <f>"5.785.874,55"</f>
        <v>5.785.874,55</v>
      </c>
      <c r="L2880" s="6" t="str">
        <f>"1.446.468,64"</f>
        <v>1.446.468,64</v>
      </c>
      <c r="M2880" s="6" t="str">
        <f>"7.232.343,19"</f>
        <v>7.232.343,19</v>
      </c>
      <c r="N2880" s="5">
        <v>43585</v>
      </c>
      <c r="O2880" s="7"/>
      <c r="P2880" s="6" t="str">
        <f>"428.113,58"</f>
        <v>428.113,58</v>
      </c>
      <c r="Q2880" s="7"/>
      <c r="R2880" s="1"/>
      <c r="S2880" s="1" t="str">
        <f>"N-132/17-1"</f>
        <v>N-132/17-1</v>
      </c>
      <c r="T2880" s="2" t="s">
        <v>33</v>
      </c>
    </row>
    <row r="2881" spans="1:20" ht="38.25" x14ac:dyDescent="0.25">
      <c r="A2881" s="1">
        <v>2877</v>
      </c>
      <c r="B2881" s="1" t="str">
        <f>"2017-510"</f>
        <v>2017-510</v>
      </c>
      <c r="C2881" s="2" t="s">
        <v>1581</v>
      </c>
      <c r="D2881" s="1" t="s">
        <v>1582</v>
      </c>
      <c r="E2881" s="3" t="str">
        <f>"2017/S 0F2-0024034"</f>
        <v>2017/S 0F2-0024034</v>
      </c>
      <c r="F2881" s="2" t="s">
        <v>23</v>
      </c>
      <c r="G2881" s="2" t="str">
        <f>CONCATENATE("KAESER KOMPRESSOREN D.O.O.,"," RIMSKI PUT 11/D,"," 10360 SESVETE,"," OIB: 42572807012")</f>
        <v>KAESER KOMPRESSOREN D.O.O., RIMSKI PUT 11/D, 10360 SESVETE, OIB: 42572807012</v>
      </c>
      <c r="H2881" s="4"/>
      <c r="I2881" s="1" t="s">
        <v>1583</v>
      </c>
      <c r="J2881" s="1" t="s">
        <v>322</v>
      </c>
      <c r="K2881" s="6" t="str">
        <f>"487.996,00"</f>
        <v>487.996,00</v>
      </c>
      <c r="L2881" s="6" t="str">
        <f>"121.999,00"</f>
        <v>121.999,00</v>
      </c>
      <c r="M2881" s="6" t="str">
        <f>"609.995,00"</f>
        <v>609.995,00</v>
      </c>
      <c r="N2881" s="5">
        <v>43322</v>
      </c>
      <c r="O2881" s="7"/>
      <c r="P2881" s="6" t="str">
        <f>"609.995,00"</f>
        <v>609.995,00</v>
      </c>
      <c r="Q2881" s="7"/>
      <c r="R2881" s="1"/>
      <c r="S2881" s="1" t="str">
        <f>"N-133/17"</f>
        <v>N-133/17</v>
      </c>
      <c r="T2881" s="2" t="s">
        <v>26</v>
      </c>
    </row>
    <row r="2882" spans="1:20" ht="38.25" x14ac:dyDescent="0.25">
      <c r="A2882" s="1">
        <v>2878</v>
      </c>
      <c r="B2882" s="1" t="str">
        <f>"2017-1193"</f>
        <v>2017-1193</v>
      </c>
      <c r="C2882" s="2" t="s">
        <v>1584</v>
      </c>
      <c r="D2882" s="1" t="s">
        <v>1512</v>
      </c>
      <c r="E2882" s="3" t="str">
        <f>"2017/S 0F2-0023298"</f>
        <v>2017/S 0F2-0023298</v>
      </c>
      <c r="F2882" s="2" t="s">
        <v>23</v>
      </c>
      <c r="G2882" s="2" t="str">
        <f>CONCATENATE("BKS - LEASING CROATIA D.O.O.,"," IVANA LUČIĆA 2/A,"," 10000 ZAGREB,"," OIB: 52277663197")</f>
        <v>BKS - LEASING CROATIA D.O.O., IVANA LUČIĆA 2/A, 10000 ZAGREB, OIB: 52277663197</v>
      </c>
      <c r="H2882" s="4"/>
      <c r="I2882" s="1" t="s">
        <v>102</v>
      </c>
      <c r="J2882" s="1" t="s">
        <v>1585</v>
      </c>
      <c r="K2882" s="6" t="str">
        <f>"1.252.275,00"</f>
        <v>1.252.275,00</v>
      </c>
      <c r="L2882" s="6" t="str">
        <f>"313.068,75"</f>
        <v>313.068,75</v>
      </c>
      <c r="M2882" s="6" t="str">
        <f>"1.565.343,75"</f>
        <v>1.565.343,75</v>
      </c>
      <c r="N2882" s="5">
        <v>43329</v>
      </c>
      <c r="O2882" s="7"/>
      <c r="P2882" s="6" t="str">
        <f>"1.436.202,88"</f>
        <v>1.436.202,88</v>
      </c>
      <c r="Q2882" s="7"/>
      <c r="R2882" s="1"/>
      <c r="S2882" s="1" t="str">
        <f>"N-134-A/17"</f>
        <v>N-134-A/17</v>
      </c>
      <c r="T2882" s="2" t="s">
        <v>33</v>
      </c>
    </row>
    <row r="2883" spans="1:20" ht="38.25" x14ac:dyDescent="0.25">
      <c r="A2883" s="1">
        <v>2879</v>
      </c>
      <c r="B2883" s="1" t="str">
        <f>"2017-989"</f>
        <v>2017-989</v>
      </c>
      <c r="C2883" s="2" t="s">
        <v>1586</v>
      </c>
      <c r="D2883" s="1" t="s">
        <v>1587</v>
      </c>
      <c r="E2883" s="3" t="str">
        <f>"2017/S 0F2-0025625"</f>
        <v>2017/S 0F2-0025625</v>
      </c>
      <c r="F2883" s="2" t="s">
        <v>23</v>
      </c>
      <c r="G2883" s="2" t="str">
        <f>CONCATENATE("VODOSKOK D.D.,"," ČULINEČKA CESTA 221/C,"," 10040 ZAGREB,"," OIB: 34134218058")</f>
        <v>VODOSKOK D.D., ČULINEČKA CESTA 221/C, 10040 ZAGREB, OIB: 34134218058</v>
      </c>
      <c r="H2883" s="4"/>
      <c r="I2883" s="1" t="s">
        <v>1588</v>
      </c>
      <c r="J2883" s="1" t="s">
        <v>1589</v>
      </c>
      <c r="K2883" s="6" t="str">
        <f>"238.850,00"</f>
        <v>238.850,00</v>
      </c>
      <c r="L2883" s="6" t="str">
        <f>"59.712,50"</f>
        <v>59.712,50</v>
      </c>
      <c r="M2883" s="6" t="str">
        <f>"298.562,50"</f>
        <v>298.562,50</v>
      </c>
      <c r="N2883" s="5">
        <v>43257</v>
      </c>
      <c r="O2883" s="7"/>
      <c r="P2883" s="6" t="str">
        <f>"298.562,50"</f>
        <v>298.562,50</v>
      </c>
      <c r="Q2883" s="7"/>
      <c r="R2883" s="1"/>
      <c r="S2883" s="1" t="str">
        <f>"N-135-A/17"</f>
        <v>N-135-A/17</v>
      </c>
      <c r="T2883" s="2" t="s">
        <v>29</v>
      </c>
    </row>
    <row r="2884" spans="1:20" ht="38.25" x14ac:dyDescent="0.25">
      <c r="A2884" s="1">
        <v>2880</v>
      </c>
      <c r="B2884" s="1" t="str">
        <f>"2017-989"</f>
        <v>2017-989</v>
      </c>
      <c r="C2884" s="2" t="s">
        <v>1586</v>
      </c>
      <c r="D2884" s="1" t="s">
        <v>1587</v>
      </c>
      <c r="E2884" s="3" t="str">
        <f>"2017/S 0F2-0025625"</f>
        <v>2017/S 0F2-0025625</v>
      </c>
      <c r="F2884" s="2" t="s">
        <v>23</v>
      </c>
      <c r="G2884" s="2" t="str">
        <f>CONCATENATE("HENNLICH D.O.O.,"," STUPNIČKOOBREŠKA 17,"," 10255 GORNJI STUPNIK,"," OIB: 44725135398")</f>
        <v>HENNLICH D.O.O., STUPNIČKOOBREŠKA 17, 10255 GORNJI STUPNIK, OIB: 44725135398</v>
      </c>
      <c r="H2884" s="4"/>
      <c r="I2884" s="1" t="s">
        <v>1588</v>
      </c>
      <c r="J2884" s="1" t="s">
        <v>1589</v>
      </c>
      <c r="K2884" s="6" t="str">
        <f>"74.990,00"</f>
        <v>74.990,00</v>
      </c>
      <c r="L2884" s="6" t="str">
        <f>"18.747,50"</f>
        <v>18.747,50</v>
      </c>
      <c r="M2884" s="6" t="str">
        <f>"93.737,50"</f>
        <v>93.737,50</v>
      </c>
      <c r="N2884" s="5">
        <v>43230</v>
      </c>
      <c r="O2884" s="7"/>
      <c r="P2884" s="6" t="str">
        <f>"93.737,50"</f>
        <v>93.737,50</v>
      </c>
      <c r="Q2884" s="7"/>
      <c r="R2884" s="1"/>
      <c r="S2884" s="1" t="str">
        <f>"N-135-B/17"</f>
        <v>N-135-B/17</v>
      </c>
      <c r="T2884" s="2" t="s">
        <v>29</v>
      </c>
    </row>
    <row r="2885" spans="1:20" ht="165.75" x14ac:dyDescent="0.25">
      <c r="A2885" s="1">
        <v>2881</v>
      </c>
      <c r="B2885" s="1" t="str">
        <f>"2017-2867"</f>
        <v>2017-2867</v>
      </c>
      <c r="C2885" s="2" t="s">
        <v>1590</v>
      </c>
      <c r="D2885" s="1" t="s">
        <v>1519</v>
      </c>
      <c r="E2885" s="3" t="str">
        <f>"2017/S 0F2-0026652"</f>
        <v>2017/S 0F2-0026652</v>
      </c>
      <c r="F2885" s="2" t="s">
        <v>23</v>
      </c>
      <c r="G2885" s="2" t="str">
        <f>CONCATENATE("SITOLOR D. O. O.,"," PAVLA RADIĆA 12,"," 35000 SLAVONSKI BROD,"," OIB: 21520217808")</f>
        <v>SITOLOR D. O. O., PAVLA RADIĆA 12, 35000 SLAVONSKI BROD, OIB: 21520217808</v>
      </c>
      <c r="H2885" s="1" t="str">
        <f>CONCATENATE("MONTING D.O.O.,"," OIB: 50374895710",CHAR(10),"MAXIMA USLUGE D.O.O.,"," OIB: 69133421958")</f>
        <v>MONTING D.O.O., OIB: 50374895710
MAXIMA USLUGE D.O.O., OIB: 69133421958</v>
      </c>
      <c r="I2885" s="1" t="s">
        <v>917</v>
      </c>
      <c r="J2885" s="1" t="s">
        <v>321</v>
      </c>
      <c r="K2885" s="6" t="str">
        <f>"12.619.095,62"</f>
        <v>12.619.095,62</v>
      </c>
      <c r="L2885" s="6" t="str">
        <f>"3.154.773,91"</f>
        <v>3.154.773,91</v>
      </c>
      <c r="M2885" s="6" t="str">
        <f>"15.773.869,53"</f>
        <v>15.773.869,53</v>
      </c>
      <c r="N2885" s="1" t="s">
        <v>117</v>
      </c>
      <c r="O2885" s="7"/>
      <c r="P2885" s="6" t="str">
        <f>""</f>
        <v/>
      </c>
      <c r="Q2885" s="7"/>
      <c r="R2885" s="20" t="s">
        <v>2391</v>
      </c>
      <c r="S2885" s="1" t="str">
        <f>"N-136/17"</f>
        <v>N-136/17</v>
      </c>
      <c r="T2885" s="2" t="s">
        <v>33</v>
      </c>
    </row>
    <row r="2886" spans="1:20" ht="38.25" x14ac:dyDescent="0.25">
      <c r="A2886" s="1">
        <v>2882</v>
      </c>
      <c r="B2886" s="1" t="str">
        <f>"2017-1697"</f>
        <v>2017-1697</v>
      </c>
      <c r="C2886" s="2" t="s">
        <v>1591</v>
      </c>
      <c r="D2886" s="1" t="s">
        <v>152</v>
      </c>
      <c r="E2886" s="3" t="str">
        <f>"2017/S 0F2-0026804"</f>
        <v>2017/S 0F2-0026804</v>
      </c>
      <c r="F2886" s="2" t="s">
        <v>23</v>
      </c>
      <c r="G2886" s="2" t="str">
        <f>CONCATENATE("ANDEL D.O.O.,"," MAJSTORSKA 1/G,"," 10000 ZAGREB,"," OIB: 81891996613")</f>
        <v>ANDEL D.O.O., MAJSTORSKA 1/G, 10000 ZAGREB, OIB: 81891996613</v>
      </c>
      <c r="H2886" s="4"/>
      <c r="I2886" s="1" t="s">
        <v>988</v>
      </c>
      <c r="J2886" s="1" t="s">
        <v>64</v>
      </c>
      <c r="K2886" s="6" t="str">
        <f>"211.260,00"</f>
        <v>211.260,00</v>
      </c>
      <c r="L2886" s="6" t="str">
        <f>"52.815,00"</f>
        <v>52.815,00</v>
      </c>
      <c r="M2886" s="6" t="str">
        <f>"264.075,00"</f>
        <v>264.075,00</v>
      </c>
      <c r="N2886" s="1" t="s">
        <v>117</v>
      </c>
      <c r="O2886" s="7"/>
      <c r="P2886" s="6" t="str">
        <f>""</f>
        <v/>
      </c>
      <c r="Q2886" s="7"/>
      <c r="R2886" s="1"/>
      <c r="S2886" s="1" t="str">
        <f>"N-137/17"</f>
        <v>N-137/17</v>
      </c>
      <c r="T2886" s="2" t="s">
        <v>538</v>
      </c>
    </row>
    <row r="2887" spans="1:20" ht="165.75" x14ac:dyDescent="0.25">
      <c r="A2887" s="1">
        <v>2883</v>
      </c>
      <c r="B2887" s="1" t="str">
        <f>"2017-2701"</f>
        <v>2017-2701</v>
      </c>
      <c r="C2887" s="2" t="s">
        <v>1592</v>
      </c>
      <c r="D2887" s="1" t="s">
        <v>1519</v>
      </c>
      <c r="E2887" s="3" t="str">
        <f>"2017/S 0F2-0026699"</f>
        <v>2017/S 0F2-0026699</v>
      </c>
      <c r="F2887" s="2" t="s">
        <v>23</v>
      </c>
      <c r="G2887" s="2" t="str">
        <f>CONCATENATE("GEORAD D.O.O.,"," KORNATSKA 1,"," 10000 ZAGREB,"," OIB: 49756748234")</f>
        <v>GEORAD D.O.O., KORNATSKA 1, 10000 ZAGREB, OIB: 49756748234</v>
      </c>
      <c r="H2887" s="4"/>
      <c r="I2887" s="1" t="s">
        <v>945</v>
      </c>
      <c r="J2887" s="1" t="s">
        <v>355</v>
      </c>
      <c r="K2887" s="6" t="str">
        <f>"9.601.082,48"</f>
        <v>9.601.082,48</v>
      </c>
      <c r="L2887" s="6" t="str">
        <f>"2.400.270,62"</f>
        <v>2.400.270,62</v>
      </c>
      <c r="M2887" s="6" t="str">
        <f>"12.001.353,10"</f>
        <v>12.001.353,10</v>
      </c>
      <c r="N2887" s="1" t="s">
        <v>117</v>
      </c>
      <c r="O2887" s="7"/>
      <c r="P2887" s="6" t="str">
        <f>""</f>
        <v/>
      </c>
      <c r="Q2887" s="7"/>
      <c r="R2887" s="20" t="s">
        <v>2391</v>
      </c>
      <c r="S2887" s="1" t="str">
        <f>"N-138/17"</f>
        <v>N-138/17</v>
      </c>
      <c r="T2887" s="2" t="s">
        <v>33</v>
      </c>
    </row>
    <row r="2888" spans="1:20" ht="165.75" x14ac:dyDescent="0.25">
      <c r="A2888" s="1">
        <v>2884</v>
      </c>
      <c r="B2888" s="1" t="str">
        <f>"2017-2852"</f>
        <v>2017-2852</v>
      </c>
      <c r="C2888" s="2" t="s">
        <v>1593</v>
      </c>
      <c r="D2888" s="1" t="s">
        <v>595</v>
      </c>
      <c r="E2888" s="3" t="str">
        <f>"2017/S 0F2-0027120"</f>
        <v>2017/S 0F2-0027120</v>
      </c>
      <c r="F2888" s="2" t="s">
        <v>23</v>
      </c>
      <c r="G2888" s="2" t="str">
        <f>CONCATENATE("MHM-ING D.O.O.,"," 9. JUŽNA OBALA 15,"," 10000 ZAGREB,"," OIB: 96889719943")</f>
        <v>MHM-ING D.O.O., 9. JUŽNA OBALA 15, 10000 ZAGREB, OIB: 96889719943</v>
      </c>
      <c r="H2888" s="1" t="str">
        <f>CONCATENATE("KEMIS-TERMOCLEAN D.O.O.,"," OIB: 47719259482")</f>
        <v>KEMIS-TERMOCLEAN D.O.O., OIB: 47719259482</v>
      </c>
      <c r="I2888" s="1" t="s">
        <v>841</v>
      </c>
      <c r="J2888" s="1" t="s">
        <v>350</v>
      </c>
      <c r="K2888" s="6" t="str">
        <f>"838.936,60"</f>
        <v>838.936,60</v>
      </c>
      <c r="L2888" s="6" t="str">
        <f>"209.734,15"</f>
        <v>209.734,15</v>
      </c>
      <c r="M2888" s="6" t="str">
        <f>"1.048.670,75"</f>
        <v>1.048.670,75</v>
      </c>
      <c r="N2888" s="1" t="s">
        <v>117</v>
      </c>
      <c r="O2888" s="7"/>
      <c r="P2888" s="6" t="str">
        <f>""</f>
        <v/>
      </c>
      <c r="Q2888" s="7"/>
      <c r="R2888" s="20" t="s">
        <v>2391</v>
      </c>
      <c r="S2888" s="1" t="str">
        <f>"N-139/17"</f>
        <v>N-139/17</v>
      </c>
      <c r="T2888" s="2" t="s">
        <v>33</v>
      </c>
    </row>
    <row r="2889" spans="1:20" ht="38.25" x14ac:dyDescent="0.25">
      <c r="A2889" s="1">
        <v>2885</v>
      </c>
      <c r="B2889" s="1" t="str">
        <f t="shared" ref="B2889:B2898" si="279">"2017-1367"</f>
        <v>2017-1367</v>
      </c>
      <c r="C2889" s="2" t="s">
        <v>1594</v>
      </c>
      <c r="D2889" s="1" t="s">
        <v>948</v>
      </c>
      <c r="E2889" s="3" t="str">
        <f t="shared" ref="E2889:E2898" si="280">"2017/S 0F2-0026844"</f>
        <v>2017/S 0F2-0026844</v>
      </c>
      <c r="F2889" s="2" t="s">
        <v>23</v>
      </c>
      <c r="G2889" s="2" t="str">
        <f>CONCATENATE("RASCO D.O.O.,"," KOLODVORSKA 120B,"," 48361 KALINOVAC,"," OIB: 12710048305")</f>
        <v>RASCO D.O.O., KOLODVORSKA 120B, 48361 KALINOVAC, OIB: 12710048305</v>
      </c>
      <c r="H2889" s="4"/>
      <c r="I2889" s="1" t="s">
        <v>150</v>
      </c>
      <c r="J2889" s="1" t="s">
        <v>1595</v>
      </c>
      <c r="K2889" s="6" t="str">
        <f>"6.333.977,10"</f>
        <v>6.333.977,10</v>
      </c>
      <c r="L2889" s="6" t="str">
        <f>"1.583.494,28"</f>
        <v>1.583.494,28</v>
      </c>
      <c r="M2889" s="6" t="str">
        <f>"7.917.471,38"</f>
        <v>7.917.471,38</v>
      </c>
      <c r="N2889" s="5">
        <v>43423</v>
      </c>
      <c r="O2889" s="7"/>
      <c r="P2889" s="6" t="str">
        <f>"7.917.471,38"</f>
        <v>7.917.471,38</v>
      </c>
      <c r="Q2889" s="7"/>
      <c r="R2889" s="1"/>
      <c r="S2889" s="1" t="str">
        <f>"N-140-A/17"</f>
        <v>N-140-A/17</v>
      </c>
      <c r="T2889" s="2" t="s">
        <v>33</v>
      </c>
    </row>
    <row r="2890" spans="1:20" ht="38.25" x14ac:dyDescent="0.25">
      <c r="A2890" s="1">
        <v>2886</v>
      </c>
      <c r="B2890" s="1" t="str">
        <f t="shared" si="279"/>
        <v>2017-1367</v>
      </c>
      <c r="C2890" s="2" t="s">
        <v>1594</v>
      </c>
      <c r="D2890" s="1" t="s">
        <v>948</v>
      </c>
      <c r="E2890" s="3" t="str">
        <f t="shared" si="280"/>
        <v>2017/S 0F2-0026844</v>
      </c>
      <c r="F2890" s="2" t="s">
        <v>23</v>
      </c>
      <c r="G2890" s="2" t="str">
        <f>CONCATENATE("BENUSSI D. O. O.,"," FAŽANSKA CESTA 86,"," 52212 FAŽANA,"," OIB: 87971197112")</f>
        <v>BENUSSI D. O. O., FAŽANSKA CESTA 86, 52212 FAŽANA, OIB: 87971197112</v>
      </c>
      <c r="H2890" s="4"/>
      <c r="I2890" s="1" t="s">
        <v>150</v>
      </c>
      <c r="J2890" s="1" t="s">
        <v>1595</v>
      </c>
      <c r="K2890" s="6" t="str">
        <f>"1.992.500,00"</f>
        <v>1.992.500,00</v>
      </c>
      <c r="L2890" s="6" t="str">
        <f>"498.125,00"</f>
        <v>498.125,00</v>
      </c>
      <c r="M2890" s="6" t="str">
        <f>"2.490.625,00"</f>
        <v>2.490.625,00</v>
      </c>
      <c r="N2890" s="5">
        <v>43437</v>
      </c>
      <c r="O2890" s="7"/>
      <c r="P2890" s="6" t="str">
        <f>"2.490.625,00"</f>
        <v>2.490.625,00</v>
      </c>
      <c r="Q2890" s="7"/>
      <c r="R2890" s="1"/>
      <c r="S2890" s="1" t="str">
        <f>"N-140-B/17"</f>
        <v>N-140-B/17</v>
      </c>
      <c r="T2890" s="2" t="s">
        <v>33</v>
      </c>
    </row>
    <row r="2891" spans="1:20" ht="38.25" x14ac:dyDescent="0.25">
      <c r="A2891" s="1">
        <v>2887</v>
      </c>
      <c r="B2891" s="1" t="str">
        <f t="shared" si="279"/>
        <v>2017-1367</v>
      </c>
      <c r="C2891" s="2" t="s">
        <v>1594</v>
      </c>
      <c r="D2891" s="1" t="s">
        <v>948</v>
      </c>
      <c r="E2891" s="3" t="str">
        <f t="shared" si="280"/>
        <v>2017/S 0F2-0026844</v>
      </c>
      <c r="F2891" s="2" t="s">
        <v>23</v>
      </c>
      <c r="G2891" s="2" t="str">
        <f>CONCATENATE("BENUSSI D. O. O.,"," FAŽANSKA CESTA 86,"," 52212 FAŽANA,"," OIB: 87971197112")</f>
        <v>BENUSSI D. O. O., FAŽANSKA CESTA 86, 52212 FAŽANA, OIB: 87971197112</v>
      </c>
      <c r="H2891" s="4"/>
      <c r="I2891" s="1" t="s">
        <v>561</v>
      </c>
      <c r="J2891" s="1" t="s">
        <v>562</v>
      </c>
      <c r="K2891" s="6" t="str">
        <f>"1.036.000,00"</f>
        <v>1.036.000,00</v>
      </c>
      <c r="L2891" s="6" t="str">
        <f>"259.000,00"</f>
        <v>259.000,00</v>
      </c>
      <c r="M2891" s="6" t="str">
        <f>"1.295.000,00"</f>
        <v>1.295.000,00</v>
      </c>
      <c r="N2891" s="5">
        <v>43437</v>
      </c>
      <c r="O2891" s="7"/>
      <c r="P2891" s="6" t="str">
        <f>"1.295.000,00"</f>
        <v>1.295.000,00</v>
      </c>
      <c r="Q2891" s="7"/>
      <c r="R2891" s="1"/>
      <c r="S2891" s="1" t="str">
        <f>"N-140-C/17"</f>
        <v>N-140-C/17</v>
      </c>
      <c r="T2891" s="2" t="s">
        <v>33</v>
      </c>
    </row>
    <row r="2892" spans="1:20" ht="38.25" x14ac:dyDescent="0.25">
      <c r="A2892" s="1">
        <v>2888</v>
      </c>
      <c r="B2892" s="1" t="str">
        <f t="shared" si="279"/>
        <v>2017-1367</v>
      </c>
      <c r="C2892" s="2" t="s">
        <v>1594</v>
      </c>
      <c r="D2892" s="1" t="s">
        <v>948</v>
      </c>
      <c r="E2892" s="3" t="str">
        <f t="shared" si="280"/>
        <v>2017/S 0F2-0026844</v>
      </c>
      <c r="F2892" s="2" t="s">
        <v>23</v>
      </c>
      <c r="G2892" s="2" t="str">
        <f>CONCATENATE("BENUSSI D. O. O.,"," FAŽANSKA CESTA 86,"," 52212 FAŽANA,"," OIB: 87971197112")</f>
        <v>BENUSSI D. O. O., FAŽANSKA CESTA 86, 52212 FAŽANA, OIB: 87971197112</v>
      </c>
      <c r="H2892" s="4"/>
      <c r="I2892" s="1" t="s">
        <v>150</v>
      </c>
      <c r="J2892" s="1" t="s">
        <v>1595</v>
      </c>
      <c r="K2892" s="6" t="str">
        <f>"487.500,00"</f>
        <v>487.500,00</v>
      </c>
      <c r="L2892" s="6" t="str">
        <f>"121.875,00"</f>
        <v>121.875,00</v>
      </c>
      <c r="M2892" s="6" t="str">
        <f>"609.375,00"</f>
        <v>609.375,00</v>
      </c>
      <c r="N2892" s="5">
        <v>43475</v>
      </c>
      <c r="O2892" s="7"/>
      <c r="P2892" s="6" t="str">
        <f>"609.375,00"</f>
        <v>609.375,00</v>
      </c>
      <c r="Q2892" s="7"/>
      <c r="R2892" s="1"/>
      <c r="S2892" s="1" t="str">
        <f>"N-140-D/17"</f>
        <v>N-140-D/17</v>
      </c>
      <c r="T2892" s="2" t="s">
        <v>33</v>
      </c>
    </row>
    <row r="2893" spans="1:20" ht="38.25" x14ac:dyDescent="0.25">
      <c r="A2893" s="1">
        <v>2889</v>
      </c>
      <c r="B2893" s="1" t="str">
        <f t="shared" si="279"/>
        <v>2017-1367</v>
      </c>
      <c r="C2893" s="2" t="s">
        <v>1594</v>
      </c>
      <c r="D2893" s="1" t="s">
        <v>948</v>
      </c>
      <c r="E2893" s="3" t="str">
        <f t="shared" si="280"/>
        <v>2017/S 0F2-0026844</v>
      </c>
      <c r="F2893" s="2" t="s">
        <v>23</v>
      </c>
      <c r="G2893" s="2" t="str">
        <f>CONCATENATE("BENUSSI D. O. O.,"," FAŽANSKA CESTA 86,"," 52212 FAŽANA,"," OIB: 87971197112")</f>
        <v>BENUSSI D. O. O., FAŽANSKA CESTA 86, 52212 FAŽANA, OIB: 87971197112</v>
      </c>
      <c r="H2893" s="4"/>
      <c r="I2893" s="1" t="s">
        <v>150</v>
      </c>
      <c r="J2893" s="1" t="s">
        <v>1595</v>
      </c>
      <c r="K2893" s="6" t="str">
        <f>"693.500,00"</f>
        <v>693.500,00</v>
      </c>
      <c r="L2893" s="6" t="str">
        <f>"173.375,00"</f>
        <v>173.375,00</v>
      </c>
      <c r="M2893" s="6" t="str">
        <f>"866.875,00"</f>
        <v>866.875,00</v>
      </c>
      <c r="N2893" s="5">
        <v>43486</v>
      </c>
      <c r="O2893" s="7"/>
      <c r="P2893" s="6" t="str">
        <f>"866.693,44"</f>
        <v>866.693,44</v>
      </c>
      <c r="Q2893" s="7"/>
      <c r="R2893" s="1"/>
      <c r="S2893" s="1" t="str">
        <f>"N-140-E/17"</f>
        <v>N-140-E/17</v>
      </c>
      <c r="T2893" s="2" t="s">
        <v>33</v>
      </c>
    </row>
    <row r="2894" spans="1:20" ht="38.25" x14ac:dyDescent="0.25">
      <c r="A2894" s="1">
        <v>2890</v>
      </c>
      <c r="B2894" s="1" t="str">
        <f t="shared" si="279"/>
        <v>2017-1367</v>
      </c>
      <c r="C2894" s="2" t="s">
        <v>1594</v>
      </c>
      <c r="D2894" s="1" t="s">
        <v>948</v>
      </c>
      <c r="E2894" s="3" t="str">
        <f t="shared" si="280"/>
        <v>2017/S 0F2-0026844</v>
      </c>
      <c r="F2894" s="2" t="s">
        <v>23</v>
      </c>
      <c r="G2894" s="2" t="str">
        <f>CONCATENATE("AUTO ARBANAS D.O.O.,"," SISAČKA 45,"," 10410 VELIKA GORICA,"," OIB: 98352441242")</f>
        <v>AUTO ARBANAS D.O.O., SISAČKA 45, 10410 VELIKA GORICA, OIB: 98352441242</v>
      </c>
      <c r="H2894" s="4"/>
      <c r="I2894" s="1" t="s">
        <v>150</v>
      </c>
      <c r="J2894" s="1" t="s">
        <v>1595</v>
      </c>
      <c r="K2894" s="6" t="str">
        <f>"1.224.931,20"</f>
        <v>1.224.931,20</v>
      </c>
      <c r="L2894" s="6" t="str">
        <f>"306.232,80"</f>
        <v>306.232,80</v>
      </c>
      <c r="M2894" s="6" t="str">
        <f>"1.531.164,00"</f>
        <v>1.531.164,00</v>
      </c>
      <c r="N2894" s="5">
        <v>43354</v>
      </c>
      <c r="O2894" s="7"/>
      <c r="P2894" s="6" t="str">
        <f>"1.531.164,00"</f>
        <v>1.531.164,00</v>
      </c>
      <c r="Q2894" s="7"/>
      <c r="R2894" s="1"/>
      <c r="S2894" s="1" t="str">
        <f>"N-140-F/17"</f>
        <v>N-140-F/17</v>
      </c>
      <c r="T2894" s="2" t="s">
        <v>33</v>
      </c>
    </row>
    <row r="2895" spans="1:20" ht="38.25" x14ac:dyDescent="0.25">
      <c r="A2895" s="1">
        <v>2891</v>
      </c>
      <c r="B2895" s="1" t="str">
        <f t="shared" si="279"/>
        <v>2017-1367</v>
      </c>
      <c r="C2895" s="2" t="s">
        <v>1594</v>
      </c>
      <c r="D2895" s="1" t="s">
        <v>948</v>
      </c>
      <c r="E2895" s="3" t="str">
        <f t="shared" si="280"/>
        <v>2017/S 0F2-0026844</v>
      </c>
      <c r="F2895" s="2" t="s">
        <v>23</v>
      </c>
      <c r="G2895" s="2" t="str">
        <f>CONCATENATE("BENUSSI D. O. O.,"," FAŽANSKA CESTA 86,"," 52212 FAŽANA,"," OIB: 87971197112")</f>
        <v>BENUSSI D. O. O., FAŽANSKA CESTA 86, 52212 FAŽANA, OIB: 87971197112</v>
      </c>
      <c r="H2895" s="4"/>
      <c r="I2895" s="1" t="s">
        <v>150</v>
      </c>
      <c r="J2895" s="1" t="s">
        <v>1595</v>
      </c>
      <c r="K2895" s="6" t="str">
        <f>"199.900,00"</f>
        <v>199.900,00</v>
      </c>
      <c r="L2895" s="6" t="str">
        <f>"49.975,00"</f>
        <v>49.975,00</v>
      </c>
      <c r="M2895" s="6" t="str">
        <f>"249.875,00"</f>
        <v>249.875,00</v>
      </c>
      <c r="N2895" s="5">
        <v>43437</v>
      </c>
      <c r="O2895" s="7"/>
      <c r="P2895" s="6" t="str">
        <f>"249.875,00"</f>
        <v>249.875,00</v>
      </c>
      <c r="Q2895" s="7"/>
      <c r="R2895" s="1"/>
      <c r="S2895" s="1" t="str">
        <f>"N-140-G/17"</f>
        <v>N-140-G/17</v>
      </c>
      <c r="T2895" s="2" t="s">
        <v>33</v>
      </c>
    </row>
    <row r="2896" spans="1:20" ht="38.25" x14ac:dyDescent="0.25">
      <c r="A2896" s="1">
        <v>2892</v>
      </c>
      <c r="B2896" s="1" t="str">
        <f t="shared" si="279"/>
        <v>2017-1367</v>
      </c>
      <c r="C2896" s="2" t="s">
        <v>1594</v>
      </c>
      <c r="D2896" s="1" t="s">
        <v>948</v>
      </c>
      <c r="E2896" s="3" t="str">
        <f t="shared" si="280"/>
        <v>2017/S 0F2-0026844</v>
      </c>
      <c r="F2896" s="2" t="s">
        <v>23</v>
      </c>
      <c r="G2896" s="2" t="str">
        <f>CONCATENATE("UPGRADE D.O.O.,"," STANKA PINJUHA 15B,"," 49214 VELIKO TRGOVIŠĆE,"," OIB: 69048614769")</f>
        <v>UPGRADE D.O.O., STANKA PINJUHA 15B, 49214 VELIKO TRGOVIŠĆE, OIB: 69048614769</v>
      </c>
      <c r="H2896" s="4"/>
      <c r="I2896" s="1" t="s">
        <v>150</v>
      </c>
      <c r="J2896" s="1" t="s">
        <v>1595</v>
      </c>
      <c r="K2896" s="6" t="str">
        <f>"1.396.000,00"</f>
        <v>1.396.000,00</v>
      </c>
      <c r="L2896" s="6" t="str">
        <f>"349.000,00"</f>
        <v>349.000,00</v>
      </c>
      <c r="M2896" s="6" t="str">
        <f>"1.745.000,00"</f>
        <v>1.745.000,00</v>
      </c>
      <c r="N2896" s="5">
        <v>43536</v>
      </c>
      <c r="O2896" s="7"/>
      <c r="P2896" s="6" t="str">
        <f>"1.745.000,00"</f>
        <v>1.745.000,00</v>
      </c>
      <c r="Q2896" s="7"/>
      <c r="R2896" s="1"/>
      <c r="S2896" s="1" t="str">
        <f>"N-140-H/17"</f>
        <v>N-140-H/17</v>
      </c>
      <c r="T2896" s="2" t="s">
        <v>33</v>
      </c>
    </row>
    <row r="2897" spans="1:20" ht="38.25" x14ac:dyDescent="0.25">
      <c r="A2897" s="1">
        <v>2893</v>
      </c>
      <c r="B2897" s="1" t="str">
        <f t="shared" si="279"/>
        <v>2017-1367</v>
      </c>
      <c r="C2897" s="2" t="s">
        <v>1594</v>
      </c>
      <c r="D2897" s="1" t="s">
        <v>948</v>
      </c>
      <c r="E2897" s="3" t="str">
        <f t="shared" si="280"/>
        <v>2017/S 0F2-0026844</v>
      </c>
      <c r="F2897" s="2" t="s">
        <v>23</v>
      </c>
      <c r="G2897" s="2" t="str">
        <f>CONCATENATE("BENUSSI D. O. O.,"," FAŽANSKA CESTA 86,"," 52212 FAŽANA,"," OIB: 87971197112")</f>
        <v>BENUSSI D. O. O., FAŽANSKA CESTA 86, 52212 FAŽANA, OIB: 87971197112</v>
      </c>
      <c r="H2897" s="4"/>
      <c r="I2897" s="1" t="s">
        <v>561</v>
      </c>
      <c r="J2897" s="1" t="s">
        <v>562</v>
      </c>
      <c r="K2897" s="6" t="str">
        <f>"360.000,00"</f>
        <v>360.000,00</v>
      </c>
      <c r="L2897" s="6" t="str">
        <f>"90.000,00"</f>
        <v>90.000,00</v>
      </c>
      <c r="M2897" s="6" t="str">
        <f>"450.000,00"</f>
        <v>450.000,00</v>
      </c>
      <c r="N2897" s="5">
        <v>43396</v>
      </c>
      <c r="O2897" s="7"/>
      <c r="P2897" s="6" t="str">
        <f>"450.000,00"</f>
        <v>450.000,00</v>
      </c>
      <c r="Q2897" s="7"/>
      <c r="R2897" s="1"/>
      <c r="S2897" s="1" t="str">
        <f>"N-140-I/17"</f>
        <v>N-140-I/17</v>
      </c>
      <c r="T2897" s="2" t="s">
        <v>33</v>
      </c>
    </row>
    <row r="2898" spans="1:20" ht="38.25" x14ac:dyDescent="0.25">
      <c r="A2898" s="1">
        <v>2894</v>
      </c>
      <c r="B2898" s="1" t="str">
        <f t="shared" si="279"/>
        <v>2017-1367</v>
      </c>
      <c r="C2898" s="2" t="s">
        <v>1594</v>
      </c>
      <c r="D2898" s="1" t="s">
        <v>948</v>
      </c>
      <c r="E2898" s="3" t="str">
        <f t="shared" si="280"/>
        <v>2017/S 0F2-0026844</v>
      </c>
      <c r="F2898" s="2" t="s">
        <v>23</v>
      </c>
      <c r="G2898" s="2" t="str">
        <f>CONCATENATE("BENUSSI D. O. O.,"," FAŽANSKA CESTA 86,"," 52212 FAŽANA,"," OIB: 87971197112")</f>
        <v>BENUSSI D. O. O., FAŽANSKA CESTA 86, 52212 FAŽANA, OIB: 87971197112</v>
      </c>
      <c r="H2898" s="4"/>
      <c r="I2898" s="1" t="s">
        <v>1596</v>
      </c>
      <c r="J2898" s="1" t="s">
        <v>556</v>
      </c>
      <c r="K2898" s="6" t="str">
        <f>"945.000,00"</f>
        <v>945.000,00</v>
      </c>
      <c r="L2898" s="6" t="str">
        <f>"236.250,00"</f>
        <v>236.250,00</v>
      </c>
      <c r="M2898" s="6" t="str">
        <f>"1.181.250,00"</f>
        <v>1.181.250,00</v>
      </c>
      <c r="N2898" s="5">
        <v>43399</v>
      </c>
      <c r="O2898" s="7"/>
      <c r="P2898" s="6" t="str">
        <f>"1.181.250,00"</f>
        <v>1.181.250,00</v>
      </c>
      <c r="Q2898" s="7"/>
      <c r="R2898" s="1"/>
      <c r="S2898" s="1" t="str">
        <f>"N-140-J/17"</f>
        <v>N-140-J/17</v>
      </c>
      <c r="T2898" s="2" t="s">
        <v>33</v>
      </c>
    </row>
    <row r="2899" spans="1:20" ht="38.25" x14ac:dyDescent="0.25">
      <c r="A2899" s="1">
        <v>2895</v>
      </c>
      <c r="B2899" s="1" t="str">
        <f>"2017-2796"</f>
        <v>2017-2796</v>
      </c>
      <c r="C2899" s="2" t="s">
        <v>1597</v>
      </c>
      <c r="D2899" s="1" t="s">
        <v>152</v>
      </c>
      <c r="E2899" s="3" t="str">
        <f>"2017/S 0F2-0019465"</f>
        <v>2017/S 0F2-0019465</v>
      </c>
      <c r="F2899" s="2" t="s">
        <v>23</v>
      </c>
      <c r="G2899" s="2" t="str">
        <f>CONCATENATE("IKOM D.O.O.,"," KOVINSKA 7,"," 10090 ZAGREB-SUSEDGRAD,"," OIB: 86247075815")</f>
        <v>IKOM D.O.O., KOVINSKA 7, 10090 ZAGREB-SUSEDGRAD, OIB: 86247075815</v>
      </c>
      <c r="H2899" s="4"/>
      <c r="I2899" s="1" t="s">
        <v>1598</v>
      </c>
      <c r="J2899" s="1" t="s">
        <v>642</v>
      </c>
      <c r="K2899" s="6" t="str">
        <f>"904.800,00"</f>
        <v>904.800,00</v>
      </c>
      <c r="L2899" s="6" t="str">
        <f>"226.200,00"</f>
        <v>226.200,00</v>
      </c>
      <c r="M2899" s="6" t="str">
        <f>"1.131.000,00"</f>
        <v>1.131.000,00</v>
      </c>
      <c r="N2899" s="1" t="s">
        <v>117</v>
      </c>
      <c r="O2899" s="7"/>
      <c r="P2899" s="6" t="str">
        <f>""</f>
        <v/>
      </c>
      <c r="Q2899" s="7"/>
      <c r="R2899" s="1"/>
      <c r="S2899" s="1" t="str">
        <f>"N-141/17"</f>
        <v>N-141/17</v>
      </c>
      <c r="T2899" s="2" t="s">
        <v>538</v>
      </c>
    </row>
    <row r="2900" spans="1:20" ht="38.25" x14ac:dyDescent="0.25">
      <c r="A2900" s="1">
        <v>2896</v>
      </c>
      <c r="B2900" s="1" t="str">
        <f>"2017-2925"</f>
        <v>2017-2925</v>
      </c>
      <c r="C2900" s="2" t="s">
        <v>1599</v>
      </c>
      <c r="D2900" s="1" t="s">
        <v>1600</v>
      </c>
      <c r="E2900" s="3" t="str">
        <f>"2017/S 0F2-0025489"</f>
        <v>2017/S 0F2-0025489</v>
      </c>
      <c r="F2900" s="2" t="s">
        <v>23</v>
      </c>
      <c r="G2900" s="2" t="str">
        <f>CONCATENATE("E. K. ENERGIJA D.O.O.,"," OIB: 63606595933")</f>
        <v>E. K. ENERGIJA D.O.O., OIB: 63606595933</v>
      </c>
      <c r="H2900" s="4"/>
      <c r="I2900" s="1" t="s">
        <v>991</v>
      </c>
      <c r="J2900" s="1" t="s">
        <v>475</v>
      </c>
      <c r="K2900" s="6" t="str">
        <f>"294.398,00"</f>
        <v>294.398,00</v>
      </c>
      <c r="L2900" s="6" t="str">
        <f>"73.599,50"</f>
        <v>73.599,50</v>
      </c>
      <c r="M2900" s="6" t="str">
        <f>"367.997,50"</f>
        <v>367.997,50</v>
      </c>
      <c r="N2900" s="5">
        <v>43305</v>
      </c>
      <c r="O2900" s="7"/>
      <c r="P2900" s="6" t="str">
        <f>"367.997,50"</f>
        <v>367.997,50</v>
      </c>
      <c r="Q2900" s="7"/>
      <c r="R2900" s="1"/>
      <c r="S2900" s="1" t="str">
        <f>"N-142/17"</f>
        <v>N-142/17</v>
      </c>
      <c r="T2900" s="2" t="s">
        <v>33</v>
      </c>
    </row>
    <row r="2901" spans="1:20" ht="165.75" x14ac:dyDescent="0.25">
      <c r="A2901" s="1">
        <v>2897</v>
      </c>
      <c r="B2901" s="1" t="str">
        <f>"2017-1366"</f>
        <v>2017-1366</v>
      </c>
      <c r="C2901" s="2" t="s">
        <v>1430</v>
      </c>
      <c r="D2901" s="1" t="s">
        <v>1347</v>
      </c>
      <c r="E2901" s="3" t="str">
        <f>"2018/S 0F2-0001515"</f>
        <v>2018/S 0F2-0001515</v>
      </c>
      <c r="F2901" s="2" t="s">
        <v>23</v>
      </c>
      <c r="G2901" s="2" t="str">
        <f>CONCATENATE("UNICREDIT LEASING CROATIA D.O.O.,"," HEINZELOVA 33,"," 10000 ZAGREB,"," OIB: 187361412")</f>
        <v>UNICREDIT LEASING CROATIA D.O.O., HEINZELOVA 33, 10000 ZAGREB, OIB: 187361412</v>
      </c>
      <c r="H2901" s="1" t="str">
        <f>CONCATENATE("AUTOBUS D.O.O.,"," OIB: 77383886713")</f>
        <v>AUTOBUS D.O.O., OIB: 77383886713</v>
      </c>
      <c r="I2901" s="1" t="s">
        <v>991</v>
      </c>
      <c r="J2901" s="1" t="s">
        <v>1601</v>
      </c>
      <c r="K2901" s="6" t="str">
        <f>"6.076.296,00"</f>
        <v>6.076.296,00</v>
      </c>
      <c r="L2901" s="6" t="str">
        <f>"1.519.074,00"</f>
        <v>1.519.074,00</v>
      </c>
      <c r="M2901" s="6" t="str">
        <f>"7.595.370,00"</f>
        <v>7.595.370,00</v>
      </c>
      <c r="N2901" s="1" t="s">
        <v>117</v>
      </c>
      <c r="O2901" s="7"/>
      <c r="P2901" s="6" t="str">
        <f>""</f>
        <v/>
      </c>
      <c r="Q2901" s="7"/>
      <c r="R2901" s="20" t="s">
        <v>2391</v>
      </c>
      <c r="S2901" s="1" t="str">
        <f>"N-143/17"</f>
        <v>N-143/17</v>
      </c>
      <c r="T2901" s="2" t="s">
        <v>33</v>
      </c>
    </row>
    <row r="2902" spans="1:20" ht="38.25" x14ac:dyDescent="0.25">
      <c r="A2902" s="1">
        <v>2898</v>
      </c>
      <c r="B2902" s="1" t="str">
        <f>"2017-964"</f>
        <v>2017-964</v>
      </c>
      <c r="C2902" s="2" t="s">
        <v>1602</v>
      </c>
      <c r="D2902" s="1" t="s">
        <v>1603</v>
      </c>
      <c r="E2902" s="3" t="str">
        <f>"2017/S 0F2-0027272"</f>
        <v>2017/S 0F2-0027272</v>
      </c>
      <c r="F2902" s="2" t="s">
        <v>23</v>
      </c>
      <c r="G2902" s="2" t="str">
        <f>CONCATENATE("SHIMADZU D.O.O.,"," ZAVRTNICA 17,"," 10000 ZAGREB,"," OIB: 16214531266")</f>
        <v>SHIMADZU D.O.O., ZAVRTNICA 17, 10000 ZAGREB, OIB: 16214531266</v>
      </c>
      <c r="H2902" s="4"/>
      <c r="I2902" s="1" t="s">
        <v>1604</v>
      </c>
      <c r="J2902" s="1" t="s">
        <v>32</v>
      </c>
      <c r="K2902" s="6" t="str">
        <f>"239.900,00"</f>
        <v>239.900,00</v>
      </c>
      <c r="L2902" s="6" t="str">
        <f>"59.975,00"</f>
        <v>59.975,00</v>
      </c>
      <c r="M2902" s="6" t="str">
        <f>"299.875,00"</f>
        <v>299.875,00</v>
      </c>
      <c r="N2902" s="5">
        <v>43371</v>
      </c>
      <c r="O2902" s="7"/>
      <c r="P2902" s="6" t="str">
        <f>"299.875,00"</f>
        <v>299.875,00</v>
      </c>
      <c r="Q2902" s="7"/>
      <c r="R2902" s="1"/>
      <c r="S2902" s="1" t="str">
        <f>"N-144/17"</f>
        <v>N-144/17</v>
      </c>
      <c r="T2902" s="2" t="s">
        <v>29</v>
      </c>
    </row>
    <row r="2903" spans="1:20" ht="38.25" x14ac:dyDescent="0.25">
      <c r="A2903" s="1">
        <v>2899</v>
      </c>
      <c r="B2903" s="1" t="str">
        <f t="shared" ref="B2903:B2909" si="281">"2017-2932"</f>
        <v>2017-2932</v>
      </c>
      <c r="C2903" s="2" t="s">
        <v>1605</v>
      </c>
      <c r="D2903" s="1" t="s">
        <v>1606</v>
      </c>
      <c r="E2903" s="3" t="str">
        <f t="shared" ref="E2903:E2909" si="282">"2017/S 0F2-0027487"</f>
        <v>2017/S 0F2-0027487</v>
      </c>
      <c r="F2903" s="2" t="s">
        <v>23</v>
      </c>
      <c r="G2903" s="2" t="str">
        <f>CONCATENATE("RU - VE D.O.O.,"," UL. VLADIMIRA NAZORA 10,"," 10431 SVETA NEDELJA,"," OIB: 8847092984")</f>
        <v>RU - VE D.O.O., UL. VLADIMIRA NAZORA 10, 10431 SVETA NEDELJA, OIB: 8847092984</v>
      </c>
      <c r="H2903" s="4"/>
      <c r="I2903" s="1" t="s">
        <v>994</v>
      </c>
      <c r="J2903" s="1" t="s">
        <v>1386</v>
      </c>
      <c r="K2903" s="6" t="str">
        <f>"83.538,00"</f>
        <v>83.538,00</v>
      </c>
      <c r="L2903" s="6" t="str">
        <f>"20.884,50"</f>
        <v>20.884,50</v>
      </c>
      <c r="M2903" s="6" t="str">
        <f>"104.422,50"</f>
        <v>104.422,50</v>
      </c>
      <c r="N2903" s="5">
        <v>43378</v>
      </c>
      <c r="O2903" s="7"/>
      <c r="P2903" s="6" t="str">
        <f>"104.422,50"</f>
        <v>104.422,50</v>
      </c>
      <c r="Q2903" s="7"/>
      <c r="R2903" s="1"/>
      <c r="S2903" s="1" t="str">
        <f>"N-145-A/17"</f>
        <v>N-145-A/17</v>
      </c>
      <c r="T2903" s="2" t="s">
        <v>29</v>
      </c>
    </row>
    <row r="2904" spans="1:20" ht="38.25" x14ac:dyDescent="0.25">
      <c r="A2904" s="1">
        <v>2900</v>
      </c>
      <c r="B2904" s="1" t="str">
        <f t="shared" si="281"/>
        <v>2017-2932</v>
      </c>
      <c r="C2904" s="2" t="s">
        <v>1605</v>
      </c>
      <c r="D2904" s="1" t="s">
        <v>1606</v>
      </c>
      <c r="E2904" s="3" t="str">
        <f t="shared" si="282"/>
        <v>2017/S 0F2-0027487</v>
      </c>
      <c r="F2904" s="2" t="s">
        <v>23</v>
      </c>
      <c r="G2904" s="2" t="str">
        <f>CONCATENATE("SHIMADZU D.O.O.,"," ZAVRTNICA 17,"," 10000 ZAGREB,"," OIB: 16214531266")</f>
        <v>SHIMADZU D.O.O., ZAVRTNICA 17, 10000 ZAGREB, OIB: 16214531266</v>
      </c>
      <c r="H2904" s="4"/>
      <c r="I2904" s="1" t="s">
        <v>994</v>
      </c>
      <c r="J2904" s="1" t="s">
        <v>1386</v>
      </c>
      <c r="K2904" s="6" t="str">
        <f>"84.100,00"</f>
        <v>84.100,00</v>
      </c>
      <c r="L2904" s="6" t="str">
        <f>"21.025,00"</f>
        <v>21.025,00</v>
      </c>
      <c r="M2904" s="6" t="str">
        <f>"105.125,00"</f>
        <v>105.125,00</v>
      </c>
      <c r="N2904" s="5">
        <v>43312</v>
      </c>
      <c r="O2904" s="7"/>
      <c r="P2904" s="6" t="str">
        <f>"105.125,00"</f>
        <v>105.125,00</v>
      </c>
      <c r="Q2904" s="7"/>
      <c r="R2904" s="1"/>
      <c r="S2904" s="1" t="str">
        <f>"N-145-B/17"</f>
        <v>N-145-B/17</v>
      </c>
      <c r="T2904" s="2" t="s">
        <v>29</v>
      </c>
    </row>
    <row r="2905" spans="1:20" ht="38.25" x14ac:dyDescent="0.25">
      <c r="A2905" s="1">
        <v>2901</v>
      </c>
      <c r="B2905" s="1" t="str">
        <f t="shared" si="281"/>
        <v>2017-2932</v>
      </c>
      <c r="C2905" s="2" t="s">
        <v>1605</v>
      </c>
      <c r="D2905" s="1" t="s">
        <v>1606</v>
      </c>
      <c r="E2905" s="3" t="str">
        <f t="shared" si="282"/>
        <v>2017/S 0F2-0027487</v>
      </c>
      <c r="F2905" s="2" t="s">
        <v>23</v>
      </c>
      <c r="G2905" s="2" t="str">
        <f>CONCATENATE("HACH LANGE D.O.O.,"," IVANA SEVERA BB,"," 42000 VARAŽDIN,"," OIB: 05394150139")</f>
        <v>HACH LANGE D.O.O., IVANA SEVERA BB, 42000 VARAŽDIN, OIB: 05394150139</v>
      </c>
      <c r="H2905" s="4"/>
      <c r="I2905" s="1" t="s">
        <v>996</v>
      </c>
      <c r="J2905" s="1" t="s">
        <v>435</v>
      </c>
      <c r="K2905" s="6" t="str">
        <f>"61.703,64"</f>
        <v>61.703,64</v>
      </c>
      <c r="L2905" s="6" t="str">
        <f>"15.425,91"</f>
        <v>15.425,91</v>
      </c>
      <c r="M2905" s="6" t="str">
        <f>"77.129,55"</f>
        <v>77.129,55</v>
      </c>
      <c r="N2905" s="5">
        <v>43308</v>
      </c>
      <c r="O2905" s="7"/>
      <c r="P2905" s="6" t="str">
        <f>"77.129,55"</f>
        <v>77.129,55</v>
      </c>
      <c r="Q2905" s="7"/>
      <c r="R2905" s="1"/>
      <c r="S2905" s="1" t="str">
        <f>"N-145-C/17"</f>
        <v>N-145-C/17</v>
      </c>
      <c r="T2905" s="2" t="s">
        <v>29</v>
      </c>
    </row>
    <row r="2906" spans="1:20" ht="38.25" x14ac:dyDescent="0.25">
      <c r="A2906" s="1">
        <v>2902</v>
      </c>
      <c r="B2906" s="1" t="str">
        <f t="shared" si="281"/>
        <v>2017-2932</v>
      </c>
      <c r="C2906" s="2" t="s">
        <v>1605</v>
      </c>
      <c r="D2906" s="1" t="s">
        <v>1606</v>
      </c>
      <c r="E2906" s="3" t="str">
        <f t="shared" si="282"/>
        <v>2017/S 0F2-0027487</v>
      </c>
      <c r="F2906" s="2" t="s">
        <v>23</v>
      </c>
      <c r="G2906" s="2" t="str">
        <f>CONCATENATE("LABENA D.O.O.,"," OIB: 09146496654")</f>
        <v>LABENA D.O.O., OIB: 09146496654</v>
      </c>
      <c r="H2906" s="4"/>
      <c r="I2906" s="1" t="s">
        <v>994</v>
      </c>
      <c r="J2906" s="1" t="s">
        <v>1386</v>
      </c>
      <c r="K2906" s="6" t="str">
        <f>"39.500,00"</f>
        <v>39.500,00</v>
      </c>
      <c r="L2906" s="6" t="str">
        <f>"9.875,00"</f>
        <v>9.875,00</v>
      </c>
      <c r="M2906" s="6" t="str">
        <f>"49.375,00"</f>
        <v>49.375,00</v>
      </c>
      <c r="N2906" s="5">
        <v>43360</v>
      </c>
      <c r="O2906" s="7"/>
      <c r="P2906" s="6" t="str">
        <f>"49.375,00"</f>
        <v>49.375,00</v>
      </c>
      <c r="Q2906" s="7"/>
      <c r="R2906" s="1"/>
      <c r="S2906" s="1" t="str">
        <f>"N-145-D/17"</f>
        <v>N-145-D/17</v>
      </c>
      <c r="T2906" s="2" t="s">
        <v>29</v>
      </c>
    </row>
    <row r="2907" spans="1:20" ht="38.25" x14ac:dyDescent="0.25">
      <c r="A2907" s="1">
        <v>2903</v>
      </c>
      <c r="B2907" s="1" t="str">
        <f t="shared" si="281"/>
        <v>2017-2932</v>
      </c>
      <c r="C2907" s="2" t="s">
        <v>1605</v>
      </c>
      <c r="D2907" s="1" t="s">
        <v>1606</v>
      </c>
      <c r="E2907" s="3" t="str">
        <f t="shared" si="282"/>
        <v>2017/S 0F2-0027487</v>
      </c>
      <c r="F2907" s="2" t="s">
        <v>23</v>
      </c>
      <c r="G2907" s="2" t="str">
        <f>CONCATENATE("ASOLUTIC D.O.O.,"," KARLOVAČKA CESTA 24,"," 10000 ZAGREB,"," OIB: 74472591115")</f>
        <v>ASOLUTIC D.O.O., KARLOVAČKA CESTA 24, 10000 ZAGREB, OIB: 74472591115</v>
      </c>
      <c r="H2907" s="4"/>
      <c r="I2907" s="1" t="s">
        <v>996</v>
      </c>
      <c r="J2907" s="1" t="s">
        <v>435</v>
      </c>
      <c r="K2907" s="6" t="str">
        <f>"344.885,69"</f>
        <v>344.885,69</v>
      </c>
      <c r="L2907" s="6" t="str">
        <f>"86.221,42"</f>
        <v>86.221,42</v>
      </c>
      <c r="M2907" s="6" t="str">
        <f>"431.107,11"</f>
        <v>431.107,11</v>
      </c>
      <c r="N2907" s="5">
        <v>43404</v>
      </c>
      <c r="O2907" s="7"/>
      <c r="P2907" s="6" t="str">
        <f>"431.107,11"</f>
        <v>431.107,11</v>
      </c>
      <c r="Q2907" s="7"/>
      <c r="R2907" s="1"/>
      <c r="S2907" s="1" t="str">
        <f>"N-145-E/17"</f>
        <v>N-145-E/17</v>
      </c>
      <c r="T2907" s="2" t="s">
        <v>29</v>
      </c>
    </row>
    <row r="2908" spans="1:20" ht="38.25" x14ac:dyDescent="0.25">
      <c r="A2908" s="1">
        <v>2904</v>
      </c>
      <c r="B2908" s="1" t="str">
        <f t="shared" si="281"/>
        <v>2017-2932</v>
      </c>
      <c r="C2908" s="2" t="s">
        <v>1605</v>
      </c>
      <c r="D2908" s="1" t="s">
        <v>1606</v>
      </c>
      <c r="E2908" s="3" t="str">
        <f t="shared" si="282"/>
        <v>2017/S 0F2-0027487</v>
      </c>
      <c r="F2908" s="2" t="s">
        <v>23</v>
      </c>
      <c r="G2908" s="2" t="str">
        <f>CONCATENATE("MEDIC D.O.O.,"," TRG DRAŽENA PETROVIĆA 3,"," 10000 ZAGREB,"," OIB: 36228944903")</f>
        <v>MEDIC D.O.O., TRG DRAŽENA PETROVIĆA 3, 10000 ZAGREB, OIB: 36228944903</v>
      </c>
      <c r="H2908" s="4"/>
      <c r="I2908" s="1" t="s">
        <v>996</v>
      </c>
      <c r="J2908" s="1" t="s">
        <v>435</v>
      </c>
      <c r="K2908" s="6" t="str">
        <f>"27.345,00"</f>
        <v>27.345,00</v>
      </c>
      <c r="L2908" s="6" t="str">
        <f>"6.836,25"</f>
        <v>6.836,25</v>
      </c>
      <c r="M2908" s="6" t="str">
        <f>"34.181,25"</f>
        <v>34.181,25</v>
      </c>
      <c r="N2908" s="5">
        <v>43353</v>
      </c>
      <c r="O2908" s="7"/>
      <c r="P2908" s="6" t="str">
        <f>"34.181,25"</f>
        <v>34.181,25</v>
      </c>
      <c r="Q2908" s="7"/>
      <c r="R2908" s="1"/>
      <c r="S2908" s="1" t="str">
        <f>"N-145-F/17"</f>
        <v>N-145-F/17</v>
      </c>
      <c r="T2908" s="2" t="s">
        <v>29</v>
      </c>
    </row>
    <row r="2909" spans="1:20" ht="38.25" x14ac:dyDescent="0.25">
      <c r="A2909" s="1">
        <v>2905</v>
      </c>
      <c r="B2909" s="1" t="str">
        <f t="shared" si="281"/>
        <v>2017-2932</v>
      </c>
      <c r="C2909" s="2" t="s">
        <v>1605</v>
      </c>
      <c r="D2909" s="1" t="s">
        <v>1606</v>
      </c>
      <c r="E2909" s="3" t="str">
        <f t="shared" si="282"/>
        <v>2017/S 0F2-0027487</v>
      </c>
      <c r="F2909" s="2" t="s">
        <v>23</v>
      </c>
      <c r="G2909" s="2" t="str">
        <f>CONCATENATE("VOXA,"," OBRT ZA TRGOVINU I POSREDOVANJE,"," JOSIPA HEROVIĆA 3,"," 10430 SAMOBOR,"," OIB: 68257033904")</f>
        <v>VOXA, OBRT ZA TRGOVINU I POSREDOVANJE, JOSIPA HEROVIĆA 3, 10430 SAMOBOR, OIB: 68257033904</v>
      </c>
      <c r="H2909" s="4"/>
      <c r="I2909" s="1" t="s">
        <v>996</v>
      </c>
      <c r="J2909" s="1" t="s">
        <v>435</v>
      </c>
      <c r="K2909" s="6" t="str">
        <f>"39.907,00"</f>
        <v>39.907,00</v>
      </c>
      <c r="L2909" s="6" t="str">
        <f>"9.976,75"</f>
        <v>9.976,75</v>
      </c>
      <c r="M2909" s="6" t="str">
        <f>"49.883,75"</f>
        <v>49.883,75</v>
      </c>
      <c r="N2909" s="5">
        <v>43343</v>
      </c>
      <c r="O2909" s="7"/>
      <c r="P2909" s="6" t="str">
        <f>"49.883,75"</f>
        <v>49.883,75</v>
      </c>
      <c r="Q2909" s="7"/>
      <c r="R2909" s="1"/>
      <c r="S2909" s="1" t="str">
        <f>"N-145-G/17"</f>
        <v>N-145-G/17</v>
      </c>
      <c r="T2909" s="2" t="s">
        <v>29</v>
      </c>
    </row>
    <row r="2910" spans="1:20" ht="51" x14ac:dyDescent="0.25">
      <c r="A2910" s="1">
        <v>2906</v>
      </c>
      <c r="B2910" s="1" t="str">
        <f>"2017-345"</f>
        <v>2017-345</v>
      </c>
      <c r="C2910" s="2" t="s">
        <v>1607</v>
      </c>
      <c r="D2910" s="1" t="s">
        <v>1384</v>
      </c>
      <c r="E2910" s="3" t="str">
        <f>"2017/S 0F2-0027549"</f>
        <v>2017/S 0F2-0027549</v>
      </c>
      <c r="F2910" s="2" t="s">
        <v>23</v>
      </c>
      <c r="G2910" s="2" t="str">
        <f>CONCATENATE("HIDROEKO D.O.O.,"," STARJAK 52,"," 10257 BREZOVICA,"," OIB: 34889829677")</f>
        <v>HIDROEKO D.O.O., STARJAK 52, 10257 BREZOVICA, OIB: 34889829677</v>
      </c>
      <c r="H2910" s="4"/>
      <c r="I2910" s="1" t="s">
        <v>1608</v>
      </c>
      <c r="J2910" s="1" t="s">
        <v>1609</v>
      </c>
      <c r="K2910" s="6" t="str">
        <f>"997.000,00"</f>
        <v>997.000,00</v>
      </c>
      <c r="L2910" s="6" t="str">
        <f>"249.250,00"</f>
        <v>249.250,00</v>
      </c>
      <c r="M2910" s="6" t="str">
        <f>"1.246.250,00"</f>
        <v>1.246.250,00</v>
      </c>
      <c r="N2910" s="1" t="s">
        <v>117</v>
      </c>
      <c r="O2910" s="7"/>
      <c r="P2910" s="6" t="str">
        <f>""</f>
        <v/>
      </c>
      <c r="Q2910" s="7"/>
      <c r="R2910" s="1"/>
      <c r="S2910" s="1" t="str">
        <f>"N-146/17"</f>
        <v>N-146/17</v>
      </c>
      <c r="T2910" s="2" t="s">
        <v>29</v>
      </c>
    </row>
    <row r="2911" spans="1:20" ht="38.25" x14ac:dyDescent="0.25">
      <c r="A2911" s="1">
        <v>2907</v>
      </c>
      <c r="B2911" s="1" t="str">
        <f>"2017-2930"</f>
        <v>2017-2930</v>
      </c>
      <c r="C2911" s="2" t="s">
        <v>1610</v>
      </c>
      <c r="D2911" s="1" t="s">
        <v>1579</v>
      </c>
      <c r="E2911" s="3" t="str">
        <f>"2017/S 0F2-0027521"</f>
        <v>2017/S 0F2-0027521</v>
      </c>
      <c r="F2911" s="2" t="s">
        <v>23</v>
      </c>
      <c r="G2911" s="2" t="str">
        <f>CONCATENATE("CROATIA PUMPE NOVA D.O.O.,"," MALA ŠVARČA 155,"," 47000 KARLOVAC,"," OIB: 91122196414")</f>
        <v>CROATIA PUMPE NOVA D.O.O., MALA ŠVARČA 155, 47000 KARLOVAC, OIB: 91122196414</v>
      </c>
      <c r="H2911" s="4"/>
      <c r="I2911" s="1" t="s">
        <v>1611</v>
      </c>
      <c r="J2911" s="1" t="s">
        <v>37</v>
      </c>
      <c r="K2911" s="6" t="str">
        <f>"823.000,00"</f>
        <v>823.000,00</v>
      </c>
      <c r="L2911" s="6" t="str">
        <f>"205.750,00"</f>
        <v>205.750,00</v>
      </c>
      <c r="M2911" s="6" t="str">
        <f>"1.028.750,00"</f>
        <v>1.028.750,00</v>
      </c>
      <c r="N2911" s="5">
        <v>43507</v>
      </c>
      <c r="O2911" s="7"/>
      <c r="P2911" s="6" t="str">
        <f>"1.028.750,00"</f>
        <v>1.028.750,00</v>
      </c>
      <c r="Q2911" s="7"/>
      <c r="R2911" s="1"/>
      <c r="S2911" s="1" t="str">
        <f>"N-147/17"</f>
        <v>N-147/17</v>
      </c>
      <c r="T2911" s="2" t="s">
        <v>29</v>
      </c>
    </row>
    <row r="2912" spans="1:20" ht="165.75" x14ac:dyDescent="0.25">
      <c r="A2912" s="1">
        <v>2908</v>
      </c>
      <c r="B2912" s="1" t="str">
        <f>"2017-2851"</f>
        <v>2017-2851</v>
      </c>
      <c r="C2912" s="2" t="s">
        <v>1612</v>
      </c>
      <c r="D2912" s="1" t="s">
        <v>1347</v>
      </c>
      <c r="E2912" s="3" t="str">
        <f>"2017/S 0F2-0028081"</f>
        <v>2017/S 0F2-0028081</v>
      </c>
      <c r="F2912" s="2" t="s">
        <v>23</v>
      </c>
      <c r="G2912" s="2" t="str">
        <f>CONCATENATE("AUTOBUS D.O.O.,"," I. RESNIK 178,"," 10040 ZAGREB,"," OIB: 77383886713")</f>
        <v>AUTOBUS D.O.O., I. RESNIK 178, 10040 ZAGREB, OIB: 77383886713</v>
      </c>
      <c r="H2912" s="4"/>
      <c r="I2912" s="1" t="s">
        <v>1613</v>
      </c>
      <c r="J2912" s="1" t="s">
        <v>638</v>
      </c>
      <c r="K2912" s="6" t="str">
        <f>"562.500,00"</f>
        <v>562.500,00</v>
      </c>
      <c r="L2912" s="6" t="str">
        <f>"140.625,00"</f>
        <v>140.625,00</v>
      </c>
      <c r="M2912" s="6" t="str">
        <f>"703.125,00"</f>
        <v>703.125,00</v>
      </c>
      <c r="N2912" s="1" t="s">
        <v>117</v>
      </c>
      <c r="O2912" s="7"/>
      <c r="P2912" s="6" t="str">
        <f>""</f>
        <v/>
      </c>
      <c r="Q2912" s="7"/>
      <c r="R2912" s="20" t="s">
        <v>2391</v>
      </c>
      <c r="S2912" s="1" t="str">
        <f>"N-148-A/17"</f>
        <v>N-148-A/17</v>
      </c>
      <c r="T2912" s="2" t="s">
        <v>33</v>
      </c>
    </row>
    <row r="2913" spans="1:20" ht="165.75" x14ac:dyDescent="0.25">
      <c r="A2913" s="1">
        <v>2909</v>
      </c>
      <c r="B2913" s="1" t="str">
        <f>"2017-2851"</f>
        <v>2017-2851</v>
      </c>
      <c r="C2913" s="2" t="s">
        <v>1612</v>
      </c>
      <c r="D2913" s="1" t="s">
        <v>1347</v>
      </c>
      <c r="E2913" s="3" t="str">
        <f>"2017/S 0F2-0028081"</f>
        <v>2017/S 0F2-0028081</v>
      </c>
      <c r="F2913" s="2" t="s">
        <v>23</v>
      </c>
      <c r="G2913" s="2" t="str">
        <f>CONCATENATE("AUTO HRVATSKA PRODAJNO SERVISNI CENTRI D.O.O.,"," ZASTAVNICE 25/C,"," 10251 HRVATSKI LESKOVAC,"," OIB: 87682591133")</f>
        <v>AUTO HRVATSKA PRODAJNO SERVISNI CENTRI D.O.O., ZASTAVNICE 25/C, 10251 HRVATSKI LESKOVAC, OIB: 87682591133</v>
      </c>
      <c r="H2913" s="4"/>
      <c r="I2913" s="1" t="s">
        <v>86</v>
      </c>
      <c r="J2913" s="1" t="s">
        <v>1614</v>
      </c>
      <c r="K2913" s="6" t="str">
        <f>"1.801.800,00"</f>
        <v>1.801.800,00</v>
      </c>
      <c r="L2913" s="6" t="str">
        <f>"450.450,00"</f>
        <v>450.450,00</v>
      </c>
      <c r="M2913" s="6" t="str">
        <f>"2.252.250,00"</f>
        <v>2.252.250,00</v>
      </c>
      <c r="N2913" s="1" t="s">
        <v>117</v>
      </c>
      <c r="O2913" s="7"/>
      <c r="P2913" s="6" t="str">
        <f>""</f>
        <v/>
      </c>
      <c r="Q2913" s="7"/>
      <c r="R2913" s="20" t="s">
        <v>2391</v>
      </c>
      <c r="S2913" s="1" t="str">
        <f>"N-148-B/17"</f>
        <v>N-148-B/17</v>
      </c>
      <c r="T2913" s="2" t="s">
        <v>33</v>
      </c>
    </row>
    <row r="2914" spans="1:20" ht="165.75" x14ac:dyDescent="0.25">
      <c r="A2914" s="1">
        <v>2910</v>
      </c>
      <c r="B2914" s="1" t="str">
        <f>"2017-2851"</f>
        <v>2017-2851</v>
      </c>
      <c r="C2914" s="2" t="s">
        <v>1612</v>
      </c>
      <c r="D2914" s="1" t="s">
        <v>1347</v>
      </c>
      <c r="E2914" s="3" t="str">
        <f>"2017/S 0F2-0028081"</f>
        <v>2017/S 0F2-0028081</v>
      </c>
      <c r="F2914" s="2" t="s">
        <v>23</v>
      </c>
      <c r="G2914" s="2" t="str">
        <f>CONCATENATE("AUTO HRVATSKA PRODAJNO SERVISNI CENTRI D.O.O.,"," ZASTAVNICE 25/C,"," 10251 HRVATSKI LESKOVAC,"," OIB: 87682591133")</f>
        <v>AUTO HRVATSKA PRODAJNO SERVISNI CENTRI D.O.O., ZASTAVNICE 25/C, 10251 HRVATSKI LESKOVAC, OIB: 87682591133</v>
      </c>
      <c r="H2914" s="4"/>
      <c r="I2914" s="1" t="s">
        <v>1613</v>
      </c>
      <c r="J2914" s="1" t="s">
        <v>638</v>
      </c>
      <c r="K2914" s="6" t="str">
        <f>"8.830.000,00"</f>
        <v>8.830.000,00</v>
      </c>
      <c r="L2914" s="6" t="str">
        <f>"2.207.500,00"</f>
        <v>2.207.500,00</v>
      </c>
      <c r="M2914" s="6" t="str">
        <f>"11.037.500,00"</f>
        <v>11.037.500,00</v>
      </c>
      <c r="N2914" s="1" t="s">
        <v>117</v>
      </c>
      <c r="O2914" s="7"/>
      <c r="P2914" s="6" t="str">
        <f>""</f>
        <v/>
      </c>
      <c r="Q2914" s="7"/>
      <c r="R2914" s="20" t="s">
        <v>2391</v>
      </c>
      <c r="S2914" s="1" t="str">
        <f>"N-148-C/17"</f>
        <v>N-148-C/17</v>
      </c>
      <c r="T2914" s="2" t="s">
        <v>33</v>
      </c>
    </row>
    <row r="2915" spans="1:20" ht="51" x14ac:dyDescent="0.25">
      <c r="A2915" s="1">
        <v>2911</v>
      </c>
      <c r="B2915" s="1" t="str">
        <f>"2017-2624"</f>
        <v>2017-2624</v>
      </c>
      <c r="C2915" s="2" t="s">
        <v>1615</v>
      </c>
      <c r="D2915" s="1" t="s">
        <v>1384</v>
      </c>
      <c r="E2915" s="3" t="str">
        <f>"2017/S 0F2-0026788"</f>
        <v>2017/S 0F2-0026788</v>
      </c>
      <c r="F2915" s="2" t="s">
        <v>23</v>
      </c>
      <c r="G2915" s="2" t="str">
        <f>CONCATENATE("HIDRO UNA D.O.O.,"," JOSIPA ANIĆA 14,"," 10000 ZAGREB,"," OIB: 60109409627")</f>
        <v>HIDRO UNA D.O.O., JOSIPA ANIĆA 14, 10000 ZAGREB, OIB: 60109409627</v>
      </c>
      <c r="H2915" s="4"/>
      <c r="I2915" s="1" t="s">
        <v>1000</v>
      </c>
      <c r="J2915" s="1" t="s">
        <v>1001</v>
      </c>
      <c r="K2915" s="6" t="str">
        <f>"624.900,00"</f>
        <v>624.900,00</v>
      </c>
      <c r="L2915" s="6" t="str">
        <f>"156.225,00"</f>
        <v>156.225,00</v>
      </c>
      <c r="M2915" s="6" t="str">
        <f>"781.125,00"</f>
        <v>781.125,00</v>
      </c>
      <c r="N2915" s="1" t="s">
        <v>117</v>
      </c>
      <c r="O2915" s="7"/>
      <c r="P2915" s="6" t="str">
        <f>""</f>
        <v/>
      </c>
      <c r="Q2915" s="7"/>
      <c r="R2915" s="1"/>
      <c r="S2915" s="1" t="str">
        <f>"N-149/17"</f>
        <v>N-149/17</v>
      </c>
      <c r="T2915" s="2" t="s">
        <v>29</v>
      </c>
    </row>
    <row r="2916" spans="1:20" ht="38.25" x14ac:dyDescent="0.25">
      <c r="A2916" s="1">
        <v>2912</v>
      </c>
      <c r="B2916" s="1" t="str">
        <f t="shared" ref="B2916:B2923" si="283">"2017-506"</f>
        <v>2017-506</v>
      </c>
      <c r="C2916" s="2" t="s">
        <v>1616</v>
      </c>
      <c r="D2916" s="1" t="s">
        <v>1617</v>
      </c>
      <c r="E2916" s="3" t="str">
        <f t="shared" ref="E2916:E2923" si="284">"2017/S 0F2-0025955"</f>
        <v>2017/S 0F2-0025955</v>
      </c>
      <c r="F2916" s="2" t="s">
        <v>23</v>
      </c>
      <c r="G2916" s="2" t="str">
        <f>CONCATENATE("RO-TEHNOLOGIJA D.O.O.,"," NOVA CESTA 86,"," 51410 OPATIJA,"," OIB: 94757004774")</f>
        <v>RO-TEHNOLOGIJA D.O.O., NOVA CESTA 86, 51410 OPATIJA, OIB: 94757004774</v>
      </c>
      <c r="H2916" s="4"/>
      <c r="I2916" s="1" t="s">
        <v>505</v>
      </c>
      <c r="J2916" s="1" t="s">
        <v>46</v>
      </c>
      <c r="K2916" s="6" t="str">
        <f>"512.288,00"</f>
        <v>512.288,00</v>
      </c>
      <c r="L2916" s="6" t="str">
        <f>"128.072,00"</f>
        <v>128.072,00</v>
      </c>
      <c r="M2916" s="6" t="str">
        <f>"640.360,00"</f>
        <v>640.360,00</v>
      </c>
      <c r="N2916" s="5">
        <v>43307</v>
      </c>
      <c r="O2916" s="7"/>
      <c r="P2916" s="6" t="str">
        <f>"640.360,00"</f>
        <v>640.360,00</v>
      </c>
      <c r="Q2916" s="7"/>
      <c r="R2916" s="1"/>
      <c r="S2916" s="1" t="str">
        <f>"N-150-A/17"</f>
        <v>N-150-A/17</v>
      </c>
      <c r="T2916" s="2" t="s">
        <v>33</v>
      </c>
    </row>
    <row r="2917" spans="1:20" ht="38.25" x14ac:dyDescent="0.25">
      <c r="A2917" s="1">
        <v>2913</v>
      </c>
      <c r="B2917" s="1" t="str">
        <f t="shared" si="283"/>
        <v>2017-506</v>
      </c>
      <c r="C2917" s="2" t="s">
        <v>1616</v>
      </c>
      <c r="D2917" s="1" t="s">
        <v>1617</v>
      </c>
      <c r="E2917" s="3" t="str">
        <f t="shared" si="284"/>
        <v>2017/S 0F2-0025955</v>
      </c>
      <c r="F2917" s="2" t="s">
        <v>23</v>
      </c>
      <c r="G2917" s="2" t="str">
        <f>CONCATENATE("LAGER BAŠIĆ D.O.O.,"," TRGOVAČKA 3,"," 10255 DONJI STUPNIK,"," OIB: 49617677906")</f>
        <v>LAGER BAŠIĆ D.O.O., TRGOVAČKA 3, 10255 DONJI STUPNIK, OIB: 49617677906</v>
      </c>
      <c r="H2917" s="4"/>
      <c r="I2917" s="1" t="s">
        <v>1618</v>
      </c>
      <c r="J2917" s="1" t="s">
        <v>1619</v>
      </c>
      <c r="K2917" s="6" t="str">
        <f>"1.297.500,00"</f>
        <v>1.297.500,00</v>
      </c>
      <c r="L2917" s="6" t="str">
        <f>"324.375,00"</f>
        <v>324.375,00</v>
      </c>
      <c r="M2917" s="6" t="str">
        <f>"1.621.875,00"</f>
        <v>1.621.875,00</v>
      </c>
      <c r="N2917" s="5">
        <v>43462</v>
      </c>
      <c r="O2917" s="7"/>
      <c r="P2917" s="6" t="str">
        <f>"1.621.875,00"</f>
        <v>1.621.875,00</v>
      </c>
      <c r="Q2917" s="7"/>
      <c r="R2917" s="1"/>
      <c r="S2917" s="1" t="str">
        <f>"N-150-B/17"</f>
        <v>N-150-B/17</v>
      </c>
      <c r="T2917" s="2" t="s">
        <v>33</v>
      </c>
    </row>
    <row r="2918" spans="1:20" ht="38.25" x14ac:dyDescent="0.25">
      <c r="A2918" s="1">
        <v>2914</v>
      </c>
      <c r="B2918" s="1" t="str">
        <f t="shared" si="283"/>
        <v>2017-506</v>
      </c>
      <c r="C2918" s="2" t="s">
        <v>1616</v>
      </c>
      <c r="D2918" s="1" t="s">
        <v>1617</v>
      </c>
      <c r="E2918" s="3" t="str">
        <f t="shared" si="284"/>
        <v>2017/S 0F2-0025955</v>
      </c>
      <c r="F2918" s="2" t="s">
        <v>23</v>
      </c>
      <c r="G2918" s="2" t="str">
        <f>CONCATENATE("GRA-PO D.O.O.,"," GOSPODARSKA 5B,"," 10255 ZAGREB - STUPNIK,"," OIB: 05364995085")</f>
        <v>GRA-PO D.O.O., GOSPODARSKA 5B, 10255 ZAGREB - STUPNIK, OIB: 05364995085</v>
      </c>
      <c r="H2918" s="4"/>
      <c r="I2918" s="1" t="s">
        <v>505</v>
      </c>
      <c r="J2918" s="1" t="s">
        <v>46</v>
      </c>
      <c r="K2918" s="6" t="str">
        <f>"468.750,00"</f>
        <v>468.750,00</v>
      </c>
      <c r="L2918" s="6" t="str">
        <f>"117.187,50"</f>
        <v>117.187,50</v>
      </c>
      <c r="M2918" s="6" t="str">
        <f>"585.937,50"</f>
        <v>585.937,50</v>
      </c>
      <c r="N2918" s="5">
        <v>43413</v>
      </c>
      <c r="O2918" s="7"/>
      <c r="P2918" s="6" t="str">
        <f>"585.937,50"</f>
        <v>585.937,50</v>
      </c>
      <c r="Q2918" s="7"/>
      <c r="R2918" s="1"/>
      <c r="S2918" s="1" t="str">
        <f>"N-150-C/17"</f>
        <v>N-150-C/17</v>
      </c>
      <c r="T2918" s="2" t="s">
        <v>33</v>
      </c>
    </row>
    <row r="2919" spans="1:20" ht="38.25" x14ac:dyDescent="0.25">
      <c r="A2919" s="1">
        <v>2915</v>
      </c>
      <c r="B2919" s="1" t="str">
        <f t="shared" si="283"/>
        <v>2017-506</v>
      </c>
      <c r="C2919" s="2" t="s">
        <v>1616</v>
      </c>
      <c r="D2919" s="1" t="s">
        <v>1617</v>
      </c>
      <c r="E2919" s="3" t="str">
        <f t="shared" si="284"/>
        <v>2017/S 0F2-0025955</v>
      </c>
      <c r="F2919" s="2" t="s">
        <v>23</v>
      </c>
      <c r="G2919" s="2" t="str">
        <f>CONCATENATE("RO-TEHNOLOGIJA D.O.O.,"," NOVA CESTA 86,"," 51410 OPATIJA,"," OIB: 94757004774")</f>
        <v>RO-TEHNOLOGIJA D.O.O., NOVA CESTA 86, 51410 OPATIJA, OIB: 94757004774</v>
      </c>
      <c r="H2919" s="4"/>
      <c r="I2919" s="1" t="s">
        <v>505</v>
      </c>
      <c r="J2919" s="1" t="s">
        <v>46</v>
      </c>
      <c r="K2919" s="6" t="str">
        <f>"2.799.968,00"</f>
        <v>2.799.968,00</v>
      </c>
      <c r="L2919" s="6" t="str">
        <f>"699.992,00"</f>
        <v>699.992,00</v>
      </c>
      <c r="M2919" s="6" t="str">
        <f>"3.499.960,00"</f>
        <v>3.499.960,00</v>
      </c>
      <c r="N2919" s="5">
        <v>43307</v>
      </c>
      <c r="O2919" s="7"/>
      <c r="P2919" s="6" t="str">
        <f>"3.499.960,00"</f>
        <v>3.499.960,00</v>
      </c>
      <c r="Q2919" s="7"/>
      <c r="R2919" s="1"/>
      <c r="S2919" s="1" t="str">
        <f>"N-150-D/17"</f>
        <v>N-150-D/17</v>
      </c>
      <c r="T2919" s="2" t="s">
        <v>33</v>
      </c>
    </row>
    <row r="2920" spans="1:20" ht="38.25" x14ac:dyDescent="0.25">
      <c r="A2920" s="1">
        <v>2916</v>
      </c>
      <c r="B2920" s="1" t="str">
        <f t="shared" si="283"/>
        <v>2017-506</v>
      </c>
      <c r="C2920" s="2" t="s">
        <v>1616</v>
      </c>
      <c r="D2920" s="1" t="s">
        <v>1617</v>
      </c>
      <c r="E2920" s="3" t="str">
        <f t="shared" si="284"/>
        <v>2017/S 0F2-0025955</v>
      </c>
      <c r="F2920" s="2" t="s">
        <v>23</v>
      </c>
      <c r="G2920" s="2" t="str">
        <f>CONCATENATE("TOM SIGNAL D.O.O.,"," OGRIZOVIĆEVA 40/C,"," 10000 ZAGREB,"," OIB: 175866104")</f>
        <v>TOM SIGNAL D.O.O., OGRIZOVIĆEVA 40/C, 10000 ZAGREB, OIB: 175866104</v>
      </c>
      <c r="H2920" s="4"/>
      <c r="I2920" s="1" t="s">
        <v>505</v>
      </c>
      <c r="J2920" s="1" t="s">
        <v>46</v>
      </c>
      <c r="K2920" s="6" t="str">
        <f>"1.297.000,00"</f>
        <v>1.297.000,00</v>
      </c>
      <c r="L2920" s="6" t="str">
        <f>"324.250,00"</f>
        <v>324.250,00</v>
      </c>
      <c r="M2920" s="6" t="str">
        <f>"1.621.250,00"</f>
        <v>1.621.250,00</v>
      </c>
      <c r="N2920" s="5">
        <v>43413</v>
      </c>
      <c r="O2920" s="7"/>
      <c r="P2920" s="6" t="str">
        <f>"1.621.250,00"</f>
        <v>1.621.250,00</v>
      </c>
      <c r="Q2920" s="7"/>
      <c r="R2920" s="1"/>
      <c r="S2920" s="1" t="str">
        <f>"N-150-E/17"</f>
        <v>N-150-E/17</v>
      </c>
      <c r="T2920" s="2" t="s">
        <v>33</v>
      </c>
    </row>
    <row r="2921" spans="1:20" ht="38.25" x14ac:dyDescent="0.25">
      <c r="A2921" s="1">
        <v>2917</v>
      </c>
      <c r="B2921" s="1" t="str">
        <f t="shared" si="283"/>
        <v>2017-506</v>
      </c>
      <c r="C2921" s="2" t="s">
        <v>1616</v>
      </c>
      <c r="D2921" s="1" t="s">
        <v>1617</v>
      </c>
      <c r="E2921" s="3" t="str">
        <f t="shared" si="284"/>
        <v>2017/S 0F2-0025955</v>
      </c>
      <c r="F2921" s="2" t="s">
        <v>23</v>
      </c>
      <c r="G2921" s="2" t="str">
        <f>CONCATENATE("POLJOOPSKRBA-TEHNO D.D.,"," SAMOBORSKA 96,"," 10000 ZAGREB,"," OIB: 5372167324")</f>
        <v>POLJOOPSKRBA-TEHNO D.D., SAMOBORSKA 96, 10000 ZAGREB, OIB: 5372167324</v>
      </c>
      <c r="H2921" s="4"/>
      <c r="I2921" s="1" t="s">
        <v>505</v>
      </c>
      <c r="J2921" s="1" t="s">
        <v>46</v>
      </c>
      <c r="K2921" s="6" t="str">
        <f>"122.879,40"</f>
        <v>122.879,40</v>
      </c>
      <c r="L2921" s="6" t="str">
        <f>"30.719,85"</f>
        <v>30.719,85</v>
      </c>
      <c r="M2921" s="6" t="str">
        <f>"153.599,25"</f>
        <v>153.599,25</v>
      </c>
      <c r="N2921" s="5">
        <v>43312</v>
      </c>
      <c r="O2921" s="7"/>
      <c r="P2921" s="6" t="str">
        <f>"153.599,25"</f>
        <v>153.599,25</v>
      </c>
      <c r="Q2921" s="7"/>
      <c r="R2921" s="1"/>
      <c r="S2921" s="1" t="str">
        <f>"N-150-F/17"</f>
        <v>N-150-F/17</v>
      </c>
      <c r="T2921" s="2" t="s">
        <v>33</v>
      </c>
    </row>
    <row r="2922" spans="1:20" ht="38.25" x14ac:dyDescent="0.25">
      <c r="A2922" s="1">
        <v>2918</v>
      </c>
      <c r="B2922" s="1" t="str">
        <f t="shared" si="283"/>
        <v>2017-506</v>
      </c>
      <c r="C2922" s="2" t="s">
        <v>1616</v>
      </c>
      <c r="D2922" s="1" t="s">
        <v>1617</v>
      </c>
      <c r="E2922" s="3" t="str">
        <f t="shared" si="284"/>
        <v>2017/S 0F2-0025955</v>
      </c>
      <c r="F2922" s="2" t="s">
        <v>23</v>
      </c>
      <c r="G2922" s="2" t="str">
        <f>CONCATENATE("SCHEDA D.O.O.,"," LJUDEVITA POSAVSKOG 29,"," 10360 SESVETE,"," OIB: 76219817247")</f>
        <v>SCHEDA D.O.O., LJUDEVITA POSAVSKOG 29, 10360 SESVETE, OIB: 76219817247</v>
      </c>
      <c r="H2922" s="4"/>
      <c r="I2922" s="1" t="s">
        <v>505</v>
      </c>
      <c r="J2922" s="1" t="s">
        <v>46</v>
      </c>
      <c r="K2922" s="6" t="str">
        <f>"281.506,60"</f>
        <v>281.506,60</v>
      </c>
      <c r="L2922" s="6" t="str">
        <f>"70.376,65"</f>
        <v>70.376,65</v>
      </c>
      <c r="M2922" s="6" t="str">
        <f>"351.883,25"</f>
        <v>351.883,25</v>
      </c>
      <c r="N2922" s="5">
        <v>43347</v>
      </c>
      <c r="O2922" s="7"/>
      <c r="P2922" s="6" t="str">
        <f>"351.883,25"</f>
        <v>351.883,25</v>
      </c>
      <c r="Q2922" s="7"/>
      <c r="R2922" s="1"/>
      <c r="S2922" s="1" t="str">
        <f>"N-150-G/17"</f>
        <v>N-150-G/17</v>
      </c>
      <c r="T2922" s="2" t="s">
        <v>33</v>
      </c>
    </row>
    <row r="2923" spans="1:20" ht="38.25" x14ac:dyDescent="0.25">
      <c r="A2923" s="1">
        <v>2919</v>
      </c>
      <c r="B2923" s="1" t="str">
        <f t="shared" si="283"/>
        <v>2017-506</v>
      </c>
      <c r="C2923" s="2" t="s">
        <v>1616</v>
      </c>
      <c r="D2923" s="1" t="s">
        <v>1617</v>
      </c>
      <c r="E2923" s="3" t="str">
        <f t="shared" si="284"/>
        <v>2017/S 0F2-0025955</v>
      </c>
      <c r="F2923" s="2" t="s">
        <v>23</v>
      </c>
      <c r="G2923" s="2" t="str">
        <f>CONCATENATE("POLJOOPSKRBA-TEHNO D.D.,"," SAMOBORSKA 96,"," 10000 ZAGREB,"," OIB: 5372167324")</f>
        <v>POLJOOPSKRBA-TEHNO D.D., SAMOBORSKA 96, 10000 ZAGREB, OIB: 5372167324</v>
      </c>
      <c r="H2923" s="4"/>
      <c r="I2923" s="1" t="s">
        <v>113</v>
      </c>
      <c r="J2923" s="1" t="s">
        <v>366</v>
      </c>
      <c r="K2923" s="6" t="str">
        <f>"229.134,30"</f>
        <v>229.134,30</v>
      </c>
      <c r="L2923" s="6" t="str">
        <f>"57.283,58"</f>
        <v>57.283,58</v>
      </c>
      <c r="M2923" s="6" t="str">
        <f>"286.417,88"</f>
        <v>286.417,88</v>
      </c>
      <c r="N2923" s="5">
        <v>43335</v>
      </c>
      <c r="O2923" s="7"/>
      <c r="P2923" s="6" t="str">
        <f>"286.417,88"</f>
        <v>286.417,88</v>
      </c>
      <c r="Q2923" s="7"/>
      <c r="R2923" s="1"/>
      <c r="S2923" s="1" t="str">
        <f>"N-150-H/17"</f>
        <v>N-150-H/17</v>
      </c>
      <c r="T2923" s="2" t="s">
        <v>33</v>
      </c>
    </row>
    <row r="2924" spans="1:20" ht="204" x14ac:dyDescent="0.25">
      <c r="A2924" s="1">
        <v>2920</v>
      </c>
      <c r="B2924" s="1" t="str">
        <f t="shared" ref="B2924:B2938" si="285">"2017-2778"</f>
        <v>2017-2778</v>
      </c>
      <c r="C2924" s="2" t="s">
        <v>1620</v>
      </c>
      <c r="D2924" s="1" t="s">
        <v>1621</v>
      </c>
      <c r="E2924" s="3" t="str">
        <f t="shared" ref="E2924:E2938" si="286">"2017/S 0F2-0023205"</f>
        <v>2017/S 0F2-0023205</v>
      </c>
      <c r="F2924" s="2" t="s">
        <v>23</v>
      </c>
      <c r="G2924" s="2" t="str">
        <f>CONCATENATE("OCTUS D.O.O.,"," PRIMORSKA 2/A,"," 10000 ZAGREB,"," OIB: 10812547554")</f>
        <v>OCTUS D.O.O., PRIMORSKA 2/A, 10000 ZAGREB, OIB: 10812547554</v>
      </c>
      <c r="H2924" s="1" t="str">
        <f t="shared" ref="H2924:H2938" si="287">CONCATENATE("TT INŽENJERING D.O.O.,"," OIB: 46823703043",CHAR(10),"TERMOZOP PROJEKT D.O.O.,"," OIB: 21557490399",CHAR(10),"K-TIM D.O.O.,"," OIB: 17510171452",CHAR(10),"UZGON D.O.O.,"," OIB: 33348693009",CHAR(10),"TT INŽENJERING D.O.O.,"," OIB: 46823703043")</f>
        <v>TT INŽENJERING D.O.O., OIB: 46823703043
TERMOZOP PROJEKT D.O.O., OIB: 21557490399
K-TIM D.O.O., OIB: 17510171452
UZGON D.O.O., OIB: 33348693009
TT INŽENJERING D.O.O., OIB: 46823703043</v>
      </c>
      <c r="I2924" s="1" t="s">
        <v>454</v>
      </c>
      <c r="J2924" s="1" t="s">
        <v>418</v>
      </c>
      <c r="K2924" s="6" t="str">
        <f>"3.000,00"</f>
        <v>3.000,00</v>
      </c>
      <c r="L2924" s="6" t="str">
        <f>"750,00"</f>
        <v>750,00</v>
      </c>
      <c r="M2924" s="6" t="str">
        <f>"3.750,00"</f>
        <v>3.750,00</v>
      </c>
      <c r="N2924" s="1" t="s">
        <v>117</v>
      </c>
      <c r="O2924" s="7"/>
      <c r="P2924" s="6" t="str">
        <f>""</f>
        <v/>
      </c>
      <c r="Q2924" s="7"/>
      <c r="R2924" s="1"/>
      <c r="S2924" s="1" t="str">
        <f>"N-151-A/17"</f>
        <v>N-151-A/17</v>
      </c>
      <c r="T2924" s="2" t="s">
        <v>33</v>
      </c>
    </row>
    <row r="2925" spans="1:20" ht="204" x14ac:dyDescent="0.25">
      <c r="A2925" s="1">
        <v>2921</v>
      </c>
      <c r="B2925" s="1" t="str">
        <f t="shared" si="285"/>
        <v>2017-2778</v>
      </c>
      <c r="C2925" s="2" t="s">
        <v>1620</v>
      </c>
      <c r="D2925" s="1" t="s">
        <v>1621</v>
      </c>
      <c r="E2925" s="3" t="str">
        <f t="shared" si="286"/>
        <v>2017/S 0F2-0023205</v>
      </c>
      <c r="F2925" s="2" t="s">
        <v>23</v>
      </c>
      <c r="G2925" s="2" t="str">
        <f>CONCATENATE("OCTUS D.O.O.,"," PRIMORSKA 2/A,"," 10000 ZAGREB,"," OIB: 10812547554")</f>
        <v>OCTUS D.O.O., PRIMORSKA 2/A, 10000 ZAGREB, OIB: 10812547554</v>
      </c>
      <c r="H2925" s="1" t="str">
        <f t="shared" si="287"/>
        <v>TT INŽENJERING D.O.O., OIB: 46823703043
TERMOZOP PROJEKT D.O.O., OIB: 21557490399
K-TIM D.O.O., OIB: 17510171452
UZGON D.O.O., OIB: 33348693009
TT INŽENJERING D.O.O., OIB: 46823703043</v>
      </c>
      <c r="I2925" s="1" t="s">
        <v>454</v>
      </c>
      <c r="J2925" s="1" t="s">
        <v>418</v>
      </c>
      <c r="K2925" s="6" t="str">
        <f>"12.000,00"</f>
        <v>12.000,00</v>
      </c>
      <c r="L2925" s="6" t="str">
        <f>"3.000,00"</f>
        <v>3.000,00</v>
      </c>
      <c r="M2925" s="6" t="str">
        <f>"15.000,00"</f>
        <v>15.000,00</v>
      </c>
      <c r="N2925" s="1" t="s">
        <v>117</v>
      </c>
      <c r="O2925" s="7"/>
      <c r="P2925" s="6" t="str">
        <f>""</f>
        <v/>
      </c>
      <c r="Q2925" s="7"/>
      <c r="R2925" s="1"/>
      <c r="S2925" s="1" t="str">
        <f>"N-151-C/17"</f>
        <v>N-151-C/17</v>
      </c>
      <c r="T2925" s="2" t="s">
        <v>33</v>
      </c>
    </row>
    <row r="2926" spans="1:20" ht="204" x14ac:dyDescent="0.25">
      <c r="A2926" s="1">
        <v>2922</v>
      </c>
      <c r="B2926" s="1" t="str">
        <f t="shared" si="285"/>
        <v>2017-2778</v>
      </c>
      <c r="C2926" s="2" t="s">
        <v>1620</v>
      </c>
      <c r="D2926" s="1" t="s">
        <v>1621</v>
      </c>
      <c r="E2926" s="3" t="str">
        <f t="shared" si="286"/>
        <v>2017/S 0F2-0023205</v>
      </c>
      <c r="F2926" s="2" t="s">
        <v>23</v>
      </c>
      <c r="G2926" s="2" t="str">
        <f>CONCATENATE("3 E PROJEKTI D.O.O.,"," JOSIPOVIĆEVA 60,"," 10410 VELIKA GORICA,"," OIB: 16185960876")</f>
        <v>3 E PROJEKTI D.O.O., JOSIPOVIĆEVA 60, 10410 VELIKA GORICA, OIB: 16185960876</v>
      </c>
      <c r="H2926" s="1" t="str">
        <f t="shared" si="287"/>
        <v>TT INŽENJERING D.O.O., OIB: 46823703043
TERMOZOP PROJEKT D.O.O., OIB: 21557490399
K-TIM D.O.O., OIB: 17510171452
UZGON D.O.O., OIB: 33348693009
TT INŽENJERING D.O.O., OIB: 46823703043</v>
      </c>
      <c r="I2926" s="1" t="s">
        <v>85</v>
      </c>
      <c r="J2926" s="1" t="s">
        <v>1622</v>
      </c>
      <c r="K2926" s="6" t="str">
        <f>"69.000,00"</f>
        <v>69.000,00</v>
      </c>
      <c r="L2926" s="6" t="str">
        <f>"17.250,00"</f>
        <v>17.250,00</v>
      </c>
      <c r="M2926" s="6" t="str">
        <f>"86.250,00"</f>
        <v>86.250,00</v>
      </c>
      <c r="N2926" s="5">
        <v>43445</v>
      </c>
      <c r="O2926" s="7"/>
      <c r="P2926" s="6" t="str">
        <f>"86.250,00"</f>
        <v>86.250,00</v>
      </c>
      <c r="Q2926" s="7"/>
      <c r="R2926" s="1"/>
      <c r="S2926" s="1" t="str">
        <f>"N-151-G/17"</f>
        <v>N-151-G/17</v>
      </c>
      <c r="T2926" s="2" t="s">
        <v>33</v>
      </c>
    </row>
    <row r="2927" spans="1:20" ht="204" x14ac:dyDescent="0.25">
      <c r="A2927" s="1">
        <v>2923</v>
      </c>
      <c r="B2927" s="1" t="str">
        <f t="shared" si="285"/>
        <v>2017-2778</v>
      </c>
      <c r="C2927" s="2" t="s">
        <v>1620</v>
      </c>
      <c r="D2927" s="1" t="s">
        <v>1621</v>
      </c>
      <c r="E2927" s="3" t="str">
        <f t="shared" si="286"/>
        <v>2017/S 0F2-0023205</v>
      </c>
      <c r="F2927" s="2" t="s">
        <v>23</v>
      </c>
      <c r="G2927" s="2" t="str">
        <f>CONCATENATE("3 E PROJEKTI D.O.O.,"," JOSIPOVIĆEVA 60,"," 10410 VELIKA GORICA,"," OIB: 16185960876")</f>
        <v>3 E PROJEKTI D.O.O., JOSIPOVIĆEVA 60, 10410 VELIKA GORICA, OIB: 16185960876</v>
      </c>
      <c r="H2927" s="1" t="str">
        <f t="shared" si="287"/>
        <v>TT INŽENJERING D.O.O., OIB: 46823703043
TERMOZOP PROJEKT D.O.O., OIB: 21557490399
K-TIM D.O.O., OIB: 17510171452
UZGON D.O.O., OIB: 33348693009
TT INŽENJERING D.O.O., OIB: 46823703043</v>
      </c>
      <c r="I2927" s="1" t="s">
        <v>85</v>
      </c>
      <c r="J2927" s="1" t="s">
        <v>1622</v>
      </c>
      <c r="K2927" s="6" t="str">
        <f>"92.000,00"</f>
        <v>92.000,00</v>
      </c>
      <c r="L2927" s="6" t="str">
        <f>"23.000,00"</f>
        <v>23.000,00</v>
      </c>
      <c r="M2927" s="6" t="str">
        <f>"115.000,00"</f>
        <v>115.000,00</v>
      </c>
      <c r="N2927" s="5">
        <v>43489</v>
      </c>
      <c r="O2927" s="7"/>
      <c r="P2927" s="6" t="str">
        <f>"115.000,00"</f>
        <v>115.000,00</v>
      </c>
      <c r="Q2927" s="7"/>
      <c r="R2927" s="1"/>
      <c r="S2927" s="1" t="str">
        <f>"N-151-H/17"</f>
        <v>N-151-H/17</v>
      </c>
      <c r="T2927" s="2" t="s">
        <v>33</v>
      </c>
    </row>
    <row r="2928" spans="1:20" ht="204" x14ac:dyDescent="0.25">
      <c r="A2928" s="1">
        <v>2924</v>
      </c>
      <c r="B2928" s="1" t="str">
        <f t="shared" si="285"/>
        <v>2017-2778</v>
      </c>
      <c r="C2928" s="2" t="s">
        <v>1620</v>
      </c>
      <c r="D2928" s="1" t="s">
        <v>1621</v>
      </c>
      <c r="E2928" s="3" t="str">
        <f t="shared" si="286"/>
        <v>2017/S 0F2-0023205</v>
      </c>
      <c r="F2928" s="2" t="s">
        <v>23</v>
      </c>
      <c r="G2928" s="2" t="str">
        <f>CONCATENATE("GRADIR D.O.O.,"," SOLINSKA 19,"," 10000 ZAGREB,"," OIB: 0277638818")</f>
        <v>GRADIR D.O.O., SOLINSKA 19, 10000 ZAGREB, OIB: 0277638818</v>
      </c>
      <c r="H2928" s="1" t="str">
        <f t="shared" si="287"/>
        <v>TT INŽENJERING D.O.O., OIB: 46823703043
TERMOZOP PROJEKT D.O.O., OIB: 21557490399
K-TIM D.O.O., OIB: 17510171452
UZGON D.O.O., OIB: 33348693009
TT INŽENJERING D.O.O., OIB: 46823703043</v>
      </c>
      <c r="I2928" s="1" t="s">
        <v>85</v>
      </c>
      <c r="J2928" s="1" t="s">
        <v>1622</v>
      </c>
      <c r="K2928" s="6" t="str">
        <f>"74.000,00"</f>
        <v>74.000,00</v>
      </c>
      <c r="L2928" s="6" t="str">
        <f>"18.500,00"</f>
        <v>18.500,00</v>
      </c>
      <c r="M2928" s="6" t="str">
        <f>"92.500,00"</f>
        <v>92.500,00</v>
      </c>
      <c r="N2928" s="5">
        <v>43388</v>
      </c>
      <c r="O2928" s="7"/>
      <c r="P2928" s="6" t="str">
        <f>"92.500,00"</f>
        <v>92.500,00</v>
      </c>
      <c r="Q2928" s="7"/>
      <c r="R2928" s="1"/>
      <c r="S2928" s="1" t="str">
        <f>"N-151-I/17"</f>
        <v>N-151-I/17</v>
      </c>
      <c r="T2928" s="2" t="s">
        <v>33</v>
      </c>
    </row>
    <row r="2929" spans="1:20" ht="204" x14ac:dyDescent="0.25">
      <c r="A2929" s="1">
        <v>2925</v>
      </c>
      <c r="B2929" s="1" t="str">
        <f t="shared" si="285"/>
        <v>2017-2778</v>
      </c>
      <c r="C2929" s="2" t="s">
        <v>1620</v>
      </c>
      <c r="D2929" s="1" t="s">
        <v>1621</v>
      </c>
      <c r="E2929" s="3" t="str">
        <f t="shared" si="286"/>
        <v>2017/S 0F2-0023205</v>
      </c>
      <c r="F2929" s="2" t="s">
        <v>23</v>
      </c>
      <c r="G2929" s="2" t="str">
        <f>CONCATENATE("HIDROPLAN D.O.O.,"," HORVAĆANSKA 17A,"," 10000 ZAGREB,"," OIB: 60793646418")</f>
        <v>HIDROPLAN D.O.O., HORVAĆANSKA 17A, 10000 ZAGREB, OIB: 60793646418</v>
      </c>
      <c r="H2929" s="1" t="str">
        <f t="shared" si="287"/>
        <v>TT INŽENJERING D.O.O., OIB: 46823703043
TERMOZOP PROJEKT D.O.O., OIB: 21557490399
K-TIM D.O.O., OIB: 17510171452
UZGON D.O.O., OIB: 33348693009
TT INŽENJERING D.O.O., OIB: 46823703043</v>
      </c>
      <c r="I2929" s="1" t="s">
        <v>85</v>
      </c>
      <c r="J2929" s="1" t="s">
        <v>1622</v>
      </c>
      <c r="K2929" s="6" t="str">
        <f>"35.000,00"</f>
        <v>35.000,00</v>
      </c>
      <c r="L2929" s="6" t="str">
        <f>"8.750,00"</f>
        <v>8.750,00</v>
      </c>
      <c r="M2929" s="6" t="str">
        <f>"43.750,00"</f>
        <v>43.750,00</v>
      </c>
      <c r="N2929" s="1" t="s">
        <v>117</v>
      </c>
      <c r="O2929" s="7"/>
      <c r="P2929" s="6" t="str">
        <f>""</f>
        <v/>
      </c>
      <c r="Q2929" s="7"/>
      <c r="R2929" s="1"/>
      <c r="S2929" s="1" t="str">
        <f>"N-151-K/17"</f>
        <v>N-151-K/17</v>
      </c>
      <c r="T2929" s="2" t="s">
        <v>33</v>
      </c>
    </row>
    <row r="2930" spans="1:20" ht="204" x14ac:dyDescent="0.25">
      <c r="A2930" s="1">
        <v>2926</v>
      </c>
      <c r="B2930" s="1" t="str">
        <f t="shared" si="285"/>
        <v>2017-2778</v>
      </c>
      <c r="C2930" s="2" t="s">
        <v>1620</v>
      </c>
      <c r="D2930" s="1" t="s">
        <v>1621</v>
      </c>
      <c r="E2930" s="3" t="str">
        <f t="shared" si="286"/>
        <v>2017/S 0F2-0023205</v>
      </c>
      <c r="F2930" s="2" t="s">
        <v>23</v>
      </c>
      <c r="G2930" s="2" t="str">
        <f>CONCATENATE("HIDROPLAN D.O.O.,"," HORVAĆANSKA 17A,"," 10000 ZAGREB,"," OIB: 60793646418")</f>
        <v>HIDROPLAN D.O.O., HORVAĆANSKA 17A, 10000 ZAGREB, OIB: 60793646418</v>
      </c>
      <c r="H2930" s="1" t="str">
        <f t="shared" si="287"/>
        <v>TT INŽENJERING D.O.O., OIB: 46823703043
TERMOZOP PROJEKT D.O.O., OIB: 21557490399
K-TIM D.O.O., OIB: 17510171452
UZGON D.O.O., OIB: 33348693009
TT INŽENJERING D.O.O., OIB: 46823703043</v>
      </c>
      <c r="I2930" s="1" t="s">
        <v>85</v>
      </c>
      <c r="J2930" s="1" t="s">
        <v>1622</v>
      </c>
      <c r="K2930" s="6" t="str">
        <f>"32.000,00"</f>
        <v>32.000,00</v>
      </c>
      <c r="L2930" s="6" t="str">
        <f>"8.000,00"</f>
        <v>8.000,00</v>
      </c>
      <c r="M2930" s="6" t="str">
        <f>"40.000,00"</f>
        <v>40.000,00</v>
      </c>
      <c r="N2930" s="1" t="s">
        <v>117</v>
      </c>
      <c r="O2930" s="7"/>
      <c r="P2930" s="6" t="str">
        <f>""</f>
        <v/>
      </c>
      <c r="Q2930" s="7"/>
      <c r="R2930" s="1"/>
      <c r="S2930" s="1" t="str">
        <f>"N-151-L/17"</f>
        <v>N-151-L/17</v>
      </c>
      <c r="T2930" s="2" t="s">
        <v>33</v>
      </c>
    </row>
    <row r="2931" spans="1:20" ht="204" x14ac:dyDescent="0.25">
      <c r="A2931" s="1">
        <v>2927</v>
      </c>
      <c r="B2931" s="1" t="str">
        <f t="shared" si="285"/>
        <v>2017-2778</v>
      </c>
      <c r="C2931" s="2" t="s">
        <v>1620</v>
      </c>
      <c r="D2931" s="1" t="s">
        <v>1621</v>
      </c>
      <c r="E2931" s="3" t="str">
        <f t="shared" si="286"/>
        <v>2017/S 0F2-0023205</v>
      </c>
      <c r="F2931" s="2" t="s">
        <v>23</v>
      </c>
      <c r="G2931" s="2" t="str">
        <f>CONCATENATE("GEO-RAD D.O.O.,"," JELENJE 155,"," 51218 DRAŽICE,"," OIB: 81881137964")</f>
        <v>GEO-RAD D.O.O., JELENJE 155, 51218 DRAŽICE, OIB: 81881137964</v>
      </c>
      <c r="H2931" s="1" t="str">
        <f t="shared" si="287"/>
        <v>TT INŽENJERING D.O.O., OIB: 46823703043
TERMOZOP PROJEKT D.O.O., OIB: 21557490399
K-TIM D.O.O., OIB: 17510171452
UZGON D.O.O., OIB: 33348693009
TT INŽENJERING D.O.O., OIB: 46823703043</v>
      </c>
      <c r="I2931" s="1" t="s">
        <v>454</v>
      </c>
      <c r="J2931" s="1" t="s">
        <v>418</v>
      </c>
      <c r="K2931" s="6" t="str">
        <f>"47.900,00"</f>
        <v>47.900,00</v>
      </c>
      <c r="L2931" s="6" t="str">
        <f>"11.975,00"</f>
        <v>11.975,00</v>
      </c>
      <c r="M2931" s="6" t="str">
        <f>"59.875,00"</f>
        <v>59.875,00</v>
      </c>
      <c r="N2931" s="5">
        <v>43398</v>
      </c>
      <c r="O2931" s="7"/>
      <c r="P2931" s="6" t="str">
        <f>"59.875,00"</f>
        <v>59.875,00</v>
      </c>
      <c r="Q2931" s="7"/>
      <c r="R2931" s="1"/>
      <c r="S2931" s="1" t="str">
        <f>"N-151-M/17"</f>
        <v>N-151-M/17</v>
      </c>
      <c r="T2931" s="2" t="s">
        <v>33</v>
      </c>
    </row>
    <row r="2932" spans="1:20" ht="204" x14ac:dyDescent="0.25">
      <c r="A2932" s="1">
        <v>2928</v>
      </c>
      <c r="B2932" s="1" t="str">
        <f t="shared" si="285"/>
        <v>2017-2778</v>
      </c>
      <c r="C2932" s="2" t="s">
        <v>1620</v>
      </c>
      <c r="D2932" s="1" t="s">
        <v>1621</v>
      </c>
      <c r="E2932" s="3" t="str">
        <f t="shared" si="286"/>
        <v>2017/S 0F2-0023205</v>
      </c>
      <c r="F2932" s="2" t="s">
        <v>23</v>
      </c>
      <c r="G2932" s="2" t="str">
        <f>CONCATENATE("RAVNA CRTA D.O.O.,"," POREČKA ULICA 2,"," 10000 ZAGREB,"," OIB: 91007050927")</f>
        <v>RAVNA CRTA D.O.O., POREČKA ULICA 2, 10000 ZAGREB, OIB: 91007050927</v>
      </c>
      <c r="H2932" s="1" t="str">
        <f t="shared" si="287"/>
        <v>TT INŽENJERING D.O.O., OIB: 46823703043
TERMOZOP PROJEKT D.O.O., OIB: 21557490399
K-TIM D.O.O., OIB: 17510171452
UZGON D.O.O., OIB: 33348693009
TT INŽENJERING D.O.O., OIB: 46823703043</v>
      </c>
      <c r="I2932" s="1" t="s">
        <v>454</v>
      </c>
      <c r="J2932" s="1" t="s">
        <v>418</v>
      </c>
      <c r="K2932" s="6" t="str">
        <f>"58.500,00"</f>
        <v>58.500,00</v>
      </c>
      <c r="L2932" s="6" t="str">
        <f>"14.625,00"</f>
        <v>14.625,00</v>
      </c>
      <c r="M2932" s="6" t="str">
        <f>"73.125,00"</f>
        <v>73.125,00</v>
      </c>
      <c r="N2932" s="1"/>
      <c r="O2932" s="5">
        <v>43378</v>
      </c>
      <c r="P2932" s="6" t="str">
        <f>""</f>
        <v/>
      </c>
      <c r="Q2932" s="7"/>
      <c r="R2932" s="1"/>
      <c r="S2932" s="1" t="str">
        <f>"N-151-N/17"</f>
        <v>N-151-N/17</v>
      </c>
      <c r="T2932" s="2" t="s">
        <v>33</v>
      </c>
    </row>
    <row r="2933" spans="1:20" ht="204" x14ac:dyDescent="0.25">
      <c r="A2933" s="1">
        <v>2929</v>
      </c>
      <c r="B2933" s="1" t="str">
        <f t="shared" si="285"/>
        <v>2017-2778</v>
      </c>
      <c r="C2933" s="2" t="s">
        <v>1620</v>
      </c>
      <c r="D2933" s="1" t="s">
        <v>1621</v>
      </c>
      <c r="E2933" s="3" t="str">
        <f t="shared" si="286"/>
        <v>2017/S 0F2-0023205</v>
      </c>
      <c r="F2933" s="2" t="s">
        <v>23</v>
      </c>
      <c r="G2933" s="2" t="str">
        <f>CONCATENATE("RAVNA CRTA D.O.O.,"," POREČKA ULICA 2,"," 10000 ZAGREB,"," OIB: 91007050927")</f>
        <v>RAVNA CRTA D.O.O., POREČKA ULICA 2, 10000 ZAGREB, OIB: 91007050927</v>
      </c>
      <c r="H2933" s="1" t="str">
        <f t="shared" si="287"/>
        <v>TT INŽENJERING D.O.O., OIB: 46823703043
TERMOZOP PROJEKT D.O.O., OIB: 21557490399
K-TIM D.O.O., OIB: 17510171452
UZGON D.O.O., OIB: 33348693009
TT INŽENJERING D.O.O., OIB: 46823703043</v>
      </c>
      <c r="I2933" s="1" t="s">
        <v>454</v>
      </c>
      <c r="J2933" s="1" t="s">
        <v>418</v>
      </c>
      <c r="K2933" s="6" t="str">
        <f>"45.000,00"</f>
        <v>45.000,00</v>
      </c>
      <c r="L2933" s="6" t="str">
        <f>"11.250,00"</f>
        <v>11.250,00</v>
      </c>
      <c r="M2933" s="6" t="str">
        <f>"56.250,00"</f>
        <v>56.250,00</v>
      </c>
      <c r="N2933" s="1"/>
      <c r="O2933" s="5">
        <v>43378</v>
      </c>
      <c r="P2933" s="6" t="str">
        <f>""</f>
        <v/>
      </c>
      <c r="Q2933" s="7"/>
      <c r="R2933" s="1"/>
      <c r="S2933" s="1" t="str">
        <f>"N-151-O/17"</f>
        <v>N-151-O/17</v>
      </c>
      <c r="T2933" s="2" t="s">
        <v>33</v>
      </c>
    </row>
    <row r="2934" spans="1:20" ht="204" x14ac:dyDescent="0.25">
      <c r="A2934" s="1">
        <v>2930</v>
      </c>
      <c r="B2934" s="1" t="str">
        <f t="shared" si="285"/>
        <v>2017-2778</v>
      </c>
      <c r="C2934" s="2" t="s">
        <v>1620</v>
      </c>
      <c r="D2934" s="1" t="s">
        <v>1621</v>
      </c>
      <c r="E2934" s="3" t="str">
        <f t="shared" si="286"/>
        <v>2017/S 0F2-0023205</v>
      </c>
      <c r="F2934" s="2" t="s">
        <v>23</v>
      </c>
      <c r="G2934" s="2" t="str">
        <f>CONCATENATE("RAVNA CRTA D.O.O.,"," POREČKA ULICA 2,"," 10000 ZAGREB,"," OIB: 91007050927")</f>
        <v>RAVNA CRTA D.O.O., POREČKA ULICA 2, 10000 ZAGREB, OIB: 91007050927</v>
      </c>
      <c r="H2934" s="1" t="str">
        <f t="shared" si="287"/>
        <v>TT INŽENJERING D.O.O., OIB: 46823703043
TERMOZOP PROJEKT D.O.O., OIB: 21557490399
K-TIM D.O.O., OIB: 17510171452
UZGON D.O.O., OIB: 33348693009
TT INŽENJERING D.O.O., OIB: 46823703043</v>
      </c>
      <c r="I2934" s="1" t="s">
        <v>454</v>
      </c>
      <c r="J2934" s="1" t="s">
        <v>418</v>
      </c>
      <c r="K2934" s="6" t="str">
        <f>"31.500,00"</f>
        <v>31.500,00</v>
      </c>
      <c r="L2934" s="6" t="str">
        <f>"7.875,00"</f>
        <v>7.875,00</v>
      </c>
      <c r="M2934" s="6" t="str">
        <f>"39.375,00"</f>
        <v>39.375,00</v>
      </c>
      <c r="N2934" s="1"/>
      <c r="O2934" s="5">
        <v>43378</v>
      </c>
      <c r="P2934" s="6" t="str">
        <f>""</f>
        <v/>
      </c>
      <c r="Q2934" s="7"/>
      <c r="R2934" s="1"/>
      <c r="S2934" s="1" t="str">
        <f>"N-151-P/17"</f>
        <v>N-151-P/17</v>
      </c>
      <c r="T2934" s="2" t="s">
        <v>33</v>
      </c>
    </row>
    <row r="2935" spans="1:20" ht="204" x14ac:dyDescent="0.25">
      <c r="A2935" s="1">
        <v>2931</v>
      </c>
      <c r="B2935" s="1" t="str">
        <f t="shared" si="285"/>
        <v>2017-2778</v>
      </c>
      <c r="C2935" s="2" t="s">
        <v>1620</v>
      </c>
      <c r="D2935" s="1" t="s">
        <v>1621</v>
      </c>
      <c r="E2935" s="3" t="str">
        <f t="shared" si="286"/>
        <v>2017/S 0F2-0023205</v>
      </c>
      <c r="F2935" s="2" t="s">
        <v>23</v>
      </c>
      <c r="G2935" s="2" t="str">
        <f>CONCATENATE("GEO-RAD D.O.O.,"," JELENJE 155,"," 51218 DRAŽICE,"," OIB: 81881137964")</f>
        <v>GEO-RAD D.O.O., JELENJE 155, 51218 DRAŽICE, OIB: 81881137964</v>
      </c>
      <c r="H2935" s="1" t="str">
        <f t="shared" si="287"/>
        <v>TT INŽENJERING D.O.O., OIB: 46823703043
TERMOZOP PROJEKT D.O.O., OIB: 21557490399
K-TIM D.O.O., OIB: 17510171452
UZGON D.O.O., OIB: 33348693009
TT INŽENJERING D.O.O., OIB: 46823703043</v>
      </c>
      <c r="I2935" s="1" t="s">
        <v>85</v>
      </c>
      <c r="J2935" s="1" t="s">
        <v>1622</v>
      </c>
      <c r="K2935" s="6" t="str">
        <f>"98.000,00"</f>
        <v>98.000,00</v>
      </c>
      <c r="L2935" s="6" t="str">
        <f>"24.500,00"</f>
        <v>24.500,00</v>
      </c>
      <c r="M2935" s="6" t="str">
        <f>"122.500,00"</f>
        <v>122.500,00</v>
      </c>
      <c r="N2935" s="1" t="s">
        <v>117</v>
      </c>
      <c r="O2935" s="7"/>
      <c r="P2935" s="6" t="str">
        <f>""</f>
        <v/>
      </c>
      <c r="Q2935" s="7"/>
      <c r="R2935" s="1"/>
      <c r="S2935" s="1" t="str">
        <f>"N-151-R/17"</f>
        <v>N-151-R/17</v>
      </c>
      <c r="T2935" s="2" t="s">
        <v>33</v>
      </c>
    </row>
    <row r="2936" spans="1:20" ht="204" x14ac:dyDescent="0.25">
      <c r="A2936" s="1">
        <v>2932</v>
      </c>
      <c r="B2936" s="1" t="str">
        <f t="shared" si="285"/>
        <v>2017-2778</v>
      </c>
      <c r="C2936" s="2" t="s">
        <v>1620</v>
      </c>
      <c r="D2936" s="1" t="s">
        <v>1621</v>
      </c>
      <c r="E2936" s="3" t="str">
        <f t="shared" si="286"/>
        <v>2017/S 0F2-0023205</v>
      </c>
      <c r="F2936" s="2" t="s">
        <v>23</v>
      </c>
      <c r="G2936" s="2" t="str">
        <f>CONCATENATE("OCTUS D.O.O.,"," PRIMORSKA 2/A,"," 10000 ZAGREB,"," OIB: 10812547554")</f>
        <v>OCTUS D.O.O., PRIMORSKA 2/A, 10000 ZAGREB, OIB: 10812547554</v>
      </c>
      <c r="H2936" s="1" t="str">
        <f t="shared" si="287"/>
        <v>TT INŽENJERING D.O.O., OIB: 46823703043
TERMOZOP PROJEKT D.O.O., OIB: 21557490399
K-TIM D.O.O., OIB: 17510171452
UZGON D.O.O., OIB: 33348693009
TT INŽENJERING D.O.O., OIB: 46823703043</v>
      </c>
      <c r="I2936" s="1" t="s">
        <v>85</v>
      </c>
      <c r="J2936" s="1" t="s">
        <v>1622</v>
      </c>
      <c r="K2936" s="6" t="str">
        <f>"37.000,00"</f>
        <v>37.000,00</v>
      </c>
      <c r="L2936" s="6" t="str">
        <f>"9.250,00"</f>
        <v>9.250,00</v>
      </c>
      <c r="M2936" s="6" t="str">
        <f>"46.250,00"</f>
        <v>46.250,00</v>
      </c>
      <c r="N2936" s="1" t="s">
        <v>117</v>
      </c>
      <c r="O2936" s="7"/>
      <c r="P2936" s="6" t="str">
        <f>""</f>
        <v/>
      </c>
      <c r="Q2936" s="7"/>
      <c r="R2936" s="1"/>
      <c r="S2936" s="1" t="str">
        <f>"N-151-V/17"</f>
        <v>N-151-V/17</v>
      </c>
      <c r="T2936" s="2" t="s">
        <v>33</v>
      </c>
    </row>
    <row r="2937" spans="1:20" ht="204" x14ac:dyDescent="0.25">
      <c r="A2937" s="1">
        <v>2933</v>
      </c>
      <c r="B2937" s="1" t="str">
        <f t="shared" si="285"/>
        <v>2017-2778</v>
      </c>
      <c r="C2937" s="2" t="s">
        <v>1620</v>
      </c>
      <c r="D2937" s="1" t="s">
        <v>1621</v>
      </c>
      <c r="E2937" s="3" t="str">
        <f t="shared" si="286"/>
        <v>2017/S 0F2-0023205</v>
      </c>
      <c r="F2937" s="2" t="s">
        <v>23</v>
      </c>
      <c r="G2937" s="2" t="str">
        <f>CONCATENATE("HIDROPLAN D.O.O.,"," HORVAĆANSKA 17A,"," 10000 ZAGREB,"," OIB: 60793646418")</f>
        <v>HIDROPLAN D.O.O., HORVAĆANSKA 17A, 10000 ZAGREB, OIB: 60793646418</v>
      </c>
      <c r="H2937" s="1" t="str">
        <f t="shared" si="287"/>
        <v>TT INŽENJERING D.O.O., OIB: 46823703043
TERMOZOP PROJEKT D.O.O., OIB: 21557490399
K-TIM D.O.O., OIB: 17510171452
UZGON D.O.O., OIB: 33348693009
TT INŽENJERING D.O.O., OIB: 46823703043</v>
      </c>
      <c r="I2937" s="1" t="s">
        <v>454</v>
      </c>
      <c r="J2937" s="1" t="s">
        <v>418</v>
      </c>
      <c r="K2937" s="6" t="str">
        <f>"67.300,00"</f>
        <v>67.300,00</v>
      </c>
      <c r="L2937" s="6" t="str">
        <f>"16.825,00"</f>
        <v>16.825,00</v>
      </c>
      <c r="M2937" s="6" t="str">
        <f>"84.125,00"</f>
        <v>84.125,00</v>
      </c>
      <c r="N2937" s="1" t="s">
        <v>117</v>
      </c>
      <c r="O2937" s="7"/>
      <c r="P2937" s="6" t="str">
        <f>""</f>
        <v/>
      </c>
      <c r="Q2937" s="7"/>
      <c r="R2937" s="1"/>
      <c r="S2937" s="1" t="str">
        <f>"N-151-X/17"</f>
        <v>N-151-X/17</v>
      </c>
      <c r="T2937" s="2" t="s">
        <v>33</v>
      </c>
    </row>
    <row r="2938" spans="1:20" ht="204" x14ac:dyDescent="0.25">
      <c r="A2938" s="1">
        <v>2934</v>
      </c>
      <c r="B2938" s="1" t="str">
        <f t="shared" si="285"/>
        <v>2017-2778</v>
      </c>
      <c r="C2938" s="2" t="s">
        <v>1620</v>
      </c>
      <c r="D2938" s="1" t="s">
        <v>1621</v>
      </c>
      <c r="E2938" s="3" t="str">
        <f t="shared" si="286"/>
        <v>2017/S 0F2-0023205</v>
      </c>
      <c r="F2938" s="2" t="s">
        <v>23</v>
      </c>
      <c r="G2938" s="2" t="str">
        <f>CONCATENATE("OCTUS D.O.O.,"," PRIMORSKA 2/A,"," 10000 ZAGREB,"," OIB: 10812547554")</f>
        <v>OCTUS D.O.O., PRIMORSKA 2/A, 10000 ZAGREB, OIB: 10812547554</v>
      </c>
      <c r="H2938" s="1" t="str">
        <f t="shared" si="287"/>
        <v>TT INŽENJERING D.O.O., OIB: 46823703043
TERMOZOP PROJEKT D.O.O., OIB: 21557490399
K-TIM D.O.O., OIB: 17510171452
UZGON D.O.O., OIB: 33348693009
TT INŽENJERING D.O.O., OIB: 46823703043</v>
      </c>
      <c r="I2938" s="1" t="s">
        <v>454</v>
      </c>
      <c r="J2938" s="1" t="s">
        <v>418</v>
      </c>
      <c r="K2938" s="6" t="str">
        <f>"9.000,00"</f>
        <v>9.000,00</v>
      </c>
      <c r="L2938" s="6" t="str">
        <f>"2.250,00"</f>
        <v>2.250,00</v>
      </c>
      <c r="M2938" s="6" t="str">
        <f>"11.250,00"</f>
        <v>11.250,00</v>
      </c>
      <c r="N2938" s="1" t="s">
        <v>117</v>
      </c>
      <c r="O2938" s="7"/>
      <c r="P2938" s="6" t="str">
        <f>""</f>
        <v/>
      </c>
      <c r="Q2938" s="7"/>
      <c r="R2938" s="1"/>
      <c r="S2938" s="1" t="str">
        <f>"N-151-Z/17"</f>
        <v>N-151-Z/17</v>
      </c>
      <c r="T2938" s="2" t="s">
        <v>33</v>
      </c>
    </row>
    <row r="2939" spans="1:20" ht="38.25" x14ac:dyDescent="0.25">
      <c r="A2939" s="1">
        <v>2935</v>
      </c>
      <c r="B2939" s="1" t="str">
        <f>"2017-742"</f>
        <v>2017-742</v>
      </c>
      <c r="C2939" s="2" t="s">
        <v>1623</v>
      </c>
      <c r="D2939" s="1" t="s">
        <v>231</v>
      </c>
      <c r="E2939" s="3" t="str">
        <f>"2017/S 0F2-0025947"</f>
        <v>2017/S 0F2-0025947</v>
      </c>
      <c r="F2939" s="2" t="s">
        <v>23</v>
      </c>
      <c r="G2939" s="2" t="str">
        <f>CONCATENATE("KONČAR - KET D.D.,"," FALLEROVO ŠETALIŠTE 22,"," 10000 ZAGREB,"," OIB: 29898970552")</f>
        <v>KONČAR - KET D.D., FALLEROVO ŠETALIŠTE 22, 10000 ZAGREB, OIB: 29898970552</v>
      </c>
      <c r="H2939" s="1" t="str">
        <f>CONCATENATE("S.C.A.N. D.O.O.,"," OIB: 01462215623")</f>
        <v>S.C.A.N. D.O.O., OIB: 01462215623</v>
      </c>
      <c r="I2939" s="1" t="s">
        <v>1624</v>
      </c>
      <c r="J2939" s="1" t="s">
        <v>1625</v>
      </c>
      <c r="K2939" s="6" t="str">
        <f>"1.393.604,00"</f>
        <v>1.393.604,00</v>
      </c>
      <c r="L2939" s="6" t="str">
        <f>"348.401,00"</f>
        <v>348.401,00</v>
      </c>
      <c r="M2939" s="6" t="str">
        <f>"1.742.005,00"</f>
        <v>1.742.005,00</v>
      </c>
      <c r="N2939" s="1" t="s">
        <v>117</v>
      </c>
      <c r="O2939" s="7"/>
      <c r="P2939" s="6" t="str">
        <f>""</f>
        <v/>
      </c>
      <c r="Q2939" s="7"/>
      <c r="R2939" s="1"/>
      <c r="S2939" s="1" t="str">
        <f>"N-152/17"</f>
        <v>N-152/17</v>
      </c>
      <c r="T2939" s="2" t="s">
        <v>538</v>
      </c>
    </row>
    <row r="2940" spans="1:20" ht="229.5" x14ac:dyDescent="0.25">
      <c r="A2940" s="1">
        <v>2936</v>
      </c>
      <c r="B2940" s="1" t="str">
        <f t="shared" ref="B2940:B2945" si="288">"2017-2458"</f>
        <v>2017-2458</v>
      </c>
      <c r="C2940" s="2" t="s">
        <v>1466</v>
      </c>
      <c r="D2940" s="1" t="s">
        <v>948</v>
      </c>
      <c r="E2940" s="3" t="str">
        <f t="shared" ref="E2940:E2945" si="289">"2017/S 0F2-0028137"</f>
        <v>2017/S 0F2-0028137</v>
      </c>
      <c r="F2940" s="2" t="s">
        <v>23</v>
      </c>
      <c r="G2940" s="2" t="str">
        <f>CONCATENATE("BKS - LEASING CROATIA D.O.O.,"," IVANA LUČIĆA 2/A,"," 10000 ZAGREB,"," OIB: 52277663197")</f>
        <v>BKS - LEASING CROATIA D.O.O., IVANA LUČIĆA 2/A, 10000 ZAGREB, OIB: 52277663197</v>
      </c>
      <c r="H2940" s="1" t="str">
        <f t="shared" ref="H2940:H2945" si="290">CONCATENATE("UPGRADE D.O.O.,"," OIB: 69048614769",CHAR(10),"GRADATIN D.O.O.,"," OIB: 79147056526",CHAR(10),"GRADATIN D.O.O.,"," OIB: 79147056526",CHAR(10),"GRADATIN D.O.O.,"," OIB: 79147056526",CHAR(10),"GRADATIN D.O.O.,"," OIB: 79147056526",CHAR(10),"GRADATIN D.O.O.,"," OIB: 79147056526")</f>
        <v>UPGRADE D.O.O., OIB: 69048614769
GRADATIN D.O.O., OIB: 79147056526
GRADATIN D.O.O., OIB: 79147056526
GRADATIN D.O.O., OIB: 79147056526
GRADATIN D.O.O., OIB: 79147056526
GRADATIN D.O.O., OIB: 79147056526</v>
      </c>
      <c r="I2940" s="1" t="s">
        <v>1596</v>
      </c>
      <c r="J2940" s="1" t="s">
        <v>1626</v>
      </c>
      <c r="K2940" s="6" t="str">
        <f>"1.364.965,32"</f>
        <v>1.364.965,32</v>
      </c>
      <c r="L2940" s="6" t="str">
        <f>"341.241,33"</f>
        <v>341.241,33</v>
      </c>
      <c r="M2940" s="6" t="str">
        <f>"1.706.206,65"</f>
        <v>1.706.206,65</v>
      </c>
      <c r="N2940" s="5">
        <v>43581</v>
      </c>
      <c r="O2940" s="7"/>
      <c r="P2940" s="6" t="str">
        <f>"1.706.206,65"</f>
        <v>1.706.206,65</v>
      </c>
      <c r="Q2940" s="7"/>
      <c r="R2940" s="1"/>
      <c r="S2940" s="1" t="str">
        <f>"N-153-A/17"</f>
        <v>N-153-A/17</v>
      </c>
      <c r="T2940" s="2" t="s">
        <v>33</v>
      </c>
    </row>
    <row r="2941" spans="1:20" ht="229.5" x14ac:dyDescent="0.25">
      <c r="A2941" s="1">
        <v>2937</v>
      </c>
      <c r="B2941" s="1" t="str">
        <f t="shared" si="288"/>
        <v>2017-2458</v>
      </c>
      <c r="C2941" s="2" t="s">
        <v>1466</v>
      </c>
      <c r="D2941" s="1" t="s">
        <v>948</v>
      </c>
      <c r="E2941" s="3" t="str">
        <f t="shared" si="289"/>
        <v>2017/S 0F2-0028137</v>
      </c>
      <c r="F2941" s="2" t="s">
        <v>23</v>
      </c>
      <c r="G2941" s="2" t="str">
        <f>CONCATENATE("BKS - LEASING CROATIA D.O.O.,"," IVANA LUČIĆA 2/A,"," 10000 ZAGREB,"," OIB: 52277663197")</f>
        <v>BKS - LEASING CROATIA D.O.O., IVANA LUČIĆA 2/A, 10000 ZAGREB, OIB: 52277663197</v>
      </c>
      <c r="H2941" s="1" t="str">
        <f t="shared" si="290"/>
        <v>UPGRADE D.O.O., OIB: 69048614769
GRADATIN D.O.O., OIB: 79147056526
GRADATIN D.O.O., OIB: 79147056526
GRADATIN D.O.O., OIB: 79147056526
GRADATIN D.O.O., OIB: 79147056526
GRADATIN D.O.O., OIB: 79147056526</v>
      </c>
      <c r="I2941" s="1" t="s">
        <v>493</v>
      </c>
      <c r="J2941" s="1" t="s">
        <v>1627</v>
      </c>
      <c r="K2941" s="6" t="str">
        <f>"1.701.562,56"</f>
        <v>1.701.562,56</v>
      </c>
      <c r="L2941" s="6" t="str">
        <f>"425.390,64"</f>
        <v>425.390,64</v>
      </c>
      <c r="M2941" s="6" t="str">
        <f>"2.126.953,20"</f>
        <v>2.126.953,20</v>
      </c>
      <c r="N2941" s="1" t="s">
        <v>117</v>
      </c>
      <c r="O2941" s="7"/>
      <c r="P2941" s="6" t="str">
        <f>""</f>
        <v/>
      </c>
      <c r="Q2941" s="7"/>
      <c r="R2941" s="1"/>
      <c r="S2941" s="1" t="str">
        <f>"N-153-B/17"</f>
        <v>N-153-B/17</v>
      </c>
      <c r="T2941" s="2" t="s">
        <v>33</v>
      </c>
    </row>
    <row r="2942" spans="1:20" ht="229.5" x14ac:dyDescent="0.25">
      <c r="A2942" s="1">
        <v>2938</v>
      </c>
      <c r="B2942" s="1" t="str">
        <f t="shared" si="288"/>
        <v>2017-2458</v>
      </c>
      <c r="C2942" s="2" t="s">
        <v>1466</v>
      </c>
      <c r="D2942" s="1" t="s">
        <v>948</v>
      </c>
      <c r="E2942" s="3" t="str">
        <f t="shared" si="289"/>
        <v>2017/S 0F2-0028137</v>
      </c>
      <c r="F2942" s="2" t="s">
        <v>23</v>
      </c>
      <c r="G2942" s="2" t="str">
        <f>CONCATENATE("BKS - LEASING CROATIA D.O.O.,"," IVANA LUČIĆA 2/A,"," 10000 ZAGREB,"," OIB: 52277663197")</f>
        <v>BKS - LEASING CROATIA D.O.O., IVANA LUČIĆA 2/A, 10000 ZAGREB, OIB: 52277663197</v>
      </c>
      <c r="H2942" s="1" t="str">
        <f t="shared" si="290"/>
        <v>UPGRADE D.O.O., OIB: 69048614769
GRADATIN D.O.O., OIB: 79147056526
GRADATIN D.O.O., OIB: 79147056526
GRADATIN D.O.O., OIB: 79147056526
GRADATIN D.O.O., OIB: 79147056526
GRADATIN D.O.O., OIB: 79147056526</v>
      </c>
      <c r="I2942" s="1" t="s">
        <v>493</v>
      </c>
      <c r="J2942" s="1" t="s">
        <v>1627</v>
      </c>
      <c r="K2942" s="6" t="str">
        <f>"4.913.925,00"</f>
        <v>4.913.925,00</v>
      </c>
      <c r="L2942" s="6" t="str">
        <f>"1.228.481,25"</f>
        <v>1.228.481,25</v>
      </c>
      <c r="M2942" s="6" t="str">
        <f>"6.142.406,25"</f>
        <v>6.142.406,25</v>
      </c>
      <c r="N2942" s="1" t="s">
        <v>117</v>
      </c>
      <c r="O2942" s="7"/>
      <c r="P2942" s="6" t="str">
        <f>""</f>
        <v/>
      </c>
      <c r="Q2942" s="7"/>
      <c r="R2942" s="1"/>
      <c r="S2942" s="1" t="str">
        <f>"N-153-C/17"</f>
        <v>N-153-C/17</v>
      </c>
      <c r="T2942" s="2" t="s">
        <v>33</v>
      </c>
    </row>
    <row r="2943" spans="1:20" ht="229.5" x14ac:dyDescent="0.25">
      <c r="A2943" s="1">
        <v>2939</v>
      </c>
      <c r="B2943" s="1" t="str">
        <f t="shared" si="288"/>
        <v>2017-2458</v>
      </c>
      <c r="C2943" s="2" t="s">
        <v>1466</v>
      </c>
      <c r="D2943" s="1" t="s">
        <v>948</v>
      </c>
      <c r="E2943" s="3" t="str">
        <f t="shared" si="289"/>
        <v>2017/S 0F2-0028137</v>
      </c>
      <c r="F2943" s="2" t="s">
        <v>23</v>
      </c>
      <c r="G2943" s="2" t="str">
        <f>CONCATENATE("BKS - LEASING CROATIA D.O.O.,"," IVANA LUČIĆA 2/A,"," 10000 ZAGREB,"," OIB: 52277663197")</f>
        <v>BKS - LEASING CROATIA D.O.O., IVANA LUČIĆA 2/A, 10000 ZAGREB, OIB: 52277663197</v>
      </c>
      <c r="H2943" s="1" t="str">
        <f t="shared" si="290"/>
        <v>UPGRADE D.O.O., OIB: 69048614769
GRADATIN D.O.O., OIB: 79147056526
GRADATIN D.O.O., OIB: 79147056526
GRADATIN D.O.O., OIB: 79147056526
GRADATIN D.O.O., OIB: 79147056526
GRADATIN D.O.O., OIB: 79147056526</v>
      </c>
      <c r="I2943" s="1" t="s">
        <v>493</v>
      </c>
      <c r="J2943" s="1" t="s">
        <v>1627</v>
      </c>
      <c r="K2943" s="6" t="str">
        <f>"5.561.255,52"</f>
        <v>5.561.255,52</v>
      </c>
      <c r="L2943" s="6" t="str">
        <f>"1.390.313,88"</f>
        <v>1.390.313,88</v>
      </c>
      <c r="M2943" s="6" t="str">
        <f>"6.951.569,40"</f>
        <v>6.951.569,40</v>
      </c>
      <c r="N2943" s="1" t="s">
        <v>117</v>
      </c>
      <c r="O2943" s="7"/>
      <c r="P2943" s="6" t="str">
        <f>""</f>
        <v/>
      </c>
      <c r="Q2943" s="7"/>
      <c r="R2943" s="1"/>
      <c r="S2943" s="1" t="str">
        <f>"N-153-D/17"</f>
        <v>N-153-D/17</v>
      </c>
      <c r="T2943" s="2" t="s">
        <v>33</v>
      </c>
    </row>
    <row r="2944" spans="1:20" ht="229.5" x14ac:dyDescent="0.25">
      <c r="A2944" s="1">
        <v>2940</v>
      </c>
      <c r="B2944" s="1" t="str">
        <f t="shared" si="288"/>
        <v>2017-2458</v>
      </c>
      <c r="C2944" s="2" t="s">
        <v>1466</v>
      </c>
      <c r="D2944" s="1" t="s">
        <v>948</v>
      </c>
      <c r="E2944" s="3" t="str">
        <f t="shared" si="289"/>
        <v>2017/S 0F2-0028137</v>
      </c>
      <c r="F2944" s="2" t="s">
        <v>23</v>
      </c>
      <c r="G2944" s="2" t="str">
        <f>CONCATENATE("BKS - LEASING CROATIA D.O.O.,"," IVANA LUČIĆA 2/A,"," 10000 ZAGREB,"," OIB: 52277663197")</f>
        <v>BKS - LEASING CROATIA D.O.O., IVANA LUČIĆA 2/A, 10000 ZAGREB, OIB: 52277663197</v>
      </c>
      <c r="H2944" s="1" t="str">
        <f t="shared" si="290"/>
        <v>UPGRADE D.O.O., OIB: 69048614769
GRADATIN D.O.O., OIB: 79147056526
GRADATIN D.O.O., OIB: 79147056526
GRADATIN D.O.O., OIB: 79147056526
GRADATIN D.O.O., OIB: 79147056526
GRADATIN D.O.O., OIB: 79147056526</v>
      </c>
      <c r="I2944" s="1" t="s">
        <v>493</v>
      </c>
      <c r="J2944" s="1" t="s">
        <v>1627</v>
      </c>
      <c r="K2944" s="6" t="str">
        <f>"810.235,20"</f>
        <v>810.235,20</v>
      </c>
      <c r="L2944" s="6" t="str">
        <f>"202.558,80"</f>
        <v>202.558,80</v>
      </c>
      <c r="M2944" s="6" t="str">
        <f>"1.012.794,00"</f>
        <v>1.012.794,00</v>
      </c>
      <c r="N2944" s="1" t="s">
        <v>117</v>
      </c>
      <c r="O2944" s="7"/>
      <c r="P2944" s="6" t="str">
        <f>""</f>
        <v/>
      </c>
      <c r="Q2944" s="7"/>
      <c r="R2944" s="1"/>
      <c r="S2944" s="1" t="str">
        <f>"N-153-E/17"</f>
        <v>N-153-E/17</v>
      </c>
      <c r="T2944" s="2" t="s">
        <v>33</v>
      </c>
    </row>
    <row r="2945" spans="1:20" ht="229.5" x14ac:dyDescent="0.25">
      <c r="A2945" s="1">
        <v>2941</v>
      </c>
      <c r="B2945" s="1" t="str">
        <f t="shared" si="288"/>
        <v>2017-2458</v>
      </c>
      <c r="C2945" s="2" t="s">
        <v>1466</v>
      </c>
      <c r="D2945" s="1" t="s">
        <v>948</v>
      </c>
      <c r="E2945" s="3" t="str">
        <f t="shared" si="289"/>
        <v>2017/S 0F2-0028137</v>
      </c>
      <c r="F2945" s="2" t="s">
        <v>23</v>
      </c>
      <c r="G2945" s="2" t="str">
        <f>CONCATENATE("OTP LEASING D.D.,"," AVENUE CENTER,"," AVENIJA DUBROVNIK 16/5,"," 10000 ZAGREB,"," OIB: 23780250353")</f>
        <v>OTP LEASING D.D., AVENUE CENTER, AVENIJA DUBROVNIK 16/5, 10000 ZAGREB, OIB: 23780250353</v>
      </c>
      <c r="H2945" s="1" t="str">
        <f t="shared" si="290"/>
        <v>UPGRADE D.O.O., OIB: 69048614769
GRADATIN D.O.O., OIB: 79147056526
GRADATIN D.O.O., OIB: 79147056526
GRADATIN D.O.O., OIB: 79147056526
GRADATIN D.O.O., OIB: 79147056526
GRADATIN D.O.O., OIB: 79147056526</v>
      </c>
      <c r="I2945" s="1" t="s">
        <v>1169</v>
      </c>
      <c r="J2945" s="1" t="s">
        <v>1628</v>
      </c>
      <c r="K2945" s="6" t="str">
        <f>"1.319.057,28"</f>
        <v>1.319.057,28</v>
      </c>
      <c r="L2945" s="6" t="str">
        <f>"329.764,32"</f>
        <v>329.764,32</v>
      </c>
      <c r="M2945" s="6" t="str">
        <f>"1.648.821,60"</f>
        <v>1.648.821,60</v>
      </c>
      <c r="N2945" s="5">
        <v>43661</v>
      </c>
      <c r="O2945" s="7"/>
      <c r="P2945" s="6" t="str">
        <f>"1.648.821,60"</f>
        <v>1.648.821,60</v>
      </c>
      <c r="Q2945" s="7"/>
      <c r="R2945" s="1"/>
      <c r="S2945" s="1" t="str">
        <f>"N-153-F/17"</f>
        <v>N-153-F/17</v>
      </c>
      <c r="T2945" s="2" t="s">
        <v>33</v>
      </c>
    </row>
    <row r="2946" spans="1:20" ht="306" x14ac:dyDescent="0.25">
      <c r="A2946" s="1">
        <v>2942</v>
      </c>
      <c r="B2946" s="1" t="str">
        <f t="shared" ref="B2946:B2954" si="291">"2017-885"</f>
        <v>2017-885</v>
      </c>
      <c r="C2946" s="2" t="s">
        <v>1445</v>
      </c>
      <c r="D2946" s="1" t="s">
        <v>1351</v>
      </c>
      <c r="E2946" s="3" t="str">
        <f t="shared" ref="E2946:E2954" si="292">"2017/S 0F2-0028143"</f>
        <v>2017/S 0F2-0028143</v>
      </c>
      <c r="F2946" s="2" t="s">
        <v>23</v>
      </c>
      <c r="G2946" s="2" t="str">
        <f>CONCATENATE("ERSTE &amp; STEIERMÄRKISCHE S-LEASING D.O.O.,"," ZELINSKA 3,"," 10000 ZAGREB,"," OIB: 4655067166")</f>
        <v>ERSTE &amp; STEIERMÄRKISCHE S-LEASING D.O.O., ZELINSKA 3, 10000 ZAGREB, OIB: 4655067166</v>
      </c>
      <c r="H2946" s="1" t="str">
        <f t="shared" ref="H2946:H2954" si="293">CONCATENATE("O-K-TEH d.o.o.,"," OIB: 37322381288",CHAR(10),"GRADATIN D.O.O.,"," OIB: 79147056526",CHAR(10),"GRADATIN D.O.O.,"," OIB: 79147056526",CHAR(10),"GRADATIN D.O.O.,"," OIB: 79147056526",CHAR(10),"O-K-TEH d.o.o.,"," OIB: 37322381288",CHAR(10),"UPGRADE D.O.O.,"," OIB: 69048614769",CHAR(10),"O-K-TEH d.o.o.,"," OIB: 37322381288",CHAR(10),"O-K-TEH d.o.o.,"," OIB: 37322381288")</f>
        <v>O-K-TEH d.o.o., OIB: 37322381288
GRADATIN D.O.O., OIB: 79147056526
GRADATIN D.O.O., OIB: 79147056526
GRADATIN D.O.O., OIB: 79147056526
O-K-TEH d.o.o., OIB: 37322381288
UPGRADE D.O.O., OIB: 69048614769
O-K-TEH d.o.o., OIB: 37322381288
O-K-TEH d.o.o., OIB: 37322381288</v>
      </c>
      <c r="I2946" s="1" t="s">
        <v>331</v>
      </c>
      <c r="J2946" s="1" t="s">
        <v>1629</v>
      </c>
      <c r="K2946" s="6" t="str">
        <f>"6.047.970,48"</f>
        <v>6.047.970,48</v>
      </c>
      <c r="L2946" s="6" t="str">
        <f>"1.511.992,62"</f>
        <v>1.511.992,62</v>
      </c>
      <c r="M2946" s="6" t="str">
        <f>"7.559.963,10"</f>
        <v>7.559.963,10</v>
      </c>
      <c r="N2946" s="5">
        <v>43612</v>
      </c>
      <c r="O2946" s="7"/>
      <c r="P2946" s="6" t="str">
        <f>"7.559.963,10"</f>
        <v>7.559.963,10</v>
      </c>
      <c r="Q2946" s="7"/>
      <c r="R2946" s="1"/>
      <c r="S2946" s="1" t="str">
        <f>"N-154-A/17"</f>
        <v>N-154-A/17</v>
      </c>
      <c r="T2946" s="2" t="s">
        <v>33</v>
      </c>
    </row>
    <row r="2947" spans="1:20" ht="306" x14ac:dyDescent="0.25">
      <c r="A2947" s="1">
        <v>2943</v>
      </c>
      <c r="B2947" s="1" t="str">
        <f t="shared" si="291"/>
        <v>2017-885</v>
      </c>
      <c r="C2947" s="2" t="s">
        <v>1445</v>
      </c>
      <c r="D2947" s="1" t="s">
        <v>1351</v>
      </c>
      <c r="E2947" s="3" t="str">
        <f t="shared" si="292"/>
        <v>2017/S 0F2-0028143</v>
      </c>
      <c r="F2947" s="2" t="s">
        <v>23</v>
      </c>
      <c r="G2947" s="2" t="str">
        <f>CONCATENATE("OTP LEASING D.D.,"," AVENUE CENTER,"," AVENIJA DUBROVNIK 16/5,"," 10000 ZAGREB,"," OIB: 23780250353")</f>
        <v>OTP LEASING D.D., AVENUE CENTER, AVENIJA DUBROVNIK 16/5, 10000 ZAGREB, OIB: 23780250353</v>
      </c>
      <c r="H2947" s="1" t="str">
        <f t="shared" si="293"/>
        <v>O-K-TEH d.o.o., OIB: 37322381288
GRADATIN D.O.O., OIB: 79147056526
GRADATIN D.O.O., OIB: 79147056526
GRADATIN D.O.O., OIB: 79147056526
O-K-TEH d.o.o., OIB: 37322381288
UPGRADE D.O.O., OIB: 69048614769
O-K-TEH d.o.o., OIB: 37322381288
O-K-TEH d.o.o., OIB: 37322381288</v>
      </c>
      <c r="I2947" s="1" t="s">
        <v>331</v>
      </c>
      <c r="J2947" s="1" t="s">
        <v>1629</v>
      </c>
      <c r="K2947" s="6" t="str">
        <f>"2.236.027,20"</f>
        <v>2.236.027,20</v>
      </c>
      <c r="L2947" s="6" t="str">
        <f>"559.006,80"</f>
        <v>559.006,80</v>
      </c>
      <c r="M2947" s="6" t="str">
        <f>"2.795.034,00"</f>
        <v>2.795.034,00</v>
      </c>
      <c r="N2947" s="5">
        <v>43626</v>
      </c>
      <c r="O2947" s="7"/>
      <c r="P2947" s="6" t="str">
        <f>"2.795.034,00"</f>
        <v>2.795.034,00</v>
      </c>
      <c r="Q2947" s="7"/>
      <c r="R2947" s="1"/>
      <c r="S2947" s="1" t="str">
        <f>"N-154-B/17"</f>
        <v>N-154-B/17</v>
      </c>
      <c r="T2947" s="2" t="s">
        <v>33</v>
      </c>
    </row>
    <row r="2948" spans="1:20" ht="306" x14ac:dyDescent="0.25">
      <c r="A2948" s="1">
        <v>2944</v>
      </c>
      <c r="B2948" s="1" t="str">
        <f t="shared" si="291"/>
        <v>2017-885</v>
      </c>
      <c r="C2948" s="2" t="s">
        <v>1445</v>
      </c>
      <c r="D2948" s="1" t="s">
        <v>1351</v>
      </c>
      <c r="E2948" s="3" t="str">
        <f t="shared" si="292"/>
        <v>2017/S 0F2-0028143</v>
      </c>
      <c r="F2948" s="2" t="s">
        <v>23</v>
      </c>
      <c r="G2948" s="2" t="str">
        <f>CONCATENATE("OTP LEASING D.D.,"," AVENUE CENTER,"," AVENIJA DUBROVNIK 16/5,"," 10000 ZAGREB,"," OIB: 23780250353")</f>
        <v>OTP LEASING D.D., AVENUE CENTER, AVENIJA DUBROVNIK 16/5, 10000 ZAGREB, OIB: 23780250353</v>
      </c>
      <c r="H2948" s="1" t="str">
        <f t="shared" si="293"/>
        <v>O-K-TEH d.o.o., OIB: 37322381288
GRADATIN D.O.O., OIB: 79147056526
GRADATIN D.O.O., OIB: 79147056526
GRADATIN D.O.O., OIB: 79147056526
O-K-TEH d.o.o., OIB: 37322381288
UPGRADE D.O.O., OIB: 69048614769
O-K-TEH d.o.o., OIB: 37322381288
O-K-TEH d.o.o., OIB: 37322381288</v>
      </c>
      <c r="I2948" s="1" t="s">
        <v>331</v>
      </c>
      <c r="J2948" s="1" t="s">
        <v>1629</v>
      </c>
      <c r="K2948" s="6" t="str">
        <f>"4.854.397,44"</f>
        <v>4.854.397,44</v>
      </c>
      <c r="L2948" s="6" t="str">
        <f>"1.213.599,36"</f>
        <v>1.213.599,36</v>
      </c>
      <c r="M2948" s="6" t="str">
        <f>"6.067.996,80"</f>
        <v>6.067.996,80</v>
      </c>
      <c r="N2948" s="5">
        <v>43627</v>
      </c>
      <c r="O2948" s="7"/>
      <c r="P2948" s="6" t="str">
        <f>"6.067.996,80"</f>
        <v>6.067.996,80</v>
      </c>
      <c r="Q2948" s="7"/>
      <c r="R2948" s="1"/>
      <c r="S2948" s="1" t="str">
        <f>"N-154-C/17"</f>
        <v>N-154-C/17</v>
      </c>
      <c r="T2948" s="2" t="s">
        <v>33</v>
      </c>
    </row>
    <row r="2949" spans="1:20" ht="306" x14ac:dyDescent="0.25">
      <c r="A2949" s="1">
        <v>2945</v>
      </c>
      <c r="B2949" s="1" t="str">
        <f t="shared" si="291"/>
        <v>2017-885</v>
      </c>
      <c r="C2949" s="2" t="s">
        <v>1445</v>
      </c>
      <c r="D2949" s="1" t="s">
        <v>1351</v>
      </c>
      <c r="E2949" s="3" t="str">
        <f t="shared" si="292"/>
        <v>2017/S 0F2-0028143</v>
      </c>
      <c r="F2949" s="2" t="s">
        <v>23</v>
      </c>
      <c r="G2949" s="2" t="str">
        <f>CONCATENATE("ERSTE &amp; STEIERMÄRKISCHE S-LEASING D.O.O.,"," ZELINSKA 3,"," 10000 ZAGREB,"," OIB: 4655067166")</f>
        <v>ERSTE &amp; STEIERMÄRKISCHE S-LEASING D.O.O., ZELINSKA 3, 10000 ZAGREB, OIB: 4655067166</v>
      </c>
      <c r="H2949" s="1" t="str">
        <f t="shared" si="293"/>
        <v>O-K-TEH d.o.o., OIB: 37322381288
GRADATIN D.O.O., OIB: 79147056526
GRADATIN D.O.O., OIB: 79147056526
GRADATIN D.O.O., OIB: 79147056526
O-K-TEH d.o.o., OIB: 37322381288
UPGRADE D.O.O., OIB: 69048614769
O-K-TEH d.o.o., OIB: 37322381288
O-K-TEH d.o.o., OIB: 37322381288</v>
      </c>
      <c r="I2949" s="1" t="s">
        <v>210</v>
      </c>
      <c r="J2949" s="1" t="s">
        <v>1630</v>
      </c>
      <c r="K2949" s="6" t="str">
        <f>"5.200.360,80"</f>
        <v>5.200.360,80</v>
      </c>
      <c r="L2949" s="6" t="str">
        <f>"1.300.090,20"</f>
        <v>1.300.090,20</v>
      </c>
      <c r="M2949" s="6" t="str">
        <f>"6.500.451,00"</f>
        <v>6.500.451,00</v>
      </c>
      <c r="N2949" s="5">
        <v>43676</v>
      </c>
      <c r="O2949" s="7"/>
      <c r="P2949" s="6" t="str">
        <f>"6.500.451,00"</f>
        <v>6.500.451,00</v>
      </c>
      <c r="Q2949" s="7"/>
      <c r="R2949" s="1"/>
      <c r="S2949" s="1" t="str">
        <f>"N-154-D/17"</f>
        <v>N-154-D/17</v>
      </c>
      <c r="T2949" s="2" t="s">
        <v>33</v>
      </c>
    </row>
    <row r="2950" spans="1:20" ht="306" x14ac:dyDescent="0.25">
      <c r="A2950" s="1">
        <v>2946</v>
      </c>
      <c r="B2950" s="1" t="str">
        <f t="shared" si="291"/>
        <v>2017-885</v>
      </c>
      <c r="C2950" s="2" t="s">
        <v>1445</v>
      </c>
      <c r="D2950" s="1" t="s">
        <v>1351</v>
      </c>
      <c r="E2950" s="3" t="str">
        <f t="shared" si="292"/>
        <v>2017/S 0F2-0028143</v>
      </c>
      <c r="F2950" s="2" t="s">
        <v>23</v>
      </c>
      <c r="G2950" s="2" t="str">
        <f>CONCATENATE("ERSTE &amp; STEIERMÄRKISCHE S-LEASING D.O.O.,"," ZELINSKA 3,"," 10000 ZAGREB,"," OIB: 4655067166")</f>
        <v>ERSTE &amp; STEIERMÄRKISCHE S-LEASING D.O.O., ZELINSKA 3, 10000 ZAGREB, OIB: 4655067166</v>
      </c>
      <c r="H2950" s="1" t="str">
        <f t="shared" si="293"/>
        <v>O-K-TEH d.o.o., OIB: 37322381288
GRADATIN D.O.O., OIB: 79147056526
GRADATIN D.O.O., OIB: 79147056526
GRADATIN D.O.O., OIB: 79147056526
O-K-TEH d.o.o., OIB: 37322381288
UPGRADE D.O.O., OIB: 69048614769
O-K-TEH d.o.o., OIB: 37322381288
O-K-TEH d.o.o., OIB: 37322381288</v>
      </c>
      <c r="I2950" s="1" t="s">
        <v>331</v>
      </c>
      <c r="J2950" s="1" t="s">
        <v>1629</v>
      </c>
      <c r="K2950" s="6" t="str">
        <f>"1.476.032,52"</f>
        <v>1.476.032,52</v>
      </c>
      <c r="L2950" s="6" t="str">
        <f>"369.008,13"</f>
        <v>369.008,13</v>
      </c>
      <c r="M2950" s="6" t="str">
        <f>"1.845.040,65"</f>
        <v>1.845.040,65</v>
      </c>
      <c r="N2950" s="5">
        <v>43612</v>
      </c>
      <c r="O2950" s="7"/>
      <c r="P2950" s="6" t="str">
        <f>"1.845.040,65"</f>
        <v>1.845.040,65</v>
      </c>
      <c r="Q2950" s="7"/>
      <c r="R2950" s="1"/>
      <c r="S2950" s="1" t="str">
        <f>"N-154-E/17"</f>
        <v>N-154-E/17</v>
      </c>
      <c r="T2950" s="2" t="s">
        <v>33</v>
      </c>
    </row>
    <row r="2951" spans="1:20" ht="306" x14ac:dyDescent="0.25">
      <c r="A2951" s="1">
        <v>2947</v>
      </c>
      <c r="B2951" s="1" t="str">
        <f t="shared" si="291"/>
        <v>2017-885</v>
      </c>
      <c r="C2951" s="2" t="s">
        <v>1445</v>
      </c>
      <c r="D2951" s="1" t="s">
        <v>1351</v>
      </c>
      <c r="E2951" s="3" t="str">
        <f t="shared" si="292"/>
        <v>2017/S 0F2-0028143</v>
      </c>
      <c r="F2951" s="2" t="s">
        <v>23</v>
      </c>
      <c r="G2951" s="2" t="str">
        <f>CONCATENATE("UNICREDIT LEASING CROATIA D.O.O.,"," HEINZELOVA 33,"," 10000 ZAGREB,"," OIB: 187361412")</f>
        <v>UNICREDIT LEASING CROATIA D.O.O., HEINZELOVA 33, 10000 ZAGREB, OIB: 187361412</v>
      </c>
      <c r="H2951" s="1" t="str">
        <f t="shared" si="293"/>
        <v>O-K-TEH d.o.o., OIB: 37322381288
GRADATIN D.O.O., OIB: 79147056526
GRADATIN D.O.O., OIB: 79147056526
GRADATIN D.O.O., OIB: 79147056526
O-K-TEH d.o.o., OIB: 37322381288
UPGRADE D.O.O., OIB: 69048614769
O-K-TEH d.o.o., OIB: 37322381288
O-K-TEH d.o.o., OIB: 37322381288</v>
      </c>
      <c r="I2951" s="1" t="s">
        <v>331</v>
      </c>
      <c r="J2951" s="1" t="s">
        <v>1629</v>
      </c>
      <c r="K2951" s="6" t="str">
        <f>"519.352,32"</f>
        <v>519.352,32</v>
      </c>
      <c r="L2951" s="6" t="str">
        <f>"129.838,08"</f>
        <v>129.838,08</v>
      </c>
      <c r="M2951" s="6" t="str">
        <f>"649.190,40"</f>
        <v>649.190,40</v>
      </c>
      <c r="N2951" s="5">
        <v>43619</v>
      </c>
      <c r="O2951" s="7"/>
      <c r="P2951" s="6" t="str">
        <f>"649.190,40"</f>
        <v>649.190,40</v>
      </c>
      <c r="Q2951" s="7"/>
      <c r="R2951" s="1"/>
      <c r="S2951" s="1" t="str">
        <f>"N-154-F/17"</f>
        <v>N-154-F/17</v>
      </c>
      <c r="T2951" s="2" t="s">
        <v>33</v>
      </c>
    </row>
    <row r="2952" spans="1:20" ht="306" x14ac:dyDescent="0.25">
      <c r="A2952" s="1">
        <v>2948</v>
      </c>
      <c r="B2952" s="1" t="str">
        <f t="shared" si="291"/>
        <v>2017-885</v>
      </c>
      <c r="C2952" s="2" t="s">
        <v>1445</v>
      </c>
      <c r="D2952" s="1" t="s">
        <v>1351</v>
      </c>
      <c r="E2952" s="3" t="str">
        <f t="shared" si="292"/>
        <v>2017/S 0F2-0028143</v>
      </c>
      <c r="F2952" s="2" t="s">
        <v>23</v>
      </c>
      <c r="G2952" s="2" t="str">
        <f>CONCATENATE("UNICREDIT LEASING CROATIA D.O.O.,"," HEINZELOVA 33,"," 10000 ZAGREB,"," OIB: 187361412")</f>
        <v>UNICREDIT LEASING CROATIA D.O.O., HEINZELOVA 33, 10000 ZAGREB, OIB: 187361412</v>
      </c>
      <c r="H2952" s="1" t="str">
        <f t="shared" si="293"/>
        <v>O-K-TEH d.o.o., OIB: 37322381288
GRADATIN D.O.O., OIB: 79147056526
GRADATIN D.O.O., OIB: 79147056526
GRADATIN D.O.O., OIB: 79147056526
O-K-TEH d.o.o., OIB: 37322381288
UPGRADE D.O.O., OIB: 69048614769
O-K-TEH d.o.o., OIB: 37322381288
O-K-TEH d.o.o., OIB: 37322381288</v>
      </c>
      <c r="I2952" s="1" t="s">
        <v>331</v>
      </c>
      <c r="J2952" s="1" t="s">
        <v>1629</v>
      </c>
      <c r="K2952" s="6" t="str">
        <f>"1.529.503,20"</f>
        <v>1.529.503,20</v>
      </c>
      <c r="L2952" s="6" t="str">
        <f>"382.375,80"</f>
        <v>382.375,80</v>
      </c>
      <c r="M2952" s="6" t="str">
        <f>"1.911.879,00"</f>
        <v>1.911.879,00</v>
      </c>
      <c r="N2952" s="5">
        <v>43588</v>
      </c>
      <c r="O2952" s="7"/>
      <c r="P2952" s="6" t="str">
        <f>"1.911.879,00"</f>
        <v>1.911.879,00</v>
      </c>
      <c r="Q2952" s="7"/>
      <c r="R2952" s="1"/>
      <c r="S2952" s="1" t="str">
        <f>"N-154-G/17"</f>
        <v>N-154-G/17</v>
      </c>
      <c r="T2952" s="2" t="s">
        <v>33</v>
      </c>
    </row>
    <row r="2953" spans="1:20" ht="306" x14ac:dyDescent="0.25">
      <c r="A2953" s="1">
        <v>2949</v>
      </c>
      <c r="B2953" s="1" t="str">
        <f t="shared" si="291"/>
        <v>2017-885</v>
      </c>
      <c r="C2953" s="2" t="s">
        <v>1445</v>
      </c>
      <c r="D2953" s="1" t="s">
        <v>1351</v>
      </c>
      <c r="E2953" s="3" t="str">
        <f t="shared" si="292"/>
        <v>2017/S 0F2-0028143</v>
      </c>
      <c r="F2953" s="2" t="s">
        <v>23</v>
      </c>
      <c r="G2953" s="2" t="str">
        <f>CONCATENATE("ERSTE &amp; STEIERMÄRKISCHE S-LEASING D.O.O.,"," ZELINSKA 3,"," 10000 ZAGREB,"," OIB: 4655067166")</f>
        <v>ERSTE &amp; STEIERMÄRKISCHE S-LEASING D.O.O., ZELINSKA 3, 10000 ZAGREB, OIB: 4655067166</v>
      </c>
      <c r="H2953" s="1" t="str">
        <f t="shared" si="293"/>
        <v>O-K-TEH d.o.o., OIB: 37322381288
GRADATIN D.O.O., OIB: 79147056526
GRADATIN D.O.O., OIB: 79147056526
GRADATIN D.O.O., OIB: 79147056526
O-K-TEH d.o.o., OIB: 37322381288
UPGRADE D.O.O., OIB: 69048614769
O-K-TEH d.o.o., OIB: 37322381288
O-K-TEH d.o.o., OIB: 37322381288</v>
      </c>
      <c r="I2953" s="1" t="s">
        <v>331</v>
      </c>
      <c r="J2953" s="1" t="s">
        <v>1629</v>
      </c>
      <c r="K2953" s="6" t="str">
        <f>"765.839,76"</f>
        <v>765.839,76</v>
      </c>
      <c r="L2953" s="6" t="str">
        <f>"191.459,94"</f>
        <v>191.459,94</v>
      </c>
      <c r="M2953" s="6" t="str">
        <f>"957.299,70"</f>
        <v>957.299,70</v>
      </c>
      <c r="N2953" s="5">
        <v>43585</v>
      </c>
      <c r="O2953" s="7"/>
      <c r="P2953" s="6" t="str">
        <f>"957.299,70"</f>
        <v>957.299,70</v>
      </c>
      <c r="Q2953" s="7"/>
      <c r="R2953" s="1"/>
      <c r="S2953" s="1" t="str">
        <f>"N-154-H/17"</f>
        <v>N-154-H/17</v>
      </c>
      <c r="T2953" s="2" t="s">
        <v>33</v>
      </c>
    </row>
    <row r="2954" spans="1:20" ht="306" x14ac:dyDescent="0.25">
      <c r="A2954" s="1">
        <v>2950</v>
      </c>
      <c r="B2954" s="1" t="str">
        <f t="shared" si="291"/>
        <v>2017-885</v>
      </c>
      <c r="C2954" s="2" t="s">
        <v>1445</v>
      </c>
      <c r="D2954" s="1" t="s">
        <v>1351</v>
      </c>
      <c r="E2954" s="3" t="str">
        <f t="shared" si="292"/>
        <v>2017/S 0F2-0028143</v>
      </c>
      <c r="F2954" s="2" t="s">
        <v>23</v>
      </c>
      <c r="G2954" s="2" t="str">
        <f>CONCATENATE("ERSTE &amp; STEIERMÄRKISCHE S-LEASING D.O.O.,"," ZELINSKA 3,"," 10000 ZAGREB,"," OIB: 4655067166")</f>
        <v>ERSTE &amp; STEIERMÄRKISCHE S-LEASING D.O.O., ZELINSKA 3, 10000 ZAGREB, OIB: 4655067166</v>
      </c>
      <c r="H2954" s="1" t="str">
        <f t="shared" si="293"/>
        <v>O-K-TEH d.o.o., OIB: 37322381288
GRADATIN D.O.O., OIB: 79147056526
GRADATIN D.O.O., OIB: 79147056526
GRADATIN D.O.O., OIB: 79147056526
O-K-TEH d.o.o., OIB: 37322381288
UPGRADE D.O.O., OIB: 69048614769
O-K-TEH d.o.o., OIB: 37322381288
O-K-TEH d.o.o., OIB: 37322381288</v>
      </c>
      <c r="I2954" s="1" t="s">
        <v>331</v>
      </c>
      <c r="J2954" s="1" t="s">
        <v>1629</v>
      </c>
      <c r="K2954" s="6" t="str">
        <f>"1.147.030,80"</f>
        <v>1.147.030,80</v>
      </c>
      <c r="L2954" s="6" t="str">
        <f>"286.757,70"</f>
        <v>286.757,70</v>
      </c>
      <c r="M2954" s="6" t="str">
        <f>"1.433.788,50"</f>
        <v>1.433.788,50</v>
      </c>
      <c r="N2954" s="5">
        <v>43585</v>
      </c>
      <c r="O2954" s="7"/>
      <c r="P2954" s="6" t="str">
        <f>"1.433.788,50"</f>
        <v>1.433.788,50</v>
      </c>
      <c r="Q2954" s="7"/>
      <c r="R2954" s="1"/>
      <c r="S2954" s="1" t="str">
        <f>"N-154-I/17"</f>
        <v>N-154-I/17</v>
      </c>
      <c r="T2954" s="2" t="s">
        <v>33</v>
      </c>
    </row>
    <row r="2955" spans="1:20" ht="63.75" x14ac:dyDescent="0.25">
      <c r="A2955" s="1">
        <v>2951</v>
      </c>
      <c r="B2955" s="1" t="str">
        <f>"2018-1415"</f>
        <v>2018-1415</v>
      </c>
      <c r="C2955" s="2" t="s">
        <v>1631</v>
      </c>
      <c r="D2955" s="1" t="s">
        <v>786</v>
      </c>
      <c r="E2955" s="3" t="str">
        <f>""</f>
        <v/>
      </c>
      <c r="F2955" s="2" t="s">
        <v>1088</v>
      </c>
      <c r="G2955" s="2" t="str">
        <f>CONCATENATE("ZAGREBAČKI HOLDING D.O.O.,"," PODRUŽNICA ZAGREBAČKE CESTE,"," DONJE SVETICE 48,"," 10000 ZAGREB,"," OIB: 85584865987")</f>
        <v>ZAGREBAČKI HOLDING D.O.O., PODRUŽNICA ZAGREBAČKE CESTE, DONJE SVETICE 48, 10000 ZAGREB, OIB: 85584865987</v>
      </c>
      <c r="H2955" s="4"/>
      <c r="I2955" s="1" t="s">
        <v>940</v>
      </c>
      <c r="J2955" s="1" t="s">
        <v>1632</v>
      </c>
      <c r="K2955" s="6" t="str">
        <f>"11.591.159,80"</f>
        <v>11.591.159,80</v>
      </c>
      <c r="L2955" s="6" t="str">
        <f>"2.897.789,95"</f>
        <v>2.897.789,95</v>
      </c>
      <c r="M2955" s="6" t="str">
        <f>"14.488.949,75"</f>
        <v>14.488.949,75</v>
      </c>
      <c r="N2955" s="1" t="s">
        <v>117</v>
      </c>
      <c r="O2955" s="7"/>
      <c r="P2955" s="6" t="str">
        <f>""</f>
        <v/>
      </c>
      <c r="Q2955" s="7"/>
      <c r="R2955" s="1"/>
      <c r="S2955" s="1" t="str">
        <f>"N-1/18"</f>
        <v>N-1/18</v>
      </c>
      <c r="T2955" s="2" t="s">
        <v>538</v>
      </c>
    </row>
    <row r="2956" spans="1:20" ht="153" x14ac:dyDescent="0.25">
      <c r="A2956" s="1">
        <v>2952</v>
      </c>
      <c r="B2956" s="1" t="str">
        <f>"2018-2880"</f>
        <v>2018-2880</v>
      </c>
      <c r="C2956" s="2" t="s">
        <v>1633</v>
      </c>
      <c r="D2956" s="1" t="s">
        <v>1567</v>
      </c>
      <c r="E2956" s="3" t="str">
        <f>"2018/S 0F2-0005053"</f>
        <v>2018/S 0F2-0005053</v>
      </c>
      <c r="F2956" s="2" t="s">
        <v>23</v>
      </c>
      <c r="G2956" s="2" t="str">
        <f>CONCATENATE("APG-INŽENJERING D.O.O.,"," JOSIPA ZORIĆA 62,"," 10370 DUGO SELO,"," OIB: 94661365298")</f>
        <v>APG-INŽENJERING D.O.O., JOSIPA ZORIĆA 62, 10370 DUGO SELO, OIB: 94661365298</v>
      </c>
      <c r="H2956" s="1" t="str">
        <f>CONCATENATE("KONSTRUKTA D.O.O.,"," OIB: 06674378579",CHAR(10),"NNS-EL-ING D.O.O.,"," OIB: 60045826451",CHAR(10),"DESIGN OFFICE D.O.O.,"," OIB: 54261731161",CHAR(10),"ZEMLJOMJERSTVO D.O.O.,"," OIB: 51440150272")</f>
        <v>KONSTRUKTA D.O.O., OIB: 06674378579
NNS-EL-ING D.O.O., OIB: 60045826451
DESIGN OFFICE D.O.O., OIB: 54261731161
ZEMLJOMJERSTVO D.O.O., OIB: 51440150272</v>
      </c>
      <c r="I2956" s="1" t="s">
        <v>505</v>
      </c>
      <c r="J2956" s="1" t="s">
        <v>46</v>
      </c>
      <c r="K2956" s="6" t="str">
        <f>"1.093.000,00"</f>
        <v>1.093.000,00</v>
      </c>
      <c r="L2956" s="6" t="str">
        <f>"273.250,00"</f>
        <v>273.250,00</v>
      </c>
      <c r="M2956" s="6" t="str">
        <f>"1.366.250,00"</f>
        <v>1.366.250,00</v>
      </c>
      <c r="N2956" s="5">
        <v>43375</v>
      </c>
      <c r="O2956" s="7"/>
      <c r="P2956" s="6" t="str">
        <f>"312.461,38"</f>
        <v>312.461,38</v>
      </c>
      <c r="Q2956" s="7"/>
      <c r="R2956" s="1"/>
      <c r="S2956" s="1" t="str">
        <f>"N-2/18"</f>
        <v>N-2/18</v>
      </c>
      <c r="T2956" s="2" t="s">
        <v>33</v>
      </c>
    </row>
    <row r="2957" spans="1:20" ht="38.25" x14ac:dyDescent="0.25">
      <c r="A2957" s="1">
        <v>2953</v>
      </c>
      <c r="B2957" s="1" t="str">
        <f>"2018-155"</f>
        <v>2018-155</v>
      </c>
      <c r="C2957" s="2" t="s">
        <v>1634</v>
      </c>
      <c r="D2957" s="1" t="s">
        <v>123</v>
      </c>
      <c r="E2957" s="3" t="str">
        <f>"2018/S 0F2-0010329"</f>
        <v>2018/S 0F2-0010329</v>
      </c>
      <c r="F2957" s="2" t="s">
        <v>23</v>
      </c>
      <c r="G2957" s="2" t="str">
        <f>CONCATENATE("P T M G D.O.O.,"," GORNJOSTUPNIČKA 18,"," 10255 GORNJI STUPNIK,"," OIB: 5061792625")</f>
        <v>P T M G D.O.O., GORNJOSTUPNIČKA 18, 10255 GORNJI STUPNIK, OIB: 5061792625</v>
      </c>
      <c r="H2957" s="4"/>
      <c r="I2957" s="1" t="s">
        <v>956</v>
      </c>
      <c r="J2957" s="1" t="s">
        <v>766</v>
      </c>
      <c r="K2957" s="6" t="str">
        <f>"778.176,00"</f>
        <v>778.176,00</v>
      </c>
      <c r="L2957" s="6" t="str">
        <f>"194.544,00"</f>
        <v>194.544,00</v>
      </c>
      <c r="M2957" s="6" t="str">
        <f>"972.720,00"</f>
        <v>972.720,00</v>
      </c>
      <c r="N2957" s="1" t="s">
        <v>117</v>
      </c>
      <c r="O2957" s="7"/>
      <c r="P2957" s="6" t="str">
        <f>""</f>
        <v/>
      </c>
      <c r="Q2957" s="7"/>
      <c r="R2957" s="1"/>
      <c r="S2957" s="1" t="str">
        <f>"N-3/18"</f>
        <v>N-3/18</v>
      </c>
      <c r="T2957" s="2" t="s">
        <v>538</v>
      </c>
    </row>
    <row r="2958" spans="1:20" ht="38.25" x14ac:dyDescent="0.25">
      <c r="A2958" s="1">
        <v>2954</v>
      </c>
      <c r="B2958" s="1" t="str">
        <f>"2018-1028"</f>
        <v>2018-1028</v>
      </c>
      <c r="C2958" s="2" t="s">
        <v>1635</v>
      </c>
      <c r="D2958" s="1" t="s">
        <v>1573</v>
      </c>
      <c r="E2958" s="3" t="str">
        <f>"2018/S 0F2-0010208"</f>
        <v>2018/S 0F2-0010208</v>
      </c>
      <c r="F2958" s="2" t="s">
        <v>23</v>
      </c>
      <c r="G2958" s="2" t="str">
        <f>CONCATENATE("IKOM D.O.O.,"," KOVINSKA 7,"," 10090 ZAGREB-SUSEDGRAD,"," OIB: 86247075815")</f>
        <v>IKOM D.O.O., KOVINSKA 7, 10090 ZAGREB-SUSEDGRAD, OIB: 86247075815</v>
      </c>
      <c r="H2958" s="4"/>
      <c r="I2958" s="1" t="s">
        <v>113</v>
      </c>
      <c r="J2958" s="1" t="s">
        <v>366</v>
      </c>
      <c r="K2958" s="6" t="str">
        <f>"387.991,00"</f>
        <v>387.991,00</v>
      </c>
      <c r="L2958" s="6" t="str">
        <f>"96.997,75"</f>
        <v>96.997,75</v>
      </c>
      <c r="M2958" s="6" t="str">
        <f>"484.988,75"</f>
        <v>484.988,75</v>
      </c>
      <c r="N2958" s="1" t="s">
        <v>117</v>
      </c>
      <c r="O2958" s="7"/>
      <c r="P2958" s="6" t="str">
        <f>""</f>
        <v/>
      </c>
      <c r="Q2958" s="7"/>
      <c r="R2958" s="1"/>
      <c r="S2958" s="1" t="str">
        <f>"N-4/18"</f>
        <v>N-4/18</v>
      </c>
      <c r="T2958" s="2" t="s">
        <v>538</v>
      </c>
    </row>
    <row r="2959" spans="1:20" ht="89.25" x14ac:dyDescent="0.25">
      <c r="A2959" s="1">
        <v>2955</v>
      </c>
      <c r="B2959" s="1" t="str">
        <f>"2018-2201"</f>
        <v>2018-2201</v>
      </c>
      <c r="C2959" s="2" t="s">
        <v>1636</v>
      </c>
      <c r="D2959" s="1" t="s">
        <v>922</v>
      </c>
      <c r="E2959" s="3" t="str">
        <f>"2018/S 0F2-0009939"</f>
        <v>2018/S 0F2-0009939</v>
      </c>
      <c r="F2959" s="2" t="s">
        <v>23</v>
      </c>
      <c r="G2959" s="2" t="str">
        <f>CONCATENATE("INSTAL-PROM D.O.O.,"," LJUTOMERSKA 33A,"," 10040 ZAGREB,"," OIB: 21231984689")</f>
        <v>INSTAL-PROM D.O.O., LJUTOMERSKA 33A, 10040 ZAGREB, OIB: 21231984689</v>
      </c>
      <c r="H2959" s="1" t="str">
        <f>CONCATENATE("TEMPORIUM GRADNJA D.O.O.,"," OIB: 62850482681",CHAR(10),"GEO 6 D.O.O.,"," OIB: 56516261347")</f>
        <v>TEMPORIUM GRADNJA D.O.O., OIB: 62850482681
GEO 6 D.O.O., OIB: 56516261347</v>
      </c>
      <c r="I2959" s="1" t="s">
        <v>113</v>
      </c>
      <c r="J2959" s="1" t="s">
        <v>366</v>
      </c>
      <c r="K2959" s="6" t="str">
        <f>"789.353,70"</f>
        <v>789.353,70</v>
      </c>
      <c r="L2959" s="6" t="str">
        <f>"197.338,43"</f>
        <v>197.338,43</v>
      </c>
      <c r="M2959" s="6" t="str">
        <f>"986.692,13"</f>
        <v>986.692,13</v>
      </c>
      <c r="N2959" s="1" t="s">
        <v>117</v>
      </c>
      <c r="O2959" s="7"/>
      <c r="P2959" s="6" t="str">
        <f>""</f>
        <v/>
      </c>
      <c r="Q2959" s="7"/>
      <c r="R2959" s="1"/>
      <c r="S2959" s="1" t="str">
        <f>"N-5/18"</f>
        <v>N-5/18</v>
      </c>
      <c r="T2959" s="2" t="s">
        <v>33</v>
      </c>
    </row>
    <row r="2960" spans="1:20" ht="38.25" x14ac:dyDescent="0.25">
      <c r="A2960" s="1">
        <v>2956</v>
      </c>
      <c r="B2960" s="1" t="str">
        <f>"2018-2894"</f>
        <v>2018-2894</v>
      </c>
      <c r="C2960" s="2" t="s">
        <v>1637</v>
      </c>
      <c r="D2960" s="1" t="s">
        <v>922</v>
      </c>
      <c r="E2960" s="3" t="str">
        <f>"2018/S 0F2-0014109"</f>
        <v>2018/S 0F2-0014109</v>
      </c>
      <c r="F2960" s="2" t="s">
        <v>23</v>
      </c>
      <c r="G2960" s="2" t="str">
        <f>CONCATENATE("GEORAD D.O.O.,"," KORNATSKA 1,"," 10000 ZAGREB,"," OIB: 49756748234")</f>
        <v>GEORAD D.O.O., KORNATSKA 1, 10000 ZAGREB, OIB: 49756748234</v>
      </c>
      <c r="H2960" s="4"/>
      <c r="I2960" s="1" t="s">
        <v>1038</v>
      </c>
      <c r="J2960" s="1" t="s">
        <v>439</v>
      </c>
      <c r="K2960" s="6" t="str">
        <f>"792.725,00"</f>
        <v>792.725,00</v>
      </c>
      <c r="L2960" s="6" t="str">
        <f>"198.181,25"</f>
        <v>198.181,25</v>
      </c>
      <c r="M2960" s="6" t="str">
        <f>"990.906,25"</f>
        <v>990.906,25</v>
      </c>
      <c r="N2960" s="1" t="s">
        <v>117</v>
      </c>
      <c r="O2960" s="7"/>
      <c r="P2960" s="6" t="str">
        <f>""</f>
        <v/>
      </c>
      <c r="Q2960" s="7"/>
      <c r="R2960" s="1"/>
      <c r="S2960" s="1" t="str">
        <f>"N-6/18"</f>
        <v>N-6/18</v>
      </c>
      <c r="T2960" s="2" t="s">
        <v>29</v>
      </c>
    </row>
    <row r="2961" spans="1:20" ht="38.25" x14ac:dyDescent="0.25">
      <c r="A2961" s="1">
        <v>2957</v>
      </c>
      <c r="B2961" s="1" t="str">
        <f>"2018-656"</f>
        <v>2018-656</v>
      </c>
      <c r="C2961" s="2" t="s">
        <v>1638</v>
      </c>
      <c r="D2961" s="1" t="s">
        <v>119</v>
      </c>
      <c r="E2961" s="3" t="str">
        <f>"2018/S 0F2-0010217"</f>
        <v>2018/S 0F2-0010217</v>
      </c>
      <c r="F2961" s="2" t="s">
        <v>23</v>
      </c>
      <c r="G2961" s="2" t="str">
        <f>CONCATENATE("VODOTEHNIKA D.D.,"," KOTURAŠKA CESTA 49,"," 10000 ZAGREB,"," OIB: 1763143132")</f>
        <v>VODOTEHNIKA D.D., KOTURAŠKA CESTA 49, 10000 ZAGREB, OIB: 1763143132</v>
      </c>
      <c r="H2961" s="4"/>
      <c r="I2961" s="1" t="s">
        <v>1639</v>
      </c>
      <c r="J2961" s="1" t="s">
        <v>980</v>
      </c>
      <c r="K2961" s="6" t="str">
        <f>"1.329.438,67"</f>
        <v>1.329.438,67</v>
      </c>
      <c r="L2961" s="6" t="str">
        <f>"332.359,67"</f>
        <v>332.359,67</v>
      </c>
      <c r="M2961" s="6" t="str">
        <f>"1.661.798,34"</f>
        <v>1.661.798,34</v>
      </c>
      <c r="N2961" s="1" t="s">
        <v>117</v>
      </c>
      <c r="O2961" s="7"/>
      <c r="P2961" s="6" t="str">
        <f>""</f>
        <v/>
      </c>
      <c r="Q2961" s="7"/>
      <c r="R2961" s="1"/>
      <c r="S2961" s="1" t="str">
        <f>"N-7/18"</f>
        <v>N-7/18</v>
      </c>
      <c r="T2961" s="2" t="s">
        <v>29</v>
      </c>
    </row>
    <row r="2962" spans="1:20" ht="38.25" x14ac:dyDescent="0.25">
      <c r="A2962" s="1">
        <v>2958</v>
      </c>
      <c r="B2962" s="1" t="str">
        <f>"2018-867"</f>
        <v>2018-867</v>
      </c>
      <c r="C2962" s="2" t="s">
        <v>1640</v>
      </c>
      <c r="D2962" s="1" t="s">
        <v>922</v>
      </c>
      <c r="E2962" s="3" t="str">
        <f>"2018/S 0F2-0012111"</f>
        <v>2018/S 0F2-0012111</v>
      </c>
      <c r="F2962" s="2" t="s">
        <v>23</v>
      </c>
      <c r="G2962" s="2" t="str">
        <f>CONCATENATE("INSTAL-PROM D.O.O.,"," LJUTOMERSKA 33A,"," 10040 ZAGREB,"," OIB: 21231984689")</f>
        <v>INSTAL-PROM D.O.O., LJUTOMERSKA 33A, 10040 ZAGREB, OIB: 21231984689</v>
      </c>
      <c r="H2962" s="4"/>
      <c r="I2962" s="1" t="s">
        <v>1641</v>
      </c>
      <c r="J2962" s="1" t="s">
        <v>1642</v>
      </c>
      <c r="K2962" s="6" t="str">
        <f>"904.692,29"</f>
        <v>904.692,29</v>
      </c>
      <c r="L2962" s="6" t="str">
        <f>"226.173,07"</f>
        <v>226.173,07</v>
      </c>
      <c r="M2962" s="6" t="str">
        <f>"1.130.865,36"</f>
        <v>1.130.865,36</v>
      </c>
      <c r="N2962" s="1" t="s">
        <v>117</v>
      </c>
      <c r="O2962" s="7"/>
      <c r="P2962" s="6" t="str">
        <f>""</f>
        <v/>
      </c>
      <c r="Q2962" s="7"/>
      <c r="R2962" s="1"/>
      <c r="S2962" s="1" t="str">
        <f>"N-8/18"</f>
        <v>N-8/18</v>
      </c>
      <c r="T2962" s="2" t="s">
        <v>29</v>
      </c>
    </row>
    <row r="2963" spans="1:20" ht="89.25" x14ac:dyDescent="0.25">
      <c r="A2963" s="1">
        <v>2959</v>
      </c>
      <c r="B2963" s="1" t="str">
        <f>"2018-133"</f>
        <v>2018-133</v>
      </c>
      <c r="C2963" s="2" t="s">
        <v>1643</v>
      </c>
      <c r="D2963" s="1" t="s">
        <v>922</v>
      </c>
      <c r="E2963" s="3" t="str">
        <f>"2018/S 0F2-0012139"</f>
        <v>2018/S 0F2-0012139</v>
      </c>
      <c r="F2963" s="2" t="s">
        <v>23</v>
      </c>
      <c r="G2963" s="2" t="str">
        <f>CONCATENATE("INSTAL-PROM D.O.O.,"," LJUTOMERSKA 33A,"," 10040 ZAGREB,"," OIB: 21231984689")</f>
        <v>INSTAL-PROM D.O.O., LJUTOMERSKA 33A, 10040 ZAGREB, OIB: 21231984689</v>
      </c>
      <c r="H2963" s="1" t="str">
        <f>CONCATENATE("TEMPORIUM GRADNJA D.O.O.,"," OIB: 62850482681",CHAR(10),"GEO 6 D.O.O.,"," OIB: 56516261347")</f>
        <v>TEMPORIUM GRADNJA D.O.O., OIB: 62850482681
GEO 6 D.O.O., OIB: 56516261347</v>
      </c>
      <c r="I2963" s="1" t="s">
        <v>1050</v>
      </c>
      <c r="J2963" s="1" t="s">
        <v>1644</v>
      </c>
      <c r="K2963" s="6" t="str">
        <f>"581.617,90"</f>
        <v>581.617,90</v>
      </c>
      <c r="L2963" s="6" t="str">
        <f>"145.404,48"</f>
        <v>145.404,48</v>
      </c>
      <c r="M2963" s="6" t="str">
        <f>"727.022,38"</f>
        <v>727.022,38</v>
      </c>
      <c r="N2963" s="1" t="s">
        <v>117</v>
      </c>
      <c r="O2963" s="7"/>
      <c r="P2963" s="6" t="str">
        <f>""</f>
        <v/>
      </c>
      <c r="Q2963" s="7"/>
      <c r="R2963" s="1"/>
      <c r="S2963" s="1" t="str">
        <f>"N-9/18"</f>
        <v>N-9/18</v>
      </c>
      <c r="T2963" s="2" t="s">
        <v>29</v>
      </c>
    </row>
    <row r="2964" spans="1:20" ht="38.25" x14ac:dyDescent="0.25">
      <c r="A2964" s="1">
        <v>2960</v>
      </c>
      <c r="B2964" s="1" t="str">
        <f>"2018-463"</f>
        <v>2018-463</v>
      </c>
      <c r="C2964" s="2" t="s">
        <v>1645</v>
      </c>
      <c r="D2964" s="1" t="s">
        <v>832</v>
      </c>
      <c r="E2964" s="3" t="str">
        <f>"2018/S 0F2-0015384"</f>
        <v>2018/S 0F2-0015384</v>
      </c>
      <c r="F2964" s="2" t="s">
        <v>23</v>
      </c>
      <c r="G2964" s="2" t="str">
        <f>CONCATENATE("FRIGOMOTORS D.O.O.,"," DUGOPOLJSKA 35,"," 21204 DUGOPOLJE,"," OIB: 09191580513")</f>
        <v>FRIGOMOTORS D.O.O., DUGOPOLJSKA 35, 21204 DUGOPOLJE, OIB: 09191580513</v>
      </c>
      <c r="H2964" s="4"/>
      <c r="I2964" s="1" t="s">
        <v>1646</v>
      </c>
      <c r="J2964" s="1" t="s">
        <v>468</v>
      </c>
      <c r="K2964" s="6" t="str">
        <f>"198.092,24"</f>
        <v>198.092,24</v>
      </c>
      <c r="L2964" s="6" t="str">
        <f>"49.523,06"</f>
        <v>49.523,06</v>
      </c>
      <c r="M2964" s="6" t="str">
        <f>"247.615,30"</f>
        <v>247.615,30</v>
      </c>
      <c r="N2964" s="5">
        <v>43431</v>
      </c>
      <c r="O2964" s="7"/>
      <c r="P2964" s="6" t="str">
        <f>"247.615,30"</f>
        <v>247.615,30</v>
      </c>
      <c r="Q2964" s="7"/>
      <c r="R2964" s="1"/>
      <c r="S2964" s="1" t="str">
        <f>"N-10/18"</f>
        <v>N-10/18</v>
      </c>
      <c r="T2964" s="2" t="s">
        <v>33</v>
      </c>
    </row>
    <row r="2965" spans="1:20" ht="38.25" x14ac:dyDescent="0.25">
      <c r="A2965" s="1">
        <v>2961</v>
      </c>
      <c r="B2965" s="1" t="str">
        <f>"2018-2738"</f>
        <v>2018-2738</v>
      </c>
      <c r="C2965" s="2" t="s">
        <v>1647</v>
      </c>
      <c r="D2965" s="1" t="s">
        <v>922</v>
      </c>
      <c r="E2965" s="3" t="str">
        <f>"2018/S 0F2-0012160"</f>
        <v>2018/S 0F2-0012160</v>
      </c>
      <c r="F2965" s="2" t="s">
        <v>23</v>
      </c>
      <c r="G2965" s="2" t="str">
        <f>CONCATENATE("INSTAL-PROM D.O.O.,"," LJUTOMERSKA 33A,"," 10040 ZAGREB,"," OIB: 21231984689")</f>
        <v>INSTAL-PROM D.O.O., LJUTOMERSKA 33A, 10040 ZAGREB, OIB: 21231984689</v>
      </c>
      <c r="H2965" s="4"/>
      <c r="I2965" s="1" t="s">
        <v>1028</v>
      </c>
      <c r="J2965" s="1" t="s">
        <v>1648</v>
      </c>
      <c r="K2965" s="6" t="str">
        <f>"1.090.934,46"</f>
        <v>1.090.934,46</v>
      </c>
      <c r="L2965" s="6" t="str">
        <f>"272.733,62"</f>
        <v>272.733,62</v>
      </c>
      <c r="M2965" s="6" t="str">
        <f>"1.363.668,08"</f>
        <v>1.363.668,08</v>
      </c>
      <c r="N2965" s="1" t="s">
        <v>117</v>
      </c>
      <c r="O2965" s="7"/>
      <c r="P2965" s="6" t="str">
        <f>""</f>
        <v/>
      </c>
      <c r="Q2965" s="7"/>
      <c r="R2965" s="1"/>
      <c r="S2965" s="1" t="str">
        <f>"N-11/18"</f>
        <v>N-11/18</v>
      </c>
      <c r="T2965" s="2" t="s">
        <v>29</v>
      </c>
    </row>
    <row r="2966" spans="1:20" ht="38.25" x14ac:dyDescent="0.25">
      <c r="A2966" s="1">
        <v>2962</v>
      </c>
      <c r="B2966" s="1" t="str">
        <f>"2018-2996"</f>
        <v>2018-2996</v>
      </c>
      <c r="C2966" s="2" t="s">
        <v>1649</v>
      </c>
      <c r="D2966" s="1" t="s">
        <v>1494</v>
      </c>
      <c r="E2966" s="3" t="str">
        <f>"2018/S 0F2-0015963"</f>
        <v>2018/S 0F2-0015963</v>
      </c>
      <c r="F2966" s="2" t="s">
        <v>23</v>
      </c>
      <c r="G2966" s="2" t="str">
        <f>CONCATENATE("GEORAD D.O.O.,"," KORNATSKA 1,"," 10000 ZAGREB,"," OIB: 49756748234")</f>
        <v>GEORAD D.O.O., KORNATSKA 1, 10000 ZAGREB, OIB: 49756748234</v>
      </c>
      <c r="H2966" s="4"/>
      <c r="I2966" s="1" t="s">
        <v>1624</v>
      </c>
      <c r="J2966" s="1" t="s">
        <v>1625</v>
      </c>
      <c r="K2966" s="6" t="str">
        <f>"755.648,00"</f>
        <v>755.648,00</v>
      </c>
      <c r="L2966" s="6" t="str">
        <f>"188.912,00"</f>
        <v>188.912,00</v>
      </c>
      <c r="M2966" s="6" t="str">
        <f>"944.560,00"</f>
        <v>944.560,00</v>
      </c>
      <c r="N2966" s="1" t="s">
        <v>117</v>
      </c>
      <c r="O2966" s="7"/>
      <c r="P2966" s="6" t="str">
        <f>""</f>
        <v/>
      </c>
      <c r="Q2966" s="7"/>
      <c r="R2966" s="1"/>
      <c r="S2966" s="1" t="str">
        <f>"N-12/18"</f>
        <v>N-12/18</v>
      </c>
      <c r="T2966" s="2" t="s">
        <v>538</v>
      </c>
    </row>
    <row r="2967" spans="1:20" ht="127.5" x14ac:dyDescent="0.25">
      <c r="A2967" s="1">
        <v>2963</v>
      </c>
      <c r="B2967" s="1" t="str">
        <f>"2018-1457"</f>
        <v>2018-1457</v>
      </c>
      <c r="C2967" s="2" t="s">
        <v>1650</v>
      </c>
      <c r="D2967" s="1" t="s">
        <v>119</v>
      </c>
      <c r="E2967" s="3" t="str">
        <f>"2018/S 0F2-0013044"</f>
        <v>2018/S 0F2-0013044</v>
      </c>
      <c r="F2967" s="2" t="s">
        <v>23</v>
      </c>
      <c r="G2967" s="2" t="str">
        <f>CONCATENATE("MONTER-STROJARSKE MONTAŽE D.D.,"," VELIMIRA ŠKORPIKA 28,"," 10000 ZAGREB,"," OIB: 13887374452")</f>
        <v>MONTER-STROJARSKE MONTAŽE D.D., VELIMIRA ŠKORPIKA 28, 10000 ZAGREB, OIB: 13887374452</v>
      </c>
      <c r="H2967" s="1" t="str">
        <f>CONCATENATE("PALIĆ INŽENJERING D.O.O.,"," OIB: 99750077832",CHAR(10),"GEOANDA D.O.O.,"," OIB: 70840886172",CHAR(10),"KATODA D.O.O.,"," OIB: 60579372509")</f>
        <v>PALIĆ INŽENJERING D.O.O., OIB: 99750077832
GEOANDA D.O.O., OIB: 70840886172
KATODA D.O.O., OIB: 60579372509</v>
      </c>
      <c r="I2967" s="1" t="s">
        <v>1651</v>
      </c>
      <c r="J2967" s="1" t="s">
        <v>1652</v>
      </c>
      <c r="K2967" s="6" t="str">
        <f>"1.596.935,97"</f>
        <v>1.596.935,97</v>
      </c>
      <c r="L2967" s="6" t="str">
        <f>"399.233,99"</f>
        <v>399.233,99</v>
      </c>
      <c r="M2967" s="6" t="str">
        <f>"1.996.169,96"</f>
        <v>1.996.169,96</v>
      </c>
      <c r="N2967" s="1" t="s">
        <v>117</v>
      </c>
      <c r="O2967" s="7"/>
      <c r="P2967" s="6" t="str">
        <f>""</f>
        <v/>
      </c>
      <c r="Q2967" s="7"/>
      <c r="R2967" s="1"/>
      <c r="S2967" s="1" t="str">
        <f>"N-13/18"</f>
        <v>N-13/18</v>
      </c>
      <c r="T2967" s="2" t="s">
        <v>29</v>
      </c>
    </row>
    <row r="2968" spans="1:20" ht="76.5" x14ac:dyDescent="0.25">
      <c r="A2968" s="1">
        <v>2964</v>
      </c>
      <c r="B2968" s="1" t="str">
        <f>"2018-2152"</f>
        <v>2018-2152</v>
      </c>
      <c r="C2968" s="2" t="s">
        <v>1653</v>
      </c>
      <c r="D2968" s="1" t="s">
        <v>119</v>
      </c>
      <c r="E2968" s="3" t="str">
        <f>"2018/S 0F2-0012107"</f>
        <v>2018/S 0F2-0012107</v>
      </c>
      <c r="F2968" s="2" t="s">
        <v>23</v>
      </c>
      <c r="G2968" s="2" t="str">
        <f>CONCATENATE("BOLČEVIĆ-GRADNJA D.O.O.,"," DUGOSELSKA CESTA 56,"," 10361 SESVETSKI KRALJEVEC,"," OIB: 520986705")</f>
        <v>BOLČEVIĆ-GRADNJA D.O.O., DUGOSELSKA CESTA 56, 10361 SESVETSKI KRALJEVEC, OIB: 520986705</v>
      </c>
      <c r="H2968" s="1" t="str">
        <f>CONCATENATE("MGV D.O.O.,"," OIB: 07790118186",CHAR(10),"ZAGREBINSPEKT D.O.O.,"," OIB: 8275215353")</f>
        <v>MGV D.O.O., OIB: 07790118186
ZAGREBINSPEKT D.O.O., OIB: 8275215353</v>
      </c>
      <c r="I2968" s="1" t="s">
        <v>1624</v>
      </c>
      <c r="J2968" s="1" t="s">
        <v>1625</v>
      </c>
      <c r="K2968" s="6" t="str">
        <f>"2.900.415,65"</f>
        <v>2.900.415,65</v>
      </c>
      <c r="L2968" s="6" t="str">
        <f>"725.103,91"</f>
        <v>725.103,91</v>
      </c>
      <c r="M2968" s="6" t="str">
        <f>"3.625.519,56"</f>
        <v>3.625.519,56</v>
      </c>
      <c r="N2968" s="1" t="s">
        <v>117</v>
      </c>
      <c r="O2968" s="7"/>
      <c r="P2968" s="6" t="str">
        <f>""</f>
        <v/>
      </c>
      <c r="Q2968" s="7"/>
      <c r="R2968" s="1"/>
      <c r="S2968" s="1" t="str">
        <f>"N-14/18"</f>
        <v>N-14/18</v>
      </c>
      <c r="T2968" s="2" t="s">
        <v>538</v>
      </c>
    </row>
    <row r="2969" spans="1:20" ht="38.25" x14ac:dyDescent="0.25">
      <c r="A2969" s="1">
        <v>2965</v>
      </c>
      <c r="B2969" s="1" t="str">
        <f>"2018-881"</f>
        <v>2018-881</v>
      </c>
      <c r="C2969" s="2" t="s">
        <v>1654</v>
      </c>
      <c r="D2969" s="1" t="s">
        <v>725</v>
      </c>
      <c r="E2969" s="3" t="str">
        <f>"2018/S 0F2-0012005"</f>
        <v>2018/S 0F2-0012005</v>
      </c>
      <c r="F2969" s="2" t="s">
        <v>23</v>
      </c>
      <c r="G2969" s="2" t="str">
        <f>CONCATENATE("POLJO-PROM,"," VL. ZLATKO KRIŽANIĆ,"," HRAŠĆE TUROPOLJSKO,"," KRIŽANIĆI 27,"," 10020 ZAGREB-NOVI ZAGREB,"," OIB: 22277452223")</f>
        <v>POLJO-PROM, VL. ZLATKO KRIŽANIĆ, HRAŠĆE TUROPOLJSKO, KRIŽANIĆI 27, 10020 ZAGREB-NOVI ZAGREB, OIB: 22277452223</v>
      </c>
      <c r="H2969" s="4"/>
      <c r="I2969" s="1" t="s">
        <v>1646</v>
      </c>
      <c r="J2969" s="1" t="s">
        <v>468</v>
      </c>
      <c r="K2969" s="6" t="str">
        <f>"237.837,00"</f>
        <v>237.837,00</v>
      </c>
      <c r="L2969" s="6" t="str">
        <f>"59.459,25"</f>
        <v>59.459,25</v>
      </c>
      <c r="M2969" s="6" t="str">
        <f>"297.296,25"</f>
        <v>297.296,25</v>
      </c>
      <c r="N2969" s="1" t="s">
        <v>117</v>
      </c>
      <c r="O2969" s="7"/>
      <c r="P2969" s="6" t="str">
        <f>""</f>
        <v/>
      </c>
      <c r="Q2969" s="7"/>
      <c r="R2969" s="1"/>
      <c r="S2969" s="1" t="str">
        <f>"N-15/18"</f>
        <v>N-15/18</v>
      </c>
      <c r="T2969" s="2" t="s">
        <v>538</v>
      </c>
    </row>
    <row r="2970" spans="1:20" ht="38.25" x14ac:dyDescent="0.25">
      <c r="A2970" s="1">
        <v>2966</v>
      </c>
      <c r="B2970" s="1" t="str">
        <f>"2018-2944"</f>
        <v>2018-2944</v>
      </c>
      <c r="C2970" s="2" t="s">
        <v>1655</v>
      </c>
      <c r="D2970" s="1" t="s">
        <v>1656</v>
      </c>
      <c r="E2970" s="3" t="str">
        <f>""</f>
        <v/>
      </c>
      <c r="F2970" s="2" t="s">
        <v>1088</v>
      </c>
      <c r="G2970" s="2" t="str">
        <f>CONCATENATE("KONČAR - KET D.D.,"," FALLEROVO ŠETALIŠTE 22,"," 10000 ZAGREB,"," OIB: 29898970552")</f>
        <v>KONČAR - KET D.D., FALLEROVO ŠETALIŠTE 22, 10000 ZAGREB, OIB: 29898970552</v>
      </c>
      <c r="H2970" s="4"/>
      <c r="I2970" s="1" t="s">
        <v>561</v>
      </c>
      <c r="J2970" s="1" t="s">
        <v>562</v>
      </c>
      <c r="K2970" s="6" t="str">
        <f>"294.720,00"</f>
        <v>294.720,00</v>
      </c>
      <c r="L2970" s="6" t="str">
        <f>"73.680,00"</f>
        <v>73.680,00</v>
      </c>
      <c r="M2970" s="6" t="str">
        <f>"368.400,00"</f>
        <v>368.400,00</v>
      </c>
      <c r="N2970" s="1" t="s">
        <v>117</v>
      </c>
      <c r="O2970" s="7"/>
      <c r="P2970" s="6" t="str">
        <f>""</f>
        <v/>
      </c>
      <c r="Q2970" s="7"/>
      <c r="R2970" s="1"/>
      <c r="S2970" s="1" t="str">
        <f>"N-16/18"</f>
        <v>N-16/18</v>
      </c>
      <c r="T2970" s="2" t="s">
        <v>538</v>
      </c>
    </row>
    <row r="2971" spans="1:20" ht="89.25" x14ac:dyDescent="0.25">
      <c r="A2971" s="1">
        <v>2967</v>
      </c>
      <c r="B2971" s="1" t="str">
        <f>"2018-1706"</f>
        <v>2018-1706</v>
      </c>
      <c r="C2971" s="2" t="s">
        <v>1657</v>
      </c>
      <c r="D2971" s="1" t="s">
        <v>119</v>
      </c>
      <c r="E2971" s="3" t="str">
        <f>"2018/S 0F2-0018265"</f>
        <v>2018/S 0F2-0018265</v>
      </c>
      <c r="F2971" s="2" t="s">
        <v>23</v>
      </c>
      <c r="G2971" s="2" t="str">
        <f>CONCATENATE("AGROPLAN D.O.O.,"," UGLJANSKA 14,"," 10000 ZAGREB,"," OIB: 13652531417")</f>
        <v>AGROPLAN D.O.O., UGLJANSKA 14, 10000 ZAGREB, OIB: 13652531417</v>
      </c>
      <c r="H2971" s="1" t="str">
        <f>CONCATENATE("GEO 6 D.O.O.,"," OIB: 56516261347",CHAR(10),"PROMPT PROJEKTIRANJE D.O.O.,"," OIB: 30094396634")</f>
        <v>GEO 6 D.O.O., OIB: 56516261347
PROMPT PROJEKTIRANJE D.O.O., OIB: 30094396634</v>
      </c>
      <c r="I2971" s="1" t="s">
        <v>569</v>
      </c>
      <c r="J2971" s="1" t="s">
        <v>570</v>
      </c>
      <c r="K2971" s="6" t="str">
        <f>"1.550.713,00"</f>
        <v>1.550.713,00</v>
      </c>
      <c r="L2971" s="6" t="str">
        <f>"387.678,25"</f>
        <v>387.678,25</v>
      </c>
      <c r="M2971" s="6" t="str">
        <f>"1.938.391,25"</f>
        <v>1.938.391,25</v>
      </c>
      <c r="N2971" s="1" t="s">
        <v>117</v>
      </c>
      <c r="O2971" s="7"/>
      <c r="P2971" s="6" t="str">
        <f>""</f>
        <v/>
      </c>
      <c r="Q2971" s="7"/>
      <c r="R2971" s="1"/>
      <c r="S2971" s="1" t="str">
        <f>"N-17/18"</f>
        <v>N-17/18</v>
      </c>
      <c r="T2971" s="2" t="s">
        <v>538</v>
      </c>
    </row>
    <row r="2972" spans="1:20" ht="127.5" x14ac:dyDescent="0.25">
      <c r="A2972" s="1">
        <v>2968</v>
      </c>
      <c r="B2972" s="1" t="str">
        <f>"2018-107"</f>
        <v>2018-107</v>
      </c>
      <c r="C2972" s="2" t="s">
        <v>1658</v>
      </c>
      <c r="D2972" s="1" t="s">
        <v>119</v>
      </c>
      <c r="E2972" s="3" t="str">
        <f>"2018/S 0F2-0012925"</f>
        <v>2018/S 0F2-0012925</v>
      </c>
      <c r="F2972" s="2" t="s">
        <v>23</v>
      </c>
      <c r="G2972" s="2" t="str">
        <f>CONCATENATE("INSTAL-PROM D.O.O.,"," LJUTOMERSKA 33A,"," 10040 ZAGREB,"," OIB: 21231984689")</f>
        <v>INSTAL-PROM D.O.O., LJUTOMERSKA 33A, 10040 ZAGREB, OIB: 21231984689</v>
      </c>
      <c r="H2972" s="1" t="str">
        <f>CONCATENATE("TEMPORIUM GRADNJA D.O.O.,"," OIB: 62850482681",CHAR(10),"GEO 6 D.O.O.,"," OIB: 56516261347",CHAR(10),"ZAŠTITA-ATEST D.O.O.,"," OIB: 72702911449")</f>
        <v>TEMPORIUM GRADNJA D.O.O., OIB: 62850482681
GEO 6 D.O.O., OIB: 56516261347
ZAŠTITA-ATEST D.O.O., OIB: 72702911449</v>
      </c>
      <c r="I2972" s="1" t="s">
        <v>1659</v>
      </c>
      <c r="J2972" s="1" t="s">
        <v>1660</v>
      </c>
      <c r="K2972" s="6" t="str">
        <f>"1.279.117,00"</f>
        <v>1.279.117,00</v>
      </c>
      <c r="L2972" s="6" t="str">
        <f>"319.779,25"</f>
        <v>319.779,25</v>
      </c>
      <c r="M2972" s="6" t="str">
        <f>"1.598.896,25"</f>
        <v>1.598.896,25</v>
      </c>
      <c r="N2972" s="1" t="s">
        <v>117</v>
      </c>
      <c r="O2972" s="7"/>
      <c r="P2972" s="6" t="str">
        <f>""</f>
        <v/>
      </c>
      <c r="Q2972" s="7"/>
      <c r="R2972" s="1"/>
      <c r="S2972" s="1" t="str">
        <f>"N-18/18"</f>
        <v>N-18/18</v>
      </c>
      <c r="T2972" s="2" t="s">
        <v>538</v>
      </c>
    </row>
    <row r="2973" spans="1:20" ht="38.25" x14ac:dyDescent="0.25">
      <c r="A2973" s="1">
        <v>2969</v>
      </c>
      <c r="B2973" s="1" t="str">
        <f>"2018-596"</f>
        <v>2018-596</v>
      </c>
      <c r="C2973" s="2" t="s">
        <v>1661</v>
      </c>
      <c r="D2973" s="1" t="s">
        <v>119</v>
      </c>
      <c r="E2973" s="3" t="str">
        <f>"2018/S 0F2-0012468"</f>
        <v>2018/S 0F2-0012468</v>
      </c>
      <c r="F2973" s="2" t="s">
        <v>23</v>
      </c>
      <c r="G2973" s="2" t="str">
        <f>CONCATENATE("VODOTEHNIKA D.D.,"," KOTURAŠKA CESTA 49,"," 10000 ZAGREB,"," OIB: 1763143132")</f>
        <v>VODOTEHNIKA D.D., KOTURAŠKA CESTA 49, 10000 ZAGREB, OIB: 1763143132</v>
      </c>
      <c r="H2973" s="4"/>
      <c r="I2973" s="1" t="s">
        <v>315</v>
      </c>
      <c r="J2973" s="1" t="s">
        <v>1662</v>
      </c>
      <c r="K2973" s="6" t="str">
        <f>"2.959.542,33"</f>
        <v>2.959.542,33</v>
      </c>
      <c r="L2973" s="6" t="str">
        <f>"739.885,58"</f>
        <v>739.885,58</v>
      </c>
      <c r="M2973" s="6" t="str">
        <f>"3.699.427,91"</f>
        <v>3.699.427,91</v>
      </c>
      <c r="N2973" s="1" t="s">
        <v>117</v>
      </c>
      <c r="O2973" s="7"/>
      <c r="P2973" s="6" t="str">
        <f>""</f>
        <v/>
      </c>
      <c r="Q2973" s="7"/>
      <c r="R2973" s="1"/>
      <c r="S2973" s="1" t="str">
        <f>"N-19/18"</f>
        <v>N-19/18</v>
      </c>
      <c r="T2973" s="2" t="s">
        <v>538</v>
      </c>
    </row>
    <row r="2974" spans="1:20" ht="38.25" x14ac:dyDescent="0.25">
      <c r="A2974" s="1">
        <v>2970</v>
      </c>
      <c r="B2974" s="1" t="str">
        <f>"2018-1607"</f>
        <v>2018-1607</v>
      </c>
      <c r="C2974" s="2" t="s">
        <v>1663</v>
      </c>
      <c r="D2974" s="1" t="s">
        <v>119</v>
      </c>
      <c r="E2974" s="3" t="str">
        <f>"2018/S 0F2-0014708"</f>
        <v>2018/S 0F2-0014708</v>
      </c>
      <c r="F2974" s="2" t="s">
        <v>23</v>
      </c>
      <c r="G2974" s="2" t="str">
        <f>CONCATENATE("BK MONTAŽA D.O.O.,"," DORE PEJAČEVIĆ 1,"," 10000 ZAGREB,"," OIB: 80580557122")</f>
        <v>BK MONTAŽA D.O.O., DORE PEJAČEVIĆ 1, 10000 ZAGREB, OIB: 80580557122</v>
      </c>
      <c r="H2974" s="4"/>
      <c r="I2974" s="1" t="s">
        <v>659</v>
      </c>
      <c r="J2974" s="1" t="s">
        <v>1664</v>
      </c>
      <c r="K2974" s="6" t="str">
        <f>"1.474.549,10"</f>
        <v>1.474.549,10</v>
      </c>
      <c r="L2974" s="6" t="str">
        <f>"368.637,28"</f>
        <v>368.637,28</v>
      </c>
      <c r="M2974" s="6" t="str">
        <f>"1.843.186,38"</f>
        <v>1.843.186,38</v>
      </c>
      <c r="N2974" s="1" t="s">
        <v>117</v>
      </c>
      <c r="O2974" s="7"/>
      <c r="P2974" s="6" t="str">
        <f>""</f>
        <v/>
      </c>
      <c r="Q2974" s="7"/>
      <c r="R2974" s="1"/>
      <c r="S2974" s="1" t="str">
        <f>"N-20/18"</f>
        <v>N-20/18</v>
      </c>
      <c r="T2974" s="2" t="s">
        <v>29</v>
      </c>
    </row>
    <row r="2975" spans="1:20" ht="38.25" x14ac:dyDescent="0.25">
      <c r="A2975" s="1">
        <v>2971</v>
      </c>
      <c r="B2975" s="1" t="str">
        <f>"2018-1660"</f>
        <v>2018-1660</v>
      </c>
      <c r="C2975" s="2" t="s">
        <v>1665</v>
      </c>
      <c r="D2975" s="1" t="s">
        <v>1519</v>
      </c>
      <c r="E2975" s="3" t="str">
        <f>"2018/S 0F2-0020025"</f>
        <v>2018/S 0F2-0020025</v>
      </c>
      <c r="F2975" s="2" t="s">
        <v>23</v>
      </c>
      <c r="G2975" s="2" t="str">
        <f>CONCATENATE("INVEST GAMMA ZAGREB D.O.O.,"," TRAKOŠĆANSKA 6,"," 10000 ZAGREB,"," OIB: 22362238205")</f>
        <v>INVEST GAMMA ZAGREB D.O.O., TRAKOŠĆANSKA 6, 10000 ZAGREB, OIB: 22362238205</v>
      </c>
      <c r="H2975" s="4"/>
      <c r="I2975" s="1" t="s">
        <v>1009</v>
      </c>
      <c r="J2975" s="1" t="s">
        <v>605</v>
      </c>
      <c r="K2975" s="6" t="str">
        <f>"1.494.627,91"</f>
        <v>1.494.627,91</v>
      </c>
      <c r="L2975" s="6" t="str">
        <f>"373.656,98"</f>
        <v>373.656,98</v>
      </c>
      <c r="M2975" s="6" t="str">
        <f>"1.868.284,89"</f>
        <v>1.868.284,89</v>
      </c>
      <c r="N2975" s="5">
        <v>43496</v>
      </c>
      <c r="O2975" s="7"/>
      <c r="P2975" s="6" t="str">
        <f>"927.951,26"</f>
        <v>927.951,26</v>
      </c>
      <c r="Q2975" s="7"/>
      <c r="R2975" s="1"/>
      <c r="S2975" s="1" t="str">
        <f>"N-21/18"</f>
        <v>N-21/18</v>
      </c>
      <c r="T2975" s="2" t="s">
        <v>33</v>
      </c>
    </row>
    <row r="2976" spans="1:20" ht="38.25" x14ac:dyDescent="0.25">
      <c r="A2976" s="1">
        <v>2972</v>
      </c>
      <c r="B2976" s="1" t="str">
        <f>"2018-309"</f>
        <v>2018-309</v>
      </c>
      <c r="C2976" s="2" t="s">
        <v>1666</v>
      </c>
      <c r="D2976" s="1" t="s">
        <v>157</v>
      </c>
      <c r="E2976" s="3" t="str">
        <f>"2018/S 0F2-0016796"</f>
        <v>2018/S 0F2-0016796</v>
      </c>
      <c r="F2976" s="2" t="s">
        <v>23</v>
      </c>
      <c r="G2976" s="2" t="str">
        <f>CONCATENATE("HRVATSKI ZAVOD ZA JAVNO ZDRAVSTVO - HZJZ,"," ROCKEFELLEROVA 7,"," 10000 ZAGREB,"," OIB: 7529753204")</f>
        <v>HRVATSKI ZAVOD ZA JAVNO ZDRAVSTVO - HZJZ, ROCKEFELLEROVA 7, 10000 ZAGREB, OIB: 7529753204</v>
      </c>
      <c r="H2976" s="4"/>
      <c r="I2976" s="1" t="s">
        <v>1009</v>
      </c>
      <c r="J2976" s="1" t="s">
        <v>605</v>
      </c>
      <c r="K2976" s="6" t="str">
        <f>"368.073,80"</f>
        <v>368.073,80</v>
      </c>
      <c r="L2976" s="6" t="str">
        <f>"92.018,45"</f>
        <v>92.018,45</v>
      </c>
      <c r="M2976" s="6" t="str">
        <f>"460.092,25"</f>
        <v>460.092,25</v>
      </c>
      <c r="N2976" s="1" t="s">
        <v>117</v>
      </c>
      <c r="O2976" s="7"/>
      <c r="P2976" s="6" t="str">
        <f>""</f>
        <v/>
      </c>
      <c r="Q2976" s="7"/>
      <c r="R2976" s="1"/>
      <c r="S2976" s="1" t="str">
        <f>"N-22/18"</f>
        <v>N-22/18</v>
      </c>
      <c r="T2976" s="2" t="s">
        <v>29</v>
      </c>
    </row>
    <row r="2977" spans="1:20" ht="38.25" x14ac:dyDescent="0.25">
      <c r="A2977" s="1">
        <v>2973</v>
      </c>
      <c r="B2977" s="1" t="str">
        <f>"2018-1324"</f>
        <v>2018-1324</v>
      </c>
      <c r="C2977" s="2" t="s">
        <v>1667</v>
      </c>
      <c r="D2977" s="1" t="s">
        <v>922</v>
      </c>
      <c r="E2977" s="3" t="str">
        <f>"2018/S 0F2-0014630"</f>
        <v>2018/S 0F2-0014630</v>
      </c>
      <c r="F2977" s="2" t="s">
        <v>23</v>
      </c>
      <c r="G2977" s="2" t="str">
        <f>CONCATENATE("INSTAL-PROM D.O.O.,"," LJUTOMERSKA 33A,"," 10040 ZAGREB,"," OIB: 21231984689")</f>
        <v>INSTAL-PROM D.O.O., LJUTOMERSKA 33A, 10040 ZAGREB, OIB: 21231984689</v>
      </c>
      <c r="H2977" s="4"/>
      <c r="I2977" s="1" t="s">
        <v>1668</v>
      </c>
      <c r="J2977" s="1" t="s">
        <v>1669</v>
      </c>
      <c r="K2977" s="6" t="str">
        <f>"511.931,70"</f>
        <v>511.931,70</v>
      </c>
      <c r="L2977" s="6" t="str">
        <f>"127.982,93"</f>
        <v>127.982,93</v>
      </c>
      <c r="M2977" s="6" t="str">
        <f>"639.914,63"</f>
        <v>639.914,63</v>
      </c>
      <c r="N2977" s="1" t="s">
        <v>117</v>
      </c>
      <c r="O2977" s="7"/>
      <c r="P2977" s="6" t="str">
        <f>""</f>
        <v/>
      </c>
      <c r="Q2977" s="7"/>
      <c r="R2977" s="1"/>
      <c r="S2977" s="1" t="str">
        <f>"N-23/18"</f>
        <v>N-23/18</v>
      </c>
      <c r="T2977" s="2" t="s">
        <v>29</v>
      </c>
    </row>
    <row r="2978" spans="1:20" ht="51" x14ac:dyDescent="0.25">
      <c r="A2978" s="1">
        <v>2974</v>
      </c>
      <c r="B2978" s="1" t="str">
        <f>"2018-2982"</f>
        <v>2018-2982</v>
      </c>
      <c r="C2978" s="2" t="s">
        <v>1670</v>
      </c>
      <c r="D2978" s="1" t="s">
        <v>922</v>
      </c>
      <c r="E2978" s="3" t="str">
        <f>"2018/S 0F2-0018979"</f>
        <v>2018/S 0F2-0018979</v>
      </c>
      <c r="F2978" s="2" t="s">
        <v>23</v>
      </c>
      <c r="G2978" s="2" t="str">
        <f>CONCATENATE("TIGRA D.O.O.,"," IVANIĆGRADSKA 22,"," 10000 ZAGREB,"," OIB: 2983006023")</f>
        <v>TIGRA D.O.O., IVANIĆGRADSKA 22, 10000 ZAGREB, OIB: 2983006023</v>
      </c>
      <c r="H2978" s="4"/>
      <c r="I2978" s="1" t="s">
        <v>134</v>
      </c>
      <c r="J2978" s="1" t="s">
        <v>1671</v>
      </c>
      <c r="K2978" s="6" t="str">
        <f>"1.128.329,00"</f>
        <v>1.128.329,00</v>
      </c>
      <c r="L2978" s="6" t="str">
        <f>"282.082,25"</f>
        <v>282.082,25</v>
      </c>
      <c r="M2978" s="6" t="str">
        <f>"1.410.411,25"</f>
        <v>1.410.411,25</v>
      </c>
      <c r="N2978" s="1" t="s">
        <v>117</v>
      </c>
      <c r="O2978" s="7"/>
      <c r="P2978" s="6" t="str">
        <f>""</f>
        <v/>
      </c>
      <c r="Q2978" s="7"/>
      <c r="R2978" s="1"/>
      <c r="S2978" s="1" t="str">
        <f>"N-24/18"</f>
        <v>N-24/18</v>
      </c>
      <c r="T2978" s="2" t="s">
        <v>29</v>
      </c>
    </row>
    <row r="2979" spans="1:20" ht="38.25" x14ac:dyDescent="0.25">
      <c r="A2979" s="1">
        <v>2975</v>
      </c>
      <c r="B2979" s="1" t="str">
        <f>"2018-154"</f>
        <v>2018-154</v>
      </c>
      <c r="C2979" s="2" t="s">
        <v>1672</v>
      </c>
      <c r="D2979" s="1" t="s">
        <v>1673</v>
      </c>
      <c r="E2979" s="3" t="str">
        <f>"2018/S 0F2-0020186"</f>
        <v>2018/S 0F2-0020186</v>
      </c>
      <c r="F2979" s="2" t="s">
        <v>23</v>
      </c>
      <c r="G2979" s="2" t="str">
        <f>CONCATENATE("ELOB D.O.O.,"," AVENIJA V. HOLJEVCA 20,"," 10020 ZAGREB,"," OIB: 90957063004")</f>
        <v>ELOB D.O.O., AVENIJA V. HOLJEVCA 20, 10020 ZAGREB, OIB: 90957063004</v>
      </c>
      <c r="H2979" s="4"/>
      <c r="I2979" s="1" t="s">
        <v>1109</v>
      </c>
      <c r="J2979" s="1" t="s">
        <v>1674</v>
      </c>
      <c r="K2979" s="6" t="str">
        <f>"279.880,00"</f>
        <v>279.880,00</v>
      </c>
      <c r="L2979" s="6" t="str">
        <f>"69.970,00"</f>
        <v>69.970,00</v>
      </c>
      <c r="M2979" s="6" t="str">
        <f>"349.850,00"</f>
        <v>349.850,00</v>
      </c>
      <c r="N2979" s="1" t="s">
        <v>117</v>
      </c>
      <c r="O2979" s="7"/>
      <c r="P2979" s="6" t="str">
        <f>""</f>
        <v/>
      </c>
      <c r="Q2979" s="7"/>
      <c r="R2979" s="1"/>
      <c r="S2979" s="1" t="str">
        <f>"N-25/18"</f>
        <v>N-25/18</v>
      </c>
      <c r="T2979" s="2" t="s">
        <v>538</v>
      </c>
    </row>
    <row r="2980" spans="1:20" ht="38.25" x14ac:dyDescent="0.25">
      <c r="A2980" s="1">
        <v>2976</v>
      </c>
      <c r="B2980" s="1" t="str">
        <f>"2018-2035"</f>
        <v>2018-2035</v>
      </c>
      <c r="C2980" s="2" t="s">
        <v>1675</v>
      </c>
      <c r="D2980" s="1" t="s">
        <v>922</v>
      </c>
      <c r="E2980" s="3" t="str">
        <f>"2018/S 0F2-0017555"</f>
        <v>2018/S 0F2-0017555</v>
      </c>
      <c r="F2980" s="2" t="s">
        <v>23</v>
      </c>
      <c r="G2980" s="2" t="str">
        <f>CONCATENATE("AKTIV GLOBAL D.O.O.,"," RADNIČKA CESTA 57,"," 10000 ZAGREB,"," OIB: 6531407526")</f>
        <v>AKTIV GLOBAL D.O.O., RADNIČKA CESTA 57, 10000 ZAGREB, OIB: 6531407526</v>
      </c>
      <c r="H2980" s="4"/>
      <c r="I2980" s="1" t="s">
        <v>134</v>
      </c>
      <c r="J2980" s="1" t="s">
        <v>1671</v>
      </c>
      <c r="K2980" s="6" t="str">
        <f>"848.532,00"</f>
        <v>848.532,00</v>
      </c>
      <c r="L2980" s="6" t="str">
        <f>"212.133,00"</f>
        <v>212.133,00</v>
      </c>
      <c r="M2980" s="6" t="str">
        <f>"1.060.665,00"</f>
        <v>1.060.665,00</v>
      </c>
      <c r="N2980" s="5">
        <v>43391</v>
      </c>
      <c r="O2980" s="7"/>
      <c r="P2980" s="6" t="str">
        <f>"1.060.665,00"</f>
        <v>1.060.665,00</v>
      </c>
      <c r="Q2980" s="7"/>
      <c r="R2980" s="1"/>
      <c r="S2980" s="1" t="str">
        <f>"N-26/18"</f>
        <v>N-26/18</v>
      </c>
      <c r="T2980" s="2" t="s">
        <v>33</v>
      </c>
    </row>
    <row r="2981" spans="1:20" ht="25.5" x14ac:dyDescent="0.25">
      <c r="A2981" s="1">
        <v>2977</v>
      </c>
      <c r="B2981" s="1" t="str">
        <f>"2018-2035"</f>
        <v>2018-2035</v>
      </c>
      <c r="C2981" s="2" t="s">
        <v>1675</v>
      </c>
      <c r="D2981" s="1" t="s">
        <v>922</v>
      </c>
      <c r="E2981" s="3" t="str">
        <f>""</f>
        <v/>
      </c>
      <c r="F2981" s="2" t="s">
        <v>23</v>
      </c>
      <c r="G2981" s="2" t="str">
        <f>CONCATENATE("AKTIV GLOBAL D.O.O.,"," RADNIČKA CESTA 57,"," 10000 ZAGREB,"," OIB: 6531407526")</f>
        <v>AKTIV GLOBAL D.O.O., RADNIČKA CESTA 57, 10000 ZAGREB, OIB: 6531407526</v>
      </c>
      <c r="H2981" s="4"/>
      <c r="I2981" s="1" t="s">
        <v>1676</v>
      </c>
      <c r="J2981" s="1" t="s">
        <v>1671</v>
      </c>
      <c r="K2981" s="6" t="str">
        <f>"117.437,00"</f>
        <v>117.437,00</v>
      </c>
      <c r="L2981" s="6" t="str">
        <f>"29.359,25"</f>
        <v>29.359,25</v>
      </c>
      <c r="M2981" s="6" t="str">
        <f>"146.796,25"</f>
        <v>146.796,25</v>
      </c>
      <c r="N2981" s="5">
        <v>43437</v>
      </c>
      <c r="O2981" s="7"/>
      <c r="P2981" s="6" t="str">
        <f>"146.796,25"</f>
        <v>146.796,25</v>
      </c>
      <c r="Q2981" s="7"/>
      <c r="R2981" s="1"/>
      <c r="S2981" s="1" t="str">
        <f>"N-26/18-1"</f>
        <v>N-26/18-1</v>
      </c>
      <c r="T2981" s="2" t="s">
        <v>33</v>
      </c>
    </row>
    <row r="2982" spans="1:20" ht="38.25" x14ac:dyDescent="0.25">
      <c r="A2982" s="1">
        <v>2978</v>
      </c>
      <c r="B2982" s="1" t="str">
        <f>"2018-385"</f>
        <v>2018-385</v>
      </c>
      <c r="C2982" s="2" t="s">
        <v>1677</v>
      </c>
      <c r="D2982" s="1" t="s">
        <v>119</v>
      </c>
      <c r="E2982" s="3" t="str">
        <f>"2018/S 0F2-0014578"</f>
        <v>2018/S 0F2-0014578</v>
      </c>
      <c r="F2982" s="2" t="s">
        <v>23</v>
      </c>
      <c r="G2982" s="2" t="str">
        <f>CONCATENATE("GRADEX &amp; CO D.O.O.,"," PAVLOVEC ZABOČKI,"," PRILAZ DR. FRANJE TUĐMANA 4,"," 49210 ZABOK,"," OIB: 73369080939")</f>
        <v>GRADEX &amp; CO D.O.O., PAVLOVEC ZABOČKI, PRILAZ DR. FRANJE TUĐMANA 4, 49210 ZABOK, OIB: 73369080939</v>
      </c>
      <c r="H2982" s="4"/>
      <c r="I2982" s="1" t="s">
        <v>1124</v>
      </c>
      <c r="J2982" s="1" t="s">
        <v>1678</v>
      </c>
      <c r="K2982" s="6" t="str">
        <f>"1.147.164,00"</f>
        <v>1.147.164,00</v>
      </c>
      <c r="L2982" s="6" t="str">
        <f>"286.791,00"</f>
        <v>286.791,00</v>
      </c>
      <c r="M2982" s="6" t="str">
        <f>"1.433.955,00"</f>
        <v>1.433.955,00</v>
      </c>
      <c r="N2982" s="1" t="s">
        <v>117</v>
      </c>
      <c r="O2982" s="7"/>
      <c r="P2982" s="6" t="str">
        <f>""</f>
        <v/>
      </c>
      <c r="Q2982" s="7"/>
      <c r="R2982" s="1"/>
      <c r="S2982" s="1" t="str">
        <f>"N-27/18"</f>
        <v>N-27/18</v>
      </c>
      <c r="T2982" s="2" t="s">
        <v>29</v>
      </c>
    </row>
    <row r="2983" spans="1:20" ht="38.25" x14ac:dyDescent="0.25">
      <c r="A2983" s="1">
        <v>2979</v>
      </c>
      <c r="B2983" s="1" t="str">
        <f>"2018-2985"</f>
        <v>2018-2985</v>
      </c>
      <c r="C2983" s="2" t="s">
        <v>1679</v>
      </c>
      <c r="D2983" s="1" t="s">
        <v>119</v>
      </c>
      <c r="E2983" s="3" t="str">
        <f>"2018/S 0F2-0014303"</f>
        <v>2018/S 0F2-0014303</v>
      </c>
      <c r="F2983" s="2" t="s">
        <v>23</v>
      </c>
      <c r="G2983" s="2" t="str">
        <f>CONCATENATE("AGROPLAN D.O.O.,"," UGLJANSKA 14,"," 10000 ZAGREB,"," OIB: 13652531417")</f>
        <v>AGROPLAN D.O.O., UGLJANSKA 14, 10000 ZAGREB, OIB: 13652531417</v>
      </c>
      <c r="H2983" s="4"/>
      <c r="I2983" s="1" t="s">
        <v>1124</v>
      </c>
      <c r="J2983" s="1" t="s">
        <v>1678</v>
      </c>
      <c r="K2983" s="6" t="str">
        <f>"471.226,00"</f>
        <v>471.226,00</v>
      </c>
      <c r="L2983" s="6" t="str">
        <f>"117.806,50"</f>
        <v>117.806,50</v>
      </c>
      <c r="M2983" s="6" t="str">
        <f>"589.032,50"</f>
        <v>589.032,50</v>
      </c>
      <c r="N2983" s="1" t="s">
        <v>117</v>
      </c>
      <c r="O2983" s="7"/>
      <c r="P2983" s="6" t="str">
        <f>""</f>
        <v/>
      </c>
      <c r="Q2983" s="7"/>
      <c r="R2983" s="1"/>
      <c r="S2983" s="1" t="str">
        <f>"N-28/18"</f>
        <v>N-28/18</v>
      </c>
      <c r="T2983" s="2" t="s">
        <v>538</v>
      </c>
    </row>
    <row r="2984" spans="1:20" ht="38.25" x14ac:dyDescent="0.25">
      <c r="A2984" s="1">
        <v>2980</v>
      </c>
      <c r="B2984" s="1" t="str">
        <f>"2018-2989"</f>
        <v>2018-2989</v>
      </c>
      <c r="C2984" s="2" t="s">
        <v>1680</v>
      </c>
      <c r="D2984" s="1" t="s">
        <v>1519</v>
      </c>
      <c r="E2984" s="3" t="str">
        <f>"2018/S 0F2-0015786"</f>
        <v>2018/S 0F2-0015786</v>
      </c>
      <c r="F2984" s="2" t="s">
        <v>23</v>
      </c>
      <c r="G2984" s="2" t="str">
        <f>CONCATENATE("TEH - GRADNJA D.O.O.,"," KSENIJE KANTOCI 3,"," 10000 ZAGREB,"," OIB: 13530191392")</f>
        <v>TEH - GRADNJA D.O.O., KSENIJE KANTOCI 3, 10000 ZAGREB, OIB: 13530191392</v>
      </c>
      <c r="H2984" s="4"/>
      <c r="I2984" s="1" t="s">
        <v>1124</v>
      </c>
      <c r="J2984" s="1" t="s">
        <v>1678</v>
      </c>
      <c r="K2984" s="6" t="str">
        <f>"3.747.264,00"</f>
        <v>3.747.264,00</v>
      </c>
      <c r="L2984" s="6" t="str">
        <f>"936.816,00"</f>
        <v>936.816,00</v>
      </c>
      <c r="M2984" s="6" t="str">
        <f>"4.684.080,00"</f>
        <v>4.684.080,00</v>
      </c>
      <c r="N2984" s="5">
        <v>43651</v>
      </c>
      <c r="O2984" s="7"/>
      <c r="P2984" s="6" t="str">
        <f>"4.684.080,00"</f>
        <v>4.684.080,00</v>
      </c>
      <c r="Q2984" s="7"/>
      <c r="R2984" s="1"/>
      <c r="S2984" s="1" t="str">
        <f>"N-29/18"</f>
        <v>N-29/18</v>
      </c>
      <c r="T2984" s="2" t="s">
        <v>33</v>
      </c>
    </row>
    <row r="2985" spans="1:20" ht="38.25" x14ac:dyDescent="0.25">
      <c r="A2985" s="1">
        <v>2981</v>
      </c>
      <c r="B2985" s="1" t="str">
        <f>"2018-2562"</f>
        <v>2018-2562</v>
      </c>
      <c r="C2985" s="2" t="s">
        <v>1681</v>
      </c>
      <c r="D2985" s="1" t="s">
        <v>922</v>
      </c>
      <c r="E2985" s="3" t="str">
        <f>"2018/S 0F2-0016873"</f>
        <v>2018/S 0F2-0016873</v>
      </c>
      <c r="F2985" s="2" t="s">
        <v>23</v>
      </c>
      <c r="G2985" s="2" t="str">
        <f>CONCATENATE("BUBANJ - NISKOGRADNJA D.O.O.,"," KRUGE 7,"," 10000 ZAGREB,"," OIB: 29539944583")</f>
        <v>BUBANJ - NISKOGRADNJA D.O.O., KRUGE 7, 10000 ZAGREB, OIB: 29539944583</v>
      </c>
      <c r="H2985" s="4"/>
      <c r="I2985" s="1" t="s">
        <v>1134</v>
      </c>
      <c r="J2985" s="1" t="s">
        <v>1682</v>
      </c>
      <c r="K2985" s="6" t="str">
        <f>"9.746.756,50"</f>
        <v>9.746.756,50</v>
      </c>
      <c r="L2985" s="6" t="str">
        <f>"2.436.689,13"</f>
        <v>2.436.689,13</v>
      </c>
      <c r="M2985" s="6" t="str">
        <f>"12.183.445,63"</f>
        <v>12.183.445,63</v>
      </c>
      <c r="N2985" s="1" t="s">
        <v>117</v>
      </c>
      <c r="O2985" s="7"/>
      <c r="P2985" s="6" t="str">
        <f>""</f>
        <v/>
      </c>
      <c r="Q2985" s="7"/>
      <c r="R2985" s="1"/>
      <c r="S2985" s="1" t="str">
        <f>"N-30/18"</f>
        <v>N-30/18</v>
      </c>
      <c r="T2985" s="2" t="s">
        <v>29</v>
      </c>
    </row>
    <row r="2986" spans="1:20" ht="38.25" x14ac:dyDescent="0.25">
      <c r="A2986" s="1">
        <v>2982</v>
      </c>
      <c r="B2986" s="1" t="str">
        <f>"2018-789"</f>
        <v>2018-789</v>
      </c>
      <c r="C2986" s="2" t="s">
        <v>1683</v>
      </c>
      <c r="D2986" s="1" t="s">
        <v>922</v>
      </c>
      <c r="E2986" s="3" t="str">
        <f>"2018/S 0F2-0014299"</f>
        <v>2018/S 0F2-0014299</v>
      </c>
      <c r="F2986" s="2" t="s">
        <v>23</v>
      </c>
      <c r="G2986" s="2" t="str">
        <f>CONCATENATE("INSTAL-PROM D.O.O.,"," LJUTOMERSKA 33A,"," 10040 ZAGREB,"," OIB: 21231984689")</f>
        <v>INSTAL-PROM D.O.O., LJUTOMERSKA 33A, 10040 ZAGREB, OIB: 21231984689</v>
      </c>
      <c r="H2986" s="4"/>
      <c r="I2986" s="1" t="s">
        <v>1104</v>
      </c>
      <c r="J2986" s="1" t="s">
        <v>1684</v>
      </c>
      <c r="K2986" s="6" t="str">
        <f>"1.358.447,85"</f>
        <v>1.358.447,85</v>
      </c>
      <c r="L2986" s="6" t="str">
        <f>"339.611,96"</f>
        <v>339.611,96</v>
      </c>
      <c r="M2986" s="6" t="str">
        <f>"1.698.059,81"</f>
        <v>1.698.059,81</v>
      </c>
      <c r="N2986" s="1" t="s">
        <v>117</v>
      </c>
      <c r="O2986" s="7"/>
      <c r="P2986" s="6" t="str">
        <f>""</f>
        <v/>
      </c>
      <c r="Q2986" s="7"/>
      <c r="R2986" s="1"/>
      <c r="S2986" s="1" t="str">
        <f>"N-31/18"</f>
        <v>N-31/18</v>
      </c>
      <c r="T2986" s="2" t="s">
        <v>29</v>
      </c>
    </row>
    <row r="2987" spans="1:20" ht="38.25" x14ac:dyDescent="0.25">
      <c r="A2987" s="1">
        <v>2983</v>
      </c>
      <c r="B2987" s="1" t="str">
        <f>"2018-3015"</f>
        <v>2018-3015</v>
      </c>
      <c r="C2987" s="2" t="s">
        <v>1685</v>
      </c>
      <c r="D2987" s="1" t="s">
        <v>1561</v>
      </c>
      <c r="E2987" s="3" t="str">
        <f>"2018/S 0F2-0019547"</f>
        <v>2018/S 0F2-0019547</v>
      </c>
      <c r="F2987" s="2" t="s">
        <v>1686</v>
      </c>
      <c r="G2987" s="2" t="str">
        <f>CONCATENATE("OTP LEASING D.D.,"," AVENUE CENTER,"," AVENIJA DUBROVNIK 16/5,"," 10000 ZAGREB,"," OIB: 23780250353")</f>
        <v>OTP LEASING D.D., AVENUE CENTER, AVENIJA DUBROVNIK 16/5, 10000 ZAGREB, OIB: 23780250353</v>
      </c>
      <c r="H2987" s="4"/>
      <c r="I2987" s="1" t="s">
        <v>1687</v>
      </c>
      <c r="J2987" s="1" t="s">
        <v>1688</v>
      </c>
      <c r="K2987" s="6" t="str">
        <f>"6.459.530,40"</f>
        <v>6.459.530,40</v>
      </c>
      <c r="L2987" s="6" t="str">
        <f>"1.614.882,60"</f>
        <v>1.614.882,60</v>
      </c>
      <c r="M2987" s="6" t="str">
        <f>"8.074.413,00"</f>
        <v>8.074.413,00</v>
      </c>
      <c r="N2987" s="5">
        <v>43472</v>
      </c>
      <c r="O2987" s="7"/>
      <c r="P2987" s="6" t="str">
        <f>"8.074.413,00"</f>
        <v>8.074.413,00</v>
      </c>
      <c r="Q2987" s="7"/>
      <c r="R2987" s="1"/>
      <c r="S2987" s="1" t="str">
        <f>"N-32/18"</f>
        <v>N-32/18</v>
      </c>
      <c r="T2987" s="2" t="s">
        <v>33</v>
      </c>
    </row>
    <row r="2988" spans="1:20" ht="38.25" x14ac:dyDescent="0.25">
      <c r="A2988" s="1">
        <v>2984</v>
      </c>
      <c r="B2988" s="1" t="str">
        <f>"2018-1900"</f>
        <v>2018-1900</v>
      </c>
      <c r="C2988" s="2" t="s">
        <v>1689</v>
      </c>
      <c r="D2988" s="1" t="s">
        <v>1690</v>
      </c>
      <c r="E2988" s="3" t="str">
        <f>"2018/S 0F2-0027524"</f>
        <v>2018/S 0F2-0027524</v>
      </c>
      <c r="F2988" s="2" t="s">
        <v>23</v>
      </c>
      <c r="G2988" s="2" t="str">
        <f>CONCATENATE("KING ICT D.O.O.,"," BUZINSKI PRILAZ 10,"," 10010 ZAGREB,"," OIB: 67001695549")</f>
        <v>KING ICT D.O.O., BUZINSKI PRILAZ 10, 10010 ZAGREB, OIB: 67001695549</v>
      </c>
      <c r="H2988" s="4"/>
      <c r="I2988" s="1" t="s">
        <v>41</v>
      </c>
      <c r="J2988" s="1" t="s">
        <v>1691</v>
      </c>
      <c r="K2988" s="6" t="str">
        <f>"490.646,72"</f>
        <v>490.646,72</v>
      </c>
      <c r="L2988" s="6" t="str">
        <f>"122.661,68"</f>
        <v>122.661,68</v>
      </c>
      <c r="M2988" s="6" t="str">
        <f>"613.308,40"</f>
        <v>613.308,40</v>
      </c>
      <c r="N2988" s="5">
        <v>43547</v>
      </c>
      <c r="O2988" s="7"/>
      <c r="P2988" s="6" t="str">
        <f>"613.308,40"</f>
        <v>613.308,40</v>
      </c>
      <c r="Q2988" s="7"/>
      <c r="R2988" s="1"/>
      <c r="S2988" s="1" t="str">
        <f>"N-33/18"</f>
        <v>N-33/18</v>
      </c>
      <c r="T2988" s="2" t="s">
        <v>33</v>
      </c>
    </row>
    <row r="2989" spans="1:20" ht="38.25" x14ac:dyDescent="0.25">
      <c r="A2989" s="1">
        <v>2985</v>
      </c>
      <c r="B2989" s="1" t="str">
        <f>"2018-2981"</f>
        <v>2018-2981</v>
      </c>
      <c r="C2989" s="2" t="s">
        <v>1692</v>
      </c>
      <c r="D2989" s="1" t="s">
        <v>922</v>
      </c>
      <c r="E2989" s="3" t="str">
        <f>"2018/S 0F2-0022681"</f>
        <v>2018/S 0F2-0022681</v>
      </c>
      <c r="F2989" s="2" t="s">
        <v>23</v>
      </c>
      <c r="G2989" s="2" t="str">
        <f>CONCATENATE("GUT D.O.O.,"," SISAČKA 37,"," 10000 ZAGREB,"," OIB: 9501710522")</f>
        <v>GUT D.O.O., SISAČKA 37, 10000 ZAGREB, OIB: 9501710522</v>
      </c>
      <c r="H2989" s="4"/>
      <c r="I2989" s="1" t="s">
        <v>441</v>
      </c>
      <c r="J2989" s="1" t="s">
        <v>1693</v>
      </c>
      <c r="K2989" s="6" t="str">
        <f>"1.188.300,00"</f>
        <v>1.188.300,00</v>
      </c>
      <c r="L2989" s="6" t="str">
        <f>"297.075,00"</f>
        <v>297.075,00</v>
      </c>
      <c r="M2989" s="6" t="str">
        <f>"1.485.375,00"</f>
        <v>1.485.375,00</v>
      </c>
      <c r="N2989" s="1" t="s">
        <v>117</v>
      </c>
      <c r="O2989" s="7"/>
      <c r="P2989" s="6" t="str">
        <f>""</f>
        <v/>
      </c>
      <c r="Q2989" s="7"/>
      <c r="R2989" s="1"/>
      <c r="S2989" s="1" t="str">
        <f>"N-34/18"</f>
        <v>N-34/18</v>
      </c>
      <c r="T2989" s="2" t="s">
        <v>29</v>
      </c>
    </row>
    <row r="2990" spans="1:20" ht="153" x14ac:dyDescent="0.25">
      <c r="A2990" s="1">
        <v>2986</v>
      </c>
      <c r="B2990" s="1" t="str">
        <f>"2018-2868"</f>
        <v>2018-2868</v>
      </c>
      <c r="C2990" s="2" t="s">
        <v>1694</v>
      </c>
      <c r="D2990" s="1" t="s">
        <v>1325</v>
      </c>
      <c r="E2990" s="3" t="str">
        <f>"2018/S F14-0020549"</f>
        <v>2018/S F14-0020549</v>
      </c>
      <c r="F2990" s="2" t="s">
        <v>23</v>
      </c>
      <c r="G2990" s="2" t="str">
        <f>CONCATENATE("PROJECT 4 YOU D.O.O.,"," KLENOVEC 44,"," 10431 SVETA NEDELJA,"," OIB: 330813372")</f>
        <v>PROJECT 4 YOU D.O.O., KLENOVEC 44, 10431 SVETA NEDELJA, OIB: 330813372</v>
      </c>
      <c r="H2990" s="1" t="str">
        <f>CONCATENATE("MI PROJEKTIRAMO VAMA D.O.O.,"," OIB: 53680808571",CHAR(10),"PRONGRAD BIRO D.O.O.,"," OIB: 39036393587",CHAR(10),"GEOLEVEL D.O.O.,"," OIB: 17741185288")</f>
        <v>MI PROJEKTIRAMO VAMA D.O.O., OIB: 53680808571
PRONGRAD BIRO D.O.O., OIB: 39036393587
GEOLEVEL D.O.O., OIB: 17741185288</v>
      </c>
      <c r="I2990" s="1" t="s">
        <v>1134</v>
      </c>
      <c r="J2990" s="1" t="s">
        <v>1682</v>
      </c>
      <c r="K2990" s="6" t="str">
        <f>"87.500,00"</f>
        <v>87.500,00</v>
      </c>
      <c r="L2990" s="6" t="str">
        <f>"21.875,00"</f>
        <v>21.875,00</v>
      </c>
      <c r="M2990" s="6" t="str">
        <f>"109.375,00"</f>
        <v>109.375,00</v>
      </c>
      <c r="N2990" s="1" t="s">
        <v>117</v>
      </c>
      <c r="O2990" s="7"/>
      <c r="P2990" s="6" t="str">
        <f>""</f>
        <v/>
      </c>
      <c r="Q2990" s="7"/>
      <c r="R2990" s="1"/>
      <c r="S2990" s="1" t="str">
        <f>"N-35/18"</f>
        <v>N-35/18</v>
      </c>
      <c r="T2990" s="2" t="s">
        <v>29</v>
      </c>
    </row>
    <row r="2991" spans="1:20" ht="38.25" x14ac:dyDescent="0.25">
      <c r="A2991" s="1">
        <v>2987</v>
      </c>
      <c r="B2991" s="1" t="str">
        <f>"2018-377"</f>
        <v>2018-377</v>
      </c>
      <c r="C2991" s="2" t="s">
        <v>1695</v>
      </c>
      <c r="D2991" s="1" t="s">
        <v>119</v>
      </c>
      <c r="E2991" s="3" t="str">
        <f>"2018/S 0F2-0026137"</f>
        <v>2018/S 0F2-0026137</v>
      </c>
      <c r="F2991" s="2" t="s">
        <v>23</v>
      </c>
      <c r="G2991" s="2" t="str">
        <f>CONCATENATE("PA-EL D.O.O.,"," DUBROVČAN 33B,"," 49214 VELIKO TRGOVIŠĆE,"," OIB: 5674084932")</f>
        <v>PA-EL D.O.O., DUBROVČAN 33B, 49214 VELIKO TRGOVIŠĆE, OIB: 5674084932</v>
      </c>
      <c r="H2991" s="4"/>
      <c r="I2991" s="1" t="s">
        <v>679</v>
      </c>
      <c r="J2991" s="1" t="s">
        <v>792</v>
      </c>
      <c r="K2991" s="6" t="str">
        <f>"1.541.932,50"</f>
        <v>1.541.932,50</v>
      </c>
      <c r="L2991" s="6" t="str">
        <f>"385.483,13"</f>
        <v>385.483,13</v>
      </c>
      <c r="M2991" s="6" t="str">
        <f>"1.927.415,63"</f>
        <v>1.927.415,63</v>
      </c>
      <c r="N2991" s="1" t="s">
        <v>117</v>
      </c>
      <c r="O2991" s="7"/>
      <c r="P2991" s="6" t="str">
        <f>""</f>
        <v/>
      </c>
      <c r="Q2991" s="7"/>
      <c r="R2991" s="1"/>
      <c r="S2991" s="1" t="str">
        <f>"N-36/18"</f>
        <v>N-36/18</v>
      </c>
      <c r="T2991" s="2" t="s">
        <v>538</v>
      </c>
    </row>
    <row r="2992" spans="1:20" ht="38.25" x14ac:dyDescent="0.25">
      <c r="A2992" s="1">
        <v>2988</v>
      </c>
      <c r="B2992" s="1" t="str">
        <f>"2018-3055"</f>
        <v>2018-3055</v>
      </c>
      <c r="C2992" s="2" t="s">
        <v>1696</v>
      </c>
      <c r="D2992" s="1" t="s">
        <v>1573</v>
      </c>
      <c r="E2992" s="3" t="str">
        <f>"2018/S 0F2-0025098"</f>
        <v>2018/S 0F2-0025098</v>
      </c>
      <c r="F2992" s="2" t="s">
        <v>23</v>
      </c>
      <c r="G2992" s="2" t="str">
        <f>CONCATENATE("ANDEL D.O.O.,"," MAJSTORSKA 1/G,"," 10000 ZAGREB,"," OIB: 81891996613")</f>
        <v>ANDEL D.O.O., MAJSTORSKA 1/G, 10000 ZAGREB, OIB: 81891996613</v>
      </c>
      <c r="H2992" s="4"/>
      <c r="I2992" s="1" t="s">
        <v>41</v>
      </c>
      <c r="J2992" s="1" t="s">
        <v>1691</v>
      </c>
      <c r="K2992" s="6" t="str">
        <f>"360.000,00"</f>
        <v>360.000,00</v>
      </c>
      <c r="L2992" s="6" t="str">
        <f>"90.000,00"</f>
        <v>90.000,00</v>
      </c>
      <c r="M2992" s="6" t="str">
        <f>"450.000,00"</f>
        <v>450.000,00</v>
      </c>
      <c r="N2992" s="1" t="s">
        <v>117</v>
      </c>
      <c r="O2992" s="7"/>
      <c r="P2992" s="6" t="str">
        <f>""</f>
        <v/>
      </c>
      <c r="Q2992" s="7"/>
      <c r="R2992" s="1"/>
      <c r="S2992" s="1" t="str">
        <f>"N-37/18"</f>
        <v>N-37/18</v>
      </c>
      <c r="T2992" s="2" t="s">
        <v>538</v>
      </c>
    </row>
    <row r="2993" spans="1:20" ht="38.25" x14ac:dyDescent="0.25">
      <c r="A2993" s="1">
        <v>2989</v>
      </c>
      <c r="B2993" s="1" t="str">
        <f>"2018-3059"</f>
        <v>2018-3059</v>
      </c>
      <c r="C2993" s="2" t="s">
        <v>1697</v>
      </c>
      <c r="D2993" s="1" t="s">
        <v>1698</v>
      </c>
      <c r="E2993" s="3" t="str">
        <f>"2018/S 0F2-0025104"</f>
        <v>2018/S 0F2-0025104</v>
      </c>
      <c r="F2993" s="2" t="s">
        <v>23</v>
      </c>
      <c r="G2993" s="2" t="str">
        <f>CONCATENATE("HUNOR D.O.O.,"," REMETINEC 42,"," 10020 ZAGREB-NOVI ZAGREB,"," OIB: 7089783319")</f>
        <v>HUNOR D.O.O., REMETINEC 42, 10020 ZAGREB-NOVI ZAGREB, OIB: 7089783319</v>
      </c>
      <c r="H2993" s="4"/>
      <c r="I2993" s="1" t="s">
        <v>41</v>
      </c>
      <c r="J2993" s="1" t="s">
        <v>1691</v>
      </c>
      <c r="K2993" s="6" t="str">
        <f>"550.575,70"</f>
        <v>550.575,70</v>
      </c>
      <c r="L2993" s="6" t="str">
        <f>"137.643,93"</f>
        <v>137.643,93</v>
      </c>
      <c r="M2993" s="6" t="str">
        <f>"688.219,63"</f>
        <v>688.219,63</v>
      </c>
      <c r="N2993" s="1" t="s">
        <v>117</v>
      </c>
      <c r="O2993" s="7"/>
      <c r="P2993" s="6" t="str">
        <f>""</f>
        <v/>
      </c>
      <c r="Q2993" s="7"/>
      <c r="R2993" s="1"/>
      <c r="S2993" s="1" t="str">
        <f>"N-38/18"</f>
        <v>N-38/18</v>
      </c>
      <c r="T2993" s="2" t="s">
        <v>538</v>
      </c>
    </row>
    <row r="2994" spans="1:20" ht="38.25" x14ac:dyDescent="0.25">
      <c r="A2994" s="1">
        <v>2990</v>
      </c>
      <c r="B2994" s="1" t="str">
        <f>"2018-2891"</f>
        <v>2018-2891</v>
      </c>
      <c r="C2994" s="2" t="s">
        <v>1699</v>
      </c>
      <c r="D2994" s="1" t="s">
        <v>922</v>
      </c>
      <c r="E2994" s="3" t="str">
        <f>"2018/S 0F2-0014615"</f>
        <v>2018/S 0F2-0014615</v>
      </c>
      <c r="F2994" s="2" t="s">
        <v>23</v>
      </c>
      <c r="G2994" s="2" t="str">
        <f>CONCATENATE("INSTAL-PROM D.O.O.,"," LJUTOMERSKA 33A,"," 10040 ZAGREB,"," OIB: 21231984689")</f>
        <v>INSTAL-PROM D.O.O., LJUTOMERSKA 33A, 10040 ZAGREB, OIB: 21231984689</v>
      </c>
      <c r="H2994" s="4"/>
      <c r="I2994" s="1" t="s">
        <v>1134</v>
      </c>
      <c r="J2994" s="1" t="s">
        <v>1682</v>
      </c>
      <c r="K2994" s="6" t="str">
        <f>"669.440,36"</f>
        <v>669.440,36</v>
      </c>
      <c r="L2994" s="6" t="str">
        <f>"167.360,09"</f>
        <v>167.360,09</v>
      </c>
      <c r="M2994" s="6" t="str">
        <f>"836.800,45"</f>
        <v>836.800,45</v>
      </c>
      <c r="N2994" s="1" t="s">
        <v>117</v>
      </c>
      <c r="O2994" s="7"/>
      <c r="P2994" s="6" t="str">
        <f>""</f>
        <v/>
      </c>
      <c r="Q2994" s="7"/>
      <c r="R2994" s="1"/>
      <c r="S2994" s="1" t="str">
        <f>"N-39/18"</f>
        <v>N-39/18</v>
      </c>
      <c r="T2994" s="2" t="s">
        <v>29</v>
      </c>
    </row>
    <row r="2995" spans="1:20" ht="38.25" x14ac:dyDescent="0.25">
      <c r="A2995" s="1">
        <v>2991</v>
      </c>
      <c r="B2995" s="1" t="str">
        <f>"2018-2352"</f>
        <v>2018-2352</v>
      </c>
      <c r="C2995" s="2" t="s">
        <v>1700</v>
      </c>
      <c r="D2995" s="1" t="s">
        <v>1701</v>
      </c>
      <c r="E2995" s="3" t="str">
        <f>"2018/S 0F2-0020179"</f>
        <v>2018/S 0F2-0020179</v>
      </c>
      <c r="F2995" s="2" t="s">
        <v>23</v>
      </c>
      <c r="G2995" s="2" t="str">
        <f>CONCATENATE("ANDEL D.O.O.,"," MAJSTORSKA 1/G,"," 10000 ZAGREB,"," OIB: 81891996613")</f>
        <v>ANDEL D.O.O., MAJSTORSKA 1/G, 10000 ZAGREB, OIB: 81891996613</v>
      </c>
      <c r="H2995" s="4"/>
      <c r="I2995" s="1" t="s">
        <v>1702</v>
      </c>
      <c r="J2995" s="1" t="s">
        <v>729</v>
      </c>
      <c r="K2995" s="6" t="str">
        <f>"1.298.680,00"</f>
        <v>1.298.680,00</v>
      </c>
      <c r="L2995" s="6" t="str">
        <f>"324.670,00"</f>
        <v>324.670,00</v>
      </c>
      <c r="M2995" s="6" t="str">
        <f>"1.623.350,00"</f>
        <v>1.623.350,00</v>
      </c>
      <c r="N2995" s="1" t="s">
        <v>117</v>
      </c>
      <c r="O2995" s="7"/>
      <c r="P2995" s="6" t="str">
        <f>""</f>
        <v/>
      </c>
      <c r="Q2995" s="7"/>
      <c r="R2995" s="1"/>
      <c r="S2995" s="1" t="str">
        <f>"N-40/18"</f>
        <v>N-40/18</v>
      </c>
      <c r="T2995" s="2" t="s">
        <v>538</v>
      </c>
    </row>
    <row r="2996" spans="1:20" ht="38.25" x14ac:dyDescent="0.25">
      <c r="A2996" s="1">
        <v>2992</v>
      </c>
      <c r="B2996" s="1" t="str">
        <f>"2018-2983"</f>
        <v>2018-2983</v>
      </c>
      <c r="C2996" s="2" t="s">
        <v>1703</v>
      </c>
      <c r="D2996" s="1" t="s">
        <v>922</v>
      </c>
      <c r="E2996" s="3" t="str">
        <f>"2018/S 0F2-0016735"</f>
        <v>2018/S 0F2-0016735</v>
      </c>
      <c r="F2996" s="2" t="s">
        <v>23</v>
      </c>
      <c r="G2996" s="2" t="str">
        <f>CONCATENATE("TIGRA D.O.O.,"," IVANIĆGRADSKA 22,"," 10000 ZAGREB,"," OIB: 2983006023")</f>
        <v>TIGRA D.O.O., IVANIĆGRADSKA 22, 10000 ZAGREB, OIB: 2983006023</v>
      </c>
      <c r="H2996" s="1" t="str">
        <f>CONCATENATE("DAGOR D.O.O.,"," OIB: 50966188893")</f>
        <v>DAGOR D.O.O., OIB: 50966188893</v>
      </c>
      <c r="I2996" s="1" t="s">
        <v>144</v>
      </c>
      <c r="J2996" s="1" t="s">
        <v>1704</v>
      </c>
      <c r="K2996" s="6" t="str">
        <f>"1.684.631,00"</f>
        <v>1.684.631,00</v>
      </c>
      <c r="L2996" s="6" t="str">
        <f>"421.157,75"</f>
        <v>421.157,75</v>
      </c>
      <c r="M2996" s="6" t="str">
        <f>"2.105.788,75"</f>
        <v>2.105.788,75</v>
      </c>
      <c r="N2996" s="1" t="s">
        <v>117</v>
      </c>
      <c r="O2996" s="7"/>
      <c r="P2996" s="6" t="str">
        <f>""</f>
        <v/>
      </c>
      <c r="Q2996" s="7"/>
      <c r="R2996" s="1"/>
      <c r="S2996" s="1" t="str">
        <f>"N-41/18"</f>
        <v>N-41/18</v>
      </c>
      <c r="T2996" s="2" t="s">
        <v>29</v>
      </c>
    </row>
    <row r="2997" spans="1:20" ht="102" x14ac:dyDescent="0.25">
      <c r="A2997" s="1">
        <v>2993</v>
      </c>
      <c r="B2997" s="1" t="str">
        <f>"2018-2496"</f>
        <v>2018-2496</v>
      </c>
      <c r="C2997" s="2" t="s">
        <v>1705</v>
      </c>
      <c r="D2997" s="1" t="s">
        <v>119</v>
      </c>
      <c r="E2997" s="3" t="str">
        <f>"2018/S 0F2-0024744"</f>
        <v>2018/S 0F2-0024744</v>
      </c>
      <c r="F2997" s="2" t="s">
        <v>23</v>
      </c>
      <c r="G2997" s="2" t="str">
        <f>CONCATENATE("MONTMONTAŽA-ZAVARTEK D.O.O.,"," RAKITNICA 2,"," 10040 ZAGREB,"," OIB: 1628810323")</f>
        <v>MONTMONTAŽA-ZAVARTEK D.O.O., RAKITNICA 2, 10040 ZAGREB, OIB: 1628810323</v>
      </c>
      <c r="H2997" s="1" t="str">
        <f>CONCATENATE("ZIK D.O.O.,"," OIB: 74121470605",CHAR(10),"GEAMEDITOR D.O.O.,"," OIB: 35959507784",CHAR(10),"PA-EL D.O.O.,"," OIB: 5674084932")</f>
        <v>ZIK D.O.O., OIB: 74121470605
GEAMEDITOR D.O.O., OIB: 35959507784
PA-EL D.O.O., OIB: 5674084932</v>
      </c>
      <c r="I2997" s="1" t="s">
        <v>159</v>
      </c>
      <c r="J2997" s="1" t="s">
        <v>1706</v>
      </c>
      <c r="K2997" s="6" t="str">
        <f>"859.895,30"</f>
        <v>859.895,30</v>
      </c>
      <c r="L2997" s="6" t="str">
        <f>"214.973,83"</f>
        <v>214.973,83</v>
      </c>
      <c r="M2997" s="6" t="str">
        <f>"1.074.869,13"</f>
        <v>1.074.869,13</v>
      </c>
      <c r="N2997" s="1" t="s">
        <v>117</v>
      </c>
      <c r="O2997" s="7"/>
      <c r="P2997" s="6" t="str">
        <f>""</f>
        <v/>
      </c>
      <c r="Q2997" s="7"/>
      <c r="R2997" s="1"/>
      <c r="S2997" s="1" t="str">
        <f>"N-42/18"</f>
        <v>N-42/18</v>
      </c>
      <c r="T2997" s="2" t="s">
        <v>538</v>
      </c>
    </row>
    <row r="2998" spans="1:20" ht="102" x14ac:dyDescent="0.25">
      <c r="A2998" s="1">
        <v>2994</v>
      </c>
      <c r="B2998" s="1" t="str">
        <f>"2018-1015"</f>
        <v>2018-1015</v>
      </c>
      <c r="C2998" s="2" t="s">
        <v>1707</v>
      </c>
      <c r="D2998" s="1" t="s">
        <v>1325</v>
      </c>
      <c r="E2998" s="3" t="str">
        <f>"2018/S 0F2-0012098"</f>
        <v>2018/S 0F2-0012098</v>
      </c>
      <c r="F2998" s="2" t="s">
        <v>23</v>
      </c>
      <c r="G2998" s="2" t="str">
        <f>CONCATENATE("PRONGRAD BIRO D.O.O.,"," VRISNIČKA 16,"," 10000 ZAGREB,"," OIB: 39036393587")</f>
        <v>PRONGRAD BIRO D.O.O., VRISNIČKA 16, 10000 ZAGREB, OIB: 39036393587</v>
      </c>
      <c r="H2998" s="1" t="str">
        <f>CONCATENATE("EPTISA SERVICIOS DE INGENIERIA S.L.,"," OIB: ",CHAR(10),"EPTISA SERVICIOS DE INGENIERIA S.L.,"," OIB: ")</f>
        <v xml:space="preserve">EPTISA SERVICIOS DE INGENIERIA S.L., OIB: 
EPTISA SERVICIOS DE INGENIERIA S.L., OIB: </v>
      </c>
      <c r="I2998" s="1" t="s">
        <v>159</v>
      </c>
      <c r="J2998" s="1" t="s">
        <v>1706</v>
      </c>
      <c r="K2998" s="6" t="str">
        <f>"159.500,00"</f>
        <v>159.500,00</v>
      </c>
      <c r="L2998" s="6" t="str">
        <f>"39.875,00"</f>
        <v>39.875,00</v>
      </c>
      <c r="M2998" s="6" t="str">
        <f>"199.375,00"</f>
        <v>199.375,00</v>
      </c>
      <c r="N2998" s="1" t="s">
        <v>117</v>
      </c>
      <c r="O2998" s="7"/>
      <c r="P2998" s="6" t="str">
        <f>""</f>
        <v/>
      </c>
      <c r="Q2998" s="7"/>
      <c r="R2998" s="1"/>
      <c r="S2998" s="1" t="str">
        <f>"N-43-A/18"</f>
        <v>N-43-A/18</v>
      </c>
      <c r="T2998" s="2" t="s">
        <v>538</v>
      </c>
    </row>
    <row r="2999" spans="1:20" ht="38.25" x14ac:dyDescent="0.25">
      <c r="A2999" s="1">
        <v>2995</v>
      </c>
      <c r="B2999" s="1" t="str">
        <f>"2018-910"</f>
        <v>2018-910</v>
      </c>
      <c r="C2999" s="2" t="s">
        <v>1708</v>
      </c>
      <c r="D2999" s="1" t="s">
        <v>1543</v>
      </c>
      <c r="E2999" s="3" t="str">
        <f>"2018/S 0F2-0027865"</f>
        <v>2018/S 0F2-0027865</v>
      </c>
      <c r="F2999" s="2" t="s">
        <v>23</v>
      </c>
      <c r="G2999" s="2" t="str">
        <f>CONCATENATE("HOLOSYS D.O.O.")</f>
        <v>HOLOSYS D.O.O.</v>
      </c>
      <c r="H2999" s="4"/>
      <c r="I2999" s="1" t="s">
        <v>53</v>
      </c>
      <c r="J2999" s="1" t="s">
        <v>45</v>
      </c>
      <c r="K2999" s="6" t="str">
        <f>"1.268.770,82"</f>
        <v>1.268.770,82</v>
      </c>
      <c r="L2999" s="6" t="str">
        <f>"317.192,71"</f>
        <v>317.192,71</v>
      </c>
      <c r="M2999" s="6" t="str">
        <f>"1.585.963,53"</f>
        <v>1.585.963,53</v>
      </c>
      <c r="N2999" s="1" t="s">
        <v>117</v>
      </c>
      <c r="O2999" s="7"/>
      <c r="P2999" s="6" t="str">
        <f>""</f>
        <v/>
      </c>
      <c r="Q2999" s="7"/>
      <c r="R2999" s="1"/>
      <c r="S2999" s="1" t="str">
        <f>"N-44/18"</f>
        <v>N-44/18</v>
      </c>
      <c r="T2999" s="2" t="s">
        <v>538</v>
      </c>
    </row>
    <row r="3000" spans="1:20" ht="153" x14ac:dyDescent="0.25">
      <c r="A3000" s="1">
        <v>2996</v>
      </c>
      <c r="B3000" s="1" t="str">
        <f>"2018-1484"</f>
        <v>2018-1484</v>
      </c>
      <c r="C3000" s="2" t="s">
        <v>1709</v>
      </c>
      <c r="D3000" s="1" t="s">
        <v>1325</v>
      </c>
      <c r="E3000" s="3" t="str">
        <f>"2018/S 0F2-0018457"</f>
        <v>2018/S 0F2-0018457</v>
      </c>
      <c r="F3000" s="2" t="s">
        <v>23</v>
      </c>
      <c r="G3000" s="2" t="str">
        <f>CONCATENATE("PROJECT 4 YOU D.O.O.,"," KLENOVEC 44,"," 10431 SVETA NEDELJA,"," OIB: 330813372")</f>
        <v>PROJECT 4 YOU D.O.O., KLENOVEC 44, 10431 SVETA NEDELJA, OIB: 330813372</v>
      </c>
      <c r="H3000" s="1" t="str">
        <f>CONCATENATE("MI PROJEKTIRAMO VAMA D.O.O.,"," OIB: 53680808571",CHAR(10),"PRONGRAD BIRO D.O.O.,"," OIB: 39036393587",CHAR(10),"GEOLEVEL D.O.O.,"," OIB: 17741185288")</f>
        <v>MI PROJEKTIRAMO VAMA D.O.O., OIB: 53680808571
PRONGRAD BIRO D.O.O., OIB: 39036393587
GEOLEVEL D.O.O., OIB: 17741185288</v>
      </c>
      <c r="I3000" s="1" t="s">
        <v>1676</v>
      </c>
      <c r="J3000" s="1" t="s">
        <v>587</v>
      </c>
      <c r="K3000" s="6" t="str">
        <f>"99.000,00"</f>
        <v>99.000,00</v>
      </c>
      <c r="L3000" s="6" t="str">
        <f>"24.750,00"</f>
        <v>24.750,00</v>
      </c>
      <c r="M3000" s="6" t="str">
        <f>"123.750,00"</f>
        <v>123.750,00</v>
      </c>
      <c r="N3000" s="1" t="s">
        <v>117</v>
      </c>
      <c r="O3000" s="7"/>
      <c r="P3000" s="6" t="str">
        <f>""</f>
        <v/>
      </c>
      <c r="Q3000" s="7"/>
      <c r="R3000" s="1"/>
      <c r="S3000" s="1" t="str">
        <f>"N-45/18"</f>
        <v>N-45/18</v>
      </c>
      <c r="T3000" s="2" t="s">
        <v>29</v>
      </c>
    </row>
    <row r="3001" spans="1:20" ht="38.25" x14ac:dyDescent="0.25">
      <c r="A3001" s="1">
        <v>2997</v>
      </c>
      <c r="B3001" s="1" t="str">
        <f>"2018-3017"</f>
        <v>2018-3017</v>
      </c>
      <c r="C3001" s="2" t="s">
        <v>1710</v>
      </c>
      <c r="D3001" s="1" t="s">
        <v>313</v>
      </c>
      <c r="E3001" s="3" t="str">
        <f>"2018/S 0F2-0030591"</f>
        <v>2018/S 0F2-0030591</v>
      </c>
      <c r="F3001" s="2" t="s">
        <v>23</v>
      </c>
      <c r="G3001" s="2" t="str">
        <f>CONCATENATE("STORM COMPUTERS D.O.O.,"," SAVICA I. 127,"," 10000 ZAGREB,"," OIB: 20142998436")</f>
        <v>STORM COMPUTERS D.O.O., SAVICA I. 127, 10000 ZAGREB, OIB: 20142998436</v>
      </c>
      <c r="H3001" s="4"/>
      <c r="I3001" s="1" t="s">
        <v>474</v>
      </c>
      <c r="J3001" s="1" t="s">
        <v>796</v>
      </c>
      <c r="K3001" s="6" t="str">
        <f>"729.996,00"</f>
        <v>729.996,00</v>
      </c>
      <c r="L3001" s="6" t="str">
        <f>"182.499,00"</f>
        <v>182.499,00</v>
      </c>
      <c r="M3001" s="6" t="str">
        <f>"912.495,00"</f>
        <v>912.495,00</v>
      </c>
      <c r="N3001" s="1" t="s">
        <v>117</v>
      </c>
      <c r="O3001" s="7"/>
      <c r="P3001" s="6" t="str">
        <f>""</f>
        <v/>
      </c>
      <c r="Q3001" s="7"/>
      <c r="R3001" s="1"/>
      <c r="S3001" s="1" t="str">
        <f>"N-46/18"</f>
        <v>N-46/18</v>
      </c>
      <c r="T3001" s="2" t="s">
        <v>538</v>
      </c>
    </row>
    <row r="3002" spans="1:20" ht="38.25" x14ac:dyDescent="0.25">
      <c r="A3002" s="1">
        <v>2998</v>
      </c>
      <c r="B3002" s="1" t="str">
        <f>"2018-191"</f>
        <v>2018-191</v>
      </c>
      <c r="C3002" s="2" t="s">
        <v>1711</v>
      </c>
      <c r="D3002" s="1" t="s">
        <v>1351</v>
      </c>
      <c r="E3002" s="3" t="str">
        <f>"2018/S 0F2-0023720"</f>
        <v>2018/S 0F2-0023720</v>
      </c>
      <c r="F3002" s="2" t="s">
        <v>23</v>
      </c>
      <c r="G3002" s="2" t="str">
        <f>CONCATENATE("BENUSSI D. O. O.,"," FAŽANSKA CESTA 86,"," 52212 FAŽANA,"," OIB: 87971197112")</f>
        <v>BENUSSI D. O. O., FAŽANSKA CESTA 86, 52212 FAŽANA, OIB: 87971197112</v>
      </c>
      <c r="H3002" s="4"/>
      <c r="I3002" s="1" t="s">
        <v>474</v>
      </c>
      <c r="J3002" s="1" t="s">
        <v>796</v>
      </c>
      <c r="K3002" s="6" t="str">
        <f>"690.000,00"</f>
        <v>690.000,00</v>
      </c>
      <c r="L3002" s="6" t="str">
        <f>"172.500,00"</f>
        <v>172.500,00</v>
      </c>
      <c r="M3002" s="6" t="str">
        <f>"862.500,00"</f>
        <v>862.500,00</v>
      </c>
      <c r="N3002" s="1" t="s">
        <v>117</v>
      </c>
      <c r="O3002" s="7"/>
      <c r="P3002" s="6" t="str">
        <f>""</f>
        <v/>
      </c>
      <c r="Q3002" s="7"/>
      <c r="R3002" s="1"/>
      <c r="S3002" s="1" t="str">
        <f>"N-47/18"</f>
        <v>N-47/18</v>
      </c>
      <c r="T3002" s="2" t="s">
        <v>29</v>
      </c>
    </row>
    <row r="3003" spans="1:20" ht="38.25" x14ac:dyDescent="0.25">
      <c r="A3003" s="1">
        <v>2999</v>
      </c>
      <c r="B3003" s="1" t="str">
        <f>"2018-1192"</f>
        <v>2018-1192</v>
      </c>
      <c r="C3003" s="2" t="s">
        <v>1712</v>
      </c>
      <c r="D3003" s="1" t="s">
        <v>972</v>
      </c>
      <c r="E3003" s="3" t="str">
        <f>"2018/S 0F2-0017998"</f>
        <v>2018/S 0F2-0017998</v>
      </c>
      <c r="F3003" s="2" t="s">
        <v>23</v>
      </c>
      <c r="G3003" s="2" t="str">
        <f>CONCATENATE("MONTER-STROJARSKE MONTAŽE D.D.,"," VELIMIRA ŠKORPIKA 28,"," 10000 ZAGREB,"," OIB: 13887374452")</f>
        <v>MONTER-STROJARSKE MONTAŽE D.D., VELIMIRA ŠKORPIKA 28, 10000 ZAGREB, OIB: 13887374452</v>
      </c>
      <c r="H3003" s="4"/>
      <c r="I3003" s="1" t="s">
        <v>1063</v>
      </c>
      <c r="J3003" s="1" t="s">
        <v>719</v>
      </c>
      <c r="K3003" s="6" t="str">
        <f>"262.676,90"</f>
        <v>262.676,90</v>
      </c>
      <c r="L3003" s="6" t="str">
        <f>"65.669,23"</f>
        <v>65.669,23</v>
      </c>
      <c r="M3003" s="6" t="str">
        <f>"328.346,13"</f>
        <v>328.346,13</v>
      </c>
      <c r="N3003" s="1" t="s">
        <v>117</v>
      </c>
      <c r="O3003" s="7"/>
      <c r="P3003" s="6" t="str">
        <f>""</f>
        <v/>
      </c>
      <c r="Q3003" s="7"/>
      <c r="R3003" s="1"/>
      <c r="S3003" s="1" t="str">
        <f>"N-48/18"</f>
        <v>N-48/18</v>
      </c>
      <c r="T3003" s="2" t="s">
        <v>538</v>
      </c>
    </row>
    <row r="3004" spans="1:20" ht="38.25" x14ac:dyDescent="0.25">
      <c r="A3004" s="1">
        <v>3000</v>
      </c>
      <c r="B3004" s="1" t="str">
        <f>"2018-3087"</f>
        <v>2018-3087</v>
      </c>
      <c r="C3004" s="2" t="s">
        <v>1713</v>
      </c>
      <c r="D3004" s="1" t="s">
        <v>448</v>
      </c>
      <c r="E3004" s="3" t="str">
        <f>"2018/S 0F2-0028271"</f>
        <v>2018/S 0F2-0028271</v>
      </c>
      <c r="F3004" s="2" t="s">
        <v>23</v>
      </c>
      <c r="G3004" s="2" t="str">
        <f>CONCATENATE("TOME D.O.O.,"," PRIKEŠTE 14,"," 51513 OMIŠALJ,"," OIB: 2682345072")</f>
        <v>TOME D.O.O., PRIKEŠTE 14, 51513 OMIŠALJ, OIB: 2682345072</v>
      </c>
      <c r="H3004" s="4"/>
      <c r="I3004" s="1" t="s">
        <v>53</v>
      </c>
      <c r="J3004" s="1" t="s">
        <v>45</v>
      </c>
      <c r="K3004" s="6" t="str">
        <f>"1.264.420,00"</f>
        <v>1.264.420,00</v>
      </c>
      <c r="L3004" s="6" t="str">
        <f>"316.105,00"</f>
        <v>316.105,00</v>
      </c>
      <c r="M3004" s="6" t="str">
        <f>"1.580.525,00"</f>
        <v>1.580.525,00</v>
      </c>
      <c r="N3004" s="5">
        <v>43553</v>
      </c>
      <c r="O3004" s="7"/>
      <c r="P3004" s="6" t="str">
        <f>"1.578.262,50"</f>
        <v>1.578.262,50</v>
      </c>
      <c r="Q3004" s="7"/>
      <c r="R3004" s="1"/>
      <c r="S3004" s="1" t="str">
        <f>"N-49/18"</f>
        <v>N-49/18</v>
      </c>
      <c r="T3004" s="2" t="s">
        <v>33</v>
      </c>
    </row>
    <row r="3005" spans="1:20" ht="191.25" x14ac:dyDescent="0.25">
      <c r="A3005" s="1">
        <v>3001</v>
      </c>
      <c r="B3005" s="1" t="str">
        <f>"2018-106"</f>
        <v>2018-106</v>
      </c>
      <c r="C3005" s="2" t="s">
        <v>1714</v>
      </c>
      <c r="D3005" s="1" t="s">
        <v>119</v>
      </c>
      <c r="E3005" s="3" t="str">
        <f>"2018/S 0F2-0025698"</f>
        <v>2018/S 0F2-0025698</v>
      </c>
      <c r="F3005" s="2" t="s">
        <v>23</v>
      </c>
      <c r="G3005" s="2" t="str">
        <f>CONCATENATE("MONTMONTAŽA-ZAVARTEK D.O.O.,"," RAKITNICA 2,"," 10040 ZAGREB,"," OIB: 1628810323")</f>
        <v>MONTMONTAŽA-ZAVARTEK D.O.O., RAKITNICA 2, 10040 ZAGREB, OIB: 1628810323</v>
      </c>
      <c r="H3005" s="1" t="str">
        <f>CONCATENATE("GEAMEDITOR D.O.O.,"," OIB: 35959507784",CHAR(10),"PA-EL D.O.O.,"," OIB: 56740849320",CHAR(10),"ZIT D.O.O.,"," OIB: 58721577676",CHAR(10),"KONSPEKT D.O.O. ZA ZAŠTITU NA RADU,"," TEHNIČKA ISPITIVANJA I ANALIZE,"," OIB: 93206044533")</f>
        <v>GEAMEDITOR D.O.O., OIB: 35959507784
PA-EL D.O.O., OIB: 56740849320
ZIT D.O.O., OIB: 58721577676
KONSPEKT D.O.O. ZA ZAŠTITU NA RADU, TEHNIČKA ISPITIVANJA I ANALIZE, OIB: 93206044533</v>
      </c>
      <c r="I3005" s="1" t="s">
        <v>53</v>
      </c>
      <c r="J3005" s="1" t="s">
        <v>45</v>
      </c>
      <c r="K3005" s="6" t="str">
        <f>"1.219.642,00"</f>
        <v>1.219.642,00</v>
      </c>
      <c r="L3005" s="6" t="str">
        <f>"304.910,50"</f>
        <v>304.910,50</v>
      </c>
      <c r="M3005" s="6" t="str">
        <f>"1.524.552,50"</f>
        <v>1.524.552,50</v>
      </c>
      <c r="N3005" s="1" t="s">
        <v>117</v>
      </c>
      <c r="O3005" s="7"/>
      <c r="P3005" s="6" t="str">
        <f>""</f>
        <v/>
      </c>
      <c r="Q3005" s="7"/>
      <c r="R3005" s="1"/>
      <c r="S3005" s="1" t="str">
        <f>"N-50/18"</f>
        <v>N-50/18</v>
      </c>
      <c r="T3005" s="2" t="s">
        <v>538</v>
      </c>
    </row>
    <row r="3006" spans="1:20" ht="38.25" x14ac:dyDescent="0.25">
      <c r="A3006" s="1">
        <v>3002</v>
      </c>
      <c r="B3006" s="1" t="str">
        <f>"2018-2019"</f>
        <v>2018-2019</v>
      </c>
      <c r="C3006" s="2" t="s">
        <v>1715</v>
      </c>
      <c r="D3006" s="1" t="s">
        <v>119</v>
      </c>
      <c r="E3006" s="3" t="str">
        <f>"2018/S 0F2-0024143"</f>
        <v>2018/S 0F2-0024143</v>
      </c>
      <c r="F3006" s="2" t="s">
        <v>23</v>
      </c>
      <c r="G3006" s="2" t="str">
        <f>CONCATENATE("GEORAD D.O.O.,"," KORNATSKA 1,"," 10000 ZAGREB,"," OIB: 49756748234")</f>
        <v>GEORAD D.O.O., KORNATSKA 1, 10000 ZAGREB, OIB: 49756748234</v>
      </c>
      <c r="H3006" s="4"/>
      <c r="I3006" s="1" t="s">
        <v>474</v>
      </c>
      <c r="J3006" s="1" t="s">
        <v>796</v>
      </c>
      <c r="K3006" s="6" t="str">
        <f>"4.336.034,60"</f>
        <v>4.336.034,60</v>
      </c>
      <c r="L3006" s="6" t="str">
        <f>"1.084.008,65"</f>
        <v>1.084.008,65</v>
      </c>
      <c r="M3006" s="6" t="str">
        <f>"5.420.043,25"</f>
        <v>5.420.043,25</v>
      </c>
      <c r="N3006" s="1" t="s">
        <v>117</v>
      </c>
      <c r="O3006" s="7"/>
      <c r="P3006" s="6" t="str">
        <f>""</f>
        <v/>
      </c>
      <c r="Q3006" s="7"/>
      <c r="R3006" s="1"/>
      <c r="S3006" s="1" t="str">
        <f>"N-51/18"</f>
        <v>N-51/18</v>
      </c>
      <c r="T3006" s="2" t="s">
        <v>29</v>
      </c>
    </row>
    <row r="3007" spans="1:20" ht="89.25" x14ac:dyDescent="0.25">
      <c r="A3007" s="1">
        <v>3003</v>
      </c>
      <c r="B3007" s="1" t="str">
        <f>"2018-3065"</f>
        <v>2018-3065</v>
      </c>
      <c r="C3007" s="2" t="s">
        <v>1716</v>
      </c>
      <c r="D3007" s="1" t="s">
        <v>119</v>
      </c>
      <c r="E3007" s="3" t="str">
        <f>"2018/S 0F2-0026135"</f>
        <v>2018/S 0F2-0026135</v>
      </c>
      <c r="F3007" s="2" t="s">
        <v>23</v>
      </c>
      <c r="G3007" s="2" t="str">
        <f>CONCATENATE("MONTER-STROJARSKE MONTAŽE D.D.,"," VELIMIRA ŠKORPIKA 28,"," 10000 ZAGREB,"," OIB: 13887374452")</f>
        <v>MONTER-STROJARSKE MONTAŽE D.D., VELIMIRA ŠKORPIKA 28, 10000 ZAGREB, OIB: 13887374452</v>
      </c>
      <c r="H3007" s="1" t="str">
        <f>CONCATENATE("PALIĆ INŽENJERING D.O.O.,"," OIB: 99750077832",CHAR(10),"GEOANDA D.O.O.,"," OIB: 70840886172")</f>
        <v>PALIĆ INŽENJERING D.O.O., OIB: 99750077832
GEOANDA D.O.O., OIB: 70840886172</v>
      </c>
      <c r="I3007" s="1" t="s">
        <v>474</v>
      </c>
      <c r="J3007" s="1" t="s">
        <v>796</v>
      </c>
      <c r="K3007" s="6" t="str">
        <f>"2.797.682,65"</f>
        <v>2.797.682,65</v>
      </c>
      <c r="L3007" s="6" t="str">
        <f>"699.420,66"</f>
        <v>699.420,66</v>
      </c>
      <c r="M3007" s="6" t="str">
        <f>"3.497.103,31"</f>
        <v>3.497.103,31</v>
      </c>
      <c r="N3007" s="1" t="s">
        <v>117</v>
      </c>
      <c r="O3007" s="7"/>
      <c r="P3007" s="6" t="str">
        <f>""</f>
        <v/>
      </c>
      <c r="Q3007" s="7"/>
      <c r="R3007" s="1"/>
      <c r="S3007" s="1" t="str">
        <f>"N-52/18"</f>
        <v>N-52/18</v>
      </c>
      <c r="T3007" s="2" t="s">
        <v>538</v>
      </c>
    </row>
    <row r="3008" spans="1:20" ht="51" x14ac:dyDescent="0.25">
      <c r="A3008" s="1">
        <v>3004</v>
      </c>
      <c r="B3008" s="1" t="str">
        <f>"2018-1243"</f>
        <v>2018-1243</v>
      </c>
      <c r="C3008" s="2" t="s">
        <v>1717</v>
      </c>
      <c r="D3008" s="1" t="s">
        <v>1384</v>
      </c>
      <c r="E3008" s="3" t="str">
        <f>"2018/S 0F2-0024093"</f>
        <v>2018/S 0F2-0024093</v>
      </c>
      <c r="F3008" s="2" t="s">
        <v>23</v>
      </c>
      <c r="G3008" s="2" t="str">
        <f>CONCATENATE("APZ HIDRIA D.O.O.,"," ZAGREBAČKA 233,"," 10000 ZAGREB,"," OIB: 76901428643")</f>
        <v>APZ HIDRIA D.O.O., ZAGREBAČKA 233, 10000 ZAGREB, OIB: 76901428643</v>
      </c>
      <c r="H3008" s="1" t="str">
        <f>CONCATENATE("FLAMIT D.O.O.,"," OIB: 84050612509")</f>
        <v>FLAMIT D.O.O., OIB: 84050612509</v>
      </c>
      <c r="I3008" s="1" t="s">
        <v>53</v>
      </c>
      <c r="J3008" s="1" t="s">
        <v>45</v>
      </c>
      <c r="K3008" s="6" t="str">
        <f>"142.500,00"</f>
        <v>142.500,00</v>
      </c>
      <c r="L3008" s="6" t="str">
        <f>"35.625,00"</f>
        <v>35.625,00</v>
      </c>
      <c r="M3008" s="6" t="str">
        <f>"178.125,00"</f>
        <v>178.125,00</v>
      </c>
      <c r="N3008" s="1" t="s">
        <v>117</v>
      </c>
      <c r="O3008" s="7"/>
      <c r="P3008" s="6" t="str">
        <f>""</f>
        <v/>
      </c>
      <c r="Q3008" s="7"/>
      <c r="R3008" s="1"/>
      <c r="S3008" s="1" t="str">
        <f>"N-53/18"</f>
        <v>N-53/18</v>
      </c>
      <c r="T3008" s="2" t="s">
        <v>29</v>
      </c>
    </row>
    <row r="3009" spans="1:20" ht="51" x14ac:dyDescent="0.25">
      <c r="A3009" s="1">
        <v>3005</v>
      </c>
      <c r="B3009" s="1" t="str">
        <f>"2018-95"</f>
        <v>2018-95</v>
      </c>
      <c r="C3009" s="2" t="s">
        <v>1718</v>
      </c>
      <c r="D3009" s="1" t="s">
        <v>1384</v>
      </c>
      <c r="E3009" s="3" t="str">
        <f>"2018/S 0F2-0017352"</f>
        <v>2018/S 0F2-0017352</v>
      </c>
      <c r="F3009" s="2" t="s">
        <v>23</v>
      </c>
      <c r="G3009" s="2" t="str">
        <f>CONCATENATE("HIDRO UNA D.O.O.,"," JOSIPA ANIĆA 14,"," 10000 ZAGREB,"," OIB: 60109409627")</f>
        <v>HIDRO UNA D.O.O., JOSIPA ANIĆA 14, 10000 ZAGREB, OIB: 60109409627</v>
      </c>
      <c r="H3009" s="4"/>
      <c r="I3009" s="1" t="s">
        <v>372</v>
      </c>
      <c r="J3009" s="1" t="s">
        <v>830</v>
      </c>
      <c r="K3009" s="6" t="str">
        <f>"138.000,00"</f>
        <v>138.000,00</v>
      </c>
      <c r="L3009" s="6" t="str">
        <f>"34.500,00"</f>
        <v>34.500,00</v>
      </c>
      <c r="M3009" s="6" t="str">
        <f>"172.500,00"</f>
        <v>172.500,00</v>
      </c>
      <c r="N3009" s="1" t="s">
        <v>117</v>
      </c>
      <c r="O3009" s="7"/>
      <c r="P3009" s="6" t="str">
        <f>""</f>
        <v/>
      </c>
      <c r="Q3009" s="7"/>
      <c r="R3009" s="1"/>
      <c r="S3009" s="1" t="str">
        <f>"N-54/18"</f>
        <v>N-54/18</v>
      </c>
      <c r="T3009" s="2" t="s">
        <v>29</v>
      </c>
    </row>
    <row r="3010" spans="1:20" ht="38.25" x14ac:dyDescent="0.25">
      <c r="A3010" s="1">
        <v>3006</v>
      </c>
      <c r="B3010" s="1" t="str">
        <f>"2018-3092"</f>
        <v>2018-3092</v>
      </c>
      <c r="C3010" s="2" t="s">
        <v>1719</v>
      </c>
      <c r="D3010" s="1" t="s">
        <v>1720</v>
      </c>
      <c r="E3010" s="3" t="str">
        <f>"2018/S 0F2-0029570"</f>
        <v>2018/S 0F2-0029570</v>
      </c>
      <c r="F3010" s="2" t="s">
        <v>23</v>
      </c>
      <c r="G3010" s="2" t="str">
        <f>CONCATENATE("TEHNOMODELI D.O.O.,"," ZELENI TRG 3A,"," 10000 ZAGREB,"," OIB: 10698571703")</f>
        <v>TEHNOMODELI D.O.O., ZELENI TRG 3A, 10000 ZAGREB, OIB: 10698571703</v>
      </c>
      <c r="H3010" s="4"/>
      <c r="I3010" s="1" t="s">
        <v>379</v>
      </c>
      <c r="J3010" s="1" t="s">
        <v>1721</v>
      </c>
      <c r="K3010" s="6" t="str">
        <f>"1.399.998,00"</f>
        <v>1.399.998,00</v>
      </c>
      <c r="L3010" s="6" t="str">
        <f>"349.999,50"</f>
        <v>349.999,50</v>
      </c>
      <c r="M3010" s="6" t="str">
        <f>"1.749.997,50"</f>
        <v>1.749.997,50</v>
      </c>
      <c r="N3010" s="5">
        <v>43558</v>
      </c>
      <c r="O3010" s="7"/>
      <c r="P3010" s="6" t="str">
        <f>"1.702.525,60"</f>
        <v>1.702.525,60</v>
      </c>
      <c r="Q3010" s="7"/>
      <c r="R3010" s="1"/>
      <c r="S3010" s="1" t="str">
        <f>"N-55/18"</f>
        <v>N-55/18</v>
      </c>
      <c r="T3010" s="2" t="s">
        <v>33</v>
      </c>
    </row>
    <row r="3011" spans="1:20" ht="63.75" x14ac:dyDescent="0.25">
      <c r="A3011" s="1">
        <v>3007</v>
      </c>
      <c r="B3011" s="1" t="str">
        <f>"2018-1431"</f>
        <v>2018-1431</v>
      </c>
      <c r="C3011" s="2" t="s">
        <v>1722</v>
      </c>
      <c r="D3011" s="1" t="s">
        <v>1384</v>
      </c>
      <c r="E3011" s="3" t="str">
        <f>""</f>
        <v/>
      </c>
      <c r="F3011" s="2" t="s">
        <v>23</v>
      </c>
      <c r="G3011" s="2" t="str">
        <f>CONCATENATE("DIPPOLD &amp; GEROLD-HIDROPROJEKT 91 D.O.O.,"," DESPRIMSKA 8,"," 10257 BREZOVICA,"," OIB: 89365215003")</f>
        <v>DIPPOLD &amp; GEROLD-HIDROPROJEKT 91 D.O.O., DESPRIMSKA 8, 10257 BREZOVICA, OIB: 89365215003</v>
      </c>
      <c r="H3011" s="1" t="str">
        <f>CONCATENATE("EDC D.O.O.,"," OIB: 12739203610",CHAR(10),"FLAMIT D.O.O.,"," OIB: 84050612509")</f>
        <v>EDC D.O.O., OIB: 12739203610
FLAMIT D.O.O., OIB: 84050612509</v>
      </c>
      <c r="I3011" s="1" t="s">
        <v>263</v>
      </c>
      <c r="J3011" s="1" t="s">
        <v>1226</v>
      </c>
      <c r="K3011" s="6" t="str">
        <f>"116.700,00"</f>
        <v>116.700,00</v>
      </c>
      <c r="L3011" s="6" t="str">
        <f>"29.175,00"</f>
        <v>29.175,00</v>
      </c>
      <c r="M3011" s="6" t="str">
        <f>"145.875,00"</f>
        <v>145.875,00</v>
      </c>
      <c r="N3011" s="1" t="s">
        <v>117</v>
      </c>
      <c r="O3011" s="7"/>
      <c r="P3011" s="6" t="str">
        <f>""</f>
        <v/>
      </c>
      <c r="Q3011" s="7"/>
      <c r="R3011" s="1"/>
      <c r="S3011" s="1" t="str">
        <f>"N-56/18"</f>
        <v>N-56/18</v>
      </c>
      <c r="T3011" s="2" t="s">
        <v>29</v>
      </c>
    </row>
    <row r="3012" spans="1:20" ht="38.25" x14ac:dyDescent="0.25">
      <c r="A3012" s="1">
        <v>3008</v>
      </c>
      <c r="B3012" s="1" t="str">
        <f>"2018-3070"</f>
        <v>2018-3070</v>
      </c>
      <c r="C3012" s="2" t="s">
        <v>1723</v>
      </c>
      <c r="D3012" s="1" t="s">
        <v>119</v>
      </c>
      <c r="E3012" s="3" t="str">
        <f>"2018/S 0F2-0026977"</f>
        <v>2018/S 0F2-0026977</v>
      </c>
      <c r="F3012" s="2" t="s">
        <v>23</v>
      </c>
      <c r="G3012" s="2" t="str">
        <f>CONCATENATE("MULTIGRAD D.O.O.,"," LUKAVEČKA 7,"," 10412 DONJA LOMNICA,"," OIB: 33615517007")</f>
        <v>MULTIGRAD D.O.O., LUKAVEČKA 7, 10412 DONJA LOMNICA, OIB: 33615517007</v>
      </c>
      <c r="H3012" s="4"/>
      <c r="I3012" s="1" t="s">
        <v>263</v>
      </c>
      <c r="J3012" s="1" t="s">
        <v>1724</v>
      </c>
      <c r="K3012" s="6" t="str">
        <f>"4.619.291,50"</f>
        <v>4.619.291,50</v>
      </c>
      <c r="L3012" s="6" t="str">
        <f>"1.154.822,88"</f>
        <v>1.154.822,88</v>
      </c>
      <c r="M3012" s="6" t="str">
        <f>"5.774.114,38"</f>
        <v>5.774.114,38</v>
      </c>
      <c r="N3012" s="1" t="s">
        <v>117</v>
      </c>
      <c r="O3012" s="7"/>
      <c r="P3012" s="6" t="str">
        <f>""</f>
        <v/>
      </c>
      <c r="Q3012" s="7"/>
      <c r="R3012" s="1"/>
      <c r="S3012" s="1" t="str">
        <f>"N-57/18"</f>
        <v>N-57/18</v>
      </c>
      <c r="T3012" s="2" t="s">
        <v>538</v>
      </c>
    </row>
    <row r="3013" spans="1:20" ht="38.25" x14ac:dyDescent="0.25">
      <c r="A3013" s="1">
        <v>3009</v>
      </c>
      <c r="B3013" s="1" t="str">
        <f>"2018-3128"</f>
        <v>2018-3128</v>
      </c>
      <c r="C3013" s="2" t="s">
        <v>1549</v>
      </c>
      <c r="D3013" s="1" t="s">
        <v>1550</v>
      </c>
      <c r="E3013" s="3" t="str">
        <f>"2018/S F21-0031748"</f>
        <v>2018/S F21-0031748</v>
      </c>
      <c r="F3013" s="2" t="s">
        <v>1725</v>
      </c>
      <c r="G3013" s="2" t="str">
        <f>CONCATENATE("POLIKLINIKA MEDIKOL,"," VOĆARSKA 106,"," 10000 ZAGREB,"," OIB: 5797018162")</f>
        <v>POLIKLINIKA MEDIKOL, VOĆARSKA 106, 10000 ZAGREB, OIB: 5797018162</v>
      </c>
      <c r="H3013" s="4"/>
      <c r="I3013" s="1" t="s">
        <v>695</v>
      </c>
      <c r="J3013" s="1" t="s">
        <v>1240</v>
      </c>
      <c r="K3013" s="6" t="str">
        <f>"357.820,00"</f>
        <v>357.820,00</v>
      </c>
      <c r="L3013" s="6" t="str">
        <f>"89.455,00"</f>
        <v>89.455,00</v>
      </c>
      <c r="M3013" s="6" t="str">
        <f>"447.275,00"</f>
        <v>447.275,00</v>
      </c>
      <c r="N3013" s="1" t="s">
        <v>117</v>
      </c>
      <c r="O3013" s="7"/>
      <c r="P3013" s="6" t="str">
        <f>""</f>
        <v/>
      </c>
      <c r="Q3013" s="7"/>
      <c r="R3013" s="1"/>
      <c r="S3013" s="1" t="str">
        <f>"N-58/18"</f>
        <v>N-58/18</v>
      </c>
      <c r="T3013" s="2" t="s">
        <v>538</v>
      </c>
    </row>
    <row r="3014" spans="1:20" ht="51" x14ac:dyDescent="0.25">
      <c r="A3014" s="1">
        <v>3010</v>
      </c>
      <c r="B3014" s="1" t="str">
        <f>"2018-1479"</f>
        <v>2018-1479</v>
      </c>
      <c r="C3014" s="2" t="s">
        <v>1726</v>
      </c>
      <c r="D3014" s="1" t="s">
        <v>49</v>
      </c>
      <c r="E3014" s="3" t="str">
        <f>"2018/S 0F2-0030855"</f>
        <v>2018/S 0F2-0030855</v>
      </c>
      <c r="F3014" s="2" t="s">
        <v>23</v>
      </c>
      <c r="G3014" s="2" t="str">
        <f>CONCATENATE("STORM COMPUTERS D.O.O.,"," SAVICA I. 127,"," 10000 ZAGREB,"," OIB: 20142998436")</f>
        <v>STORM COMPUTERS D.O.O., SAVICA I. 127, 10000 ZAGREB, OIB: 20142998436</v>
      </c>
      <c r="H3014" s="4"/>
      <c r="I3014" s="1" t="s">
        <v>695</v>
      </c>
      <c r="J3014" s="1" t="s">
        <v>1240</v>
      </c>
      <c r="K3014" s="6" t="str">
        <f>"338.376,00"</f>
        <v>338.376,00</v>
      </c>
      <c r="L3014" s="6" t="str">
        <f>"84.594,00"</f>
        <v>84.594,00</v>
      </c>
      <c r="M3014" s="6" t="str">
        <f>"422.970,00"</f>
        <v>422.970,00</v>
      </c>
      <c r="N3014" s="1" t="s">
        <v>117</v>
      </c>
      <c r="O3014" s="7"/>
      <c r="P3014" s="6" t="str">
        <f>""</f>
        <v/>
      </c>
      <c r="Q3014" s="7"/>
      <c r="R3014" s="1"/>
      <c r="S3014" s="1" t="str">
        <f>"N-59/18"</f>
        <v>N-59/18</v>
      </c>
      <c r="T3014" s="2" t="s">
        <v>538</v>
      </c>
    </row>
    <row r="3015" spans="1:20" ht="51" x14ac:dyDescent="0.25">
      <c r="A3015" s="1">
        <v>3011</v>
      </c>
      <c r="B3015" s="1" t="str">
        <f>"2018-826"</f>
        <v>2018-826</v>
      </c>
      <c r="C3015" s="2" t="s">
        <v>1727</v>
      </c>
      <c r="D3015" s="1" t="s">
        <v>1384</v>
      </c>
      <c r="E3015" s="3" t="str">
        <f>"2018/S 0F2-0028429"</f>
        <v>2018/S 0F2-0028429</v>
      </c>
      <c r="F3015" s="2" t="s">
        <v>23</v>
      </c>
      <c r="G3015" s="2" t="str">
        <f>CONCATENATE("SEDRA CONSULTING D.O.O.,"," USKOPSKA 11,"," 10010 ZAGREB,"," OIB: 09177957072")</f>
        <v>SEDRA CONSULTING D.O.O., USKOPSKA 11, 10010 ZAGREB, OIB: 09177957072</v>
      </c>
      <c r="H3015" s="1" t="str">
        <f>CONCATENATE("FLAMIT D.O.O.,"," OIB: 84050612509")</f>
        <v>FLAMIT D.O.O., OIB: 84050612509</v>
      </c>
      <c r="I3015" s="1" t="s">
        <v>1144</v>
      </c>
      <c r="J3015" s="1" t="s">
        <v>1215</v>
      </c>
      <c r="K3015" s="6" t="str">
        <f>"121.100,00"</f>
        <v>121.100,00</v>
      </c>
      <c r="L3015" s="6" t="str">
        <f>"30.275,00"</f>
        <v>30.275,00</v>
      </c>
      <c r="M3015" s="6" t="str">
        <f>"151.375,00"</f>
        <v>151.375,00</v>
      </c>
      <c r="N3015" s="1" t="s">
        <v>117</v>
      </c>
      <c r="O3015" s="7"/>
      <c r="P3015" s="6" t="str">
        <f>""</f>
        <v/>
      </c>
      <c r="Q3015" s="7"/>
      <c r="R3015" s="1"/>
      <c r="S3015" s="1" t="str">
        <f>"N-60/18"</f>
        <v>N-60/18</v>
      </c>
      <c r="T3015" s="2" t="s">
        <v>29</v>
      </c>
    </row>
    <row r="3016" spans="1:20" ht="38.25" x14ac:dyDescent="0.25">
      <c r="A3016" s="1">
        <v>3012</v>
      </c>
      <c r="B3016" s="1" t="str">
        <f>"2018-3066"</f>
        <v>2018-3066</v>
      </c>
      <c r="C3016" s="2" t="s">
        <v>1728</v>
      </c>
      <c r="D3016" s="1" t="s">
        <v>119</v>
      </c>
      <c r="E3016" s="3" t="str">
        <f>"2018/S 0F2-0026175"</f>
        <v>2018/S 0F2-0026175</v>
      </c>
      <c r="F3016" s="2" t="s">
        <v>23</v>
      </c>
      <c r="G3016" s="2" t="str">
        <f>CONCATENATE("MONTER-STROJARSKE MONTAŽE D.D.,"," VELIMIRA ŠKORPIKA 28,"," 10000 ZAGREB,"," OIB: 13887374452")</f>
        <v>MONTER-STROJARSKE MONTAŽE D.D., VELIMIRA ŠKORPIKA 28, 10000 ZAGREB, OIB: 13887374452</v>
      </c>
      <c r="H3016" s="4"/>
      <c r="I3016" s="1" t="s">
        <v>307</v>
      </c>
      <c r="J3016" s="1" t="s">
        <v>865</v>
      </c>
      <c r="K3016" s="6" t="str">
        <f>"2.766.620,11"</f>
        <v>2.766.620,11</v>
      </c>
      <c r="L3016" s="6" t="str">
        <f>"691.655,03"</f>
        <v>691.655,03</v>
      </c>
      <c r="M3016" s="6" t="str">
        <f>"3.458.275,14"</f>
        <v>3.458.275,14</v>
      </c>
      <c r="N3016" s="1" t="s">
        <v>117</v>
      </c>
      <c r="O3016" s="7"/>
      <c r="P3016" s="6" t="str">
        <f>""</f>
        <v/>
      </c>
      <c r="Q3016" s="7"/>
      <c r="R3016" s="1"/>
      <c r="S3016" s="1" t="str">
        <f>"N-61/18"</f>
        <v>N-61/18</v>
      </c>
      <c r="T3016" s="2" t="s">
        <v>538</v>
      </c>
    </row>
    <row r="3017" spans="1:20" ht="38.25" x14ac:dyDescent="0.25">
      <c r="A3017" s="1">
        <v>3013</v>
      </c>
      <c r="B3017" s="1" t="str">
        <f>"2018-3078"</f>
        <v>2018-3078</v>
      </c>
      <c r="C3017" s="2" t="s">
        <v>1729</v>
      </c>
      <c r="D3017" s="1" t="s">
        <v>786</v>
      </c>
      <c r="E3017" s="3" t="str">
        <f>"2018/S 0F2-0029598"</f>
        <v>2018/S 0F2-0029598</v>
      </c>
      <c r="F3017" s="2" t="s">
        <v>23</v>
      </c>
      <c r="G3017" s="2" t="str">
        <f>CONCATENATE("M. SOLDO D.O.O.,"," DEBANIĆEVA 39,"," 10090 ZAGREB-SUSEDGRAD,"," OIB: 58353605637")</f>
        <v>M. SOLDO D.O.O., DEBANIĆEVA 39, 10090 ZAGREB-SUSEDGRAD, OIB: 58353605637</v>
      </c>
      <c r="H3017" s="4"/>
      <c r="I3017" s="1" t="s">
        <v>1730</v>
      </c>
      <c r="J3017" s="1" t="s">
        <v>1731</v>
      </c>
      <c r="K3017" s="6" t="str">
        <f>"571.320,00"</f>
        <v>571.320,00</v>
      </c>
      <c r="L3017" s="6" t="str">
        <f>"142.830,00"</f>
        <v>142.830,00</v>
      </c>
      <c r="M3017" s="6" t="str">
        <f>"714.150,00"</f>
        <v>714.150,00</v>
      </c>
      <c r="N3017" s="1" t="s">
        <v>117</v>
      </c>
      <c r="O3017" s="7"/>
      <c r="P3017" s="6" t="str">
        <f>""</f>
        <v/>
      </c>
      <c r="Q3017" s="7"/>
      <c r="R3017" s="1"/>
      <c r="S3017" s="1" t="str">
        <f>"N-62/18"</f>
        <v>N-62/18</v>
      </c>
      <c r="T3017" s="2" t="s">
        <v>538</v>
      </c>
    </row>
    <row r="3018" spans="1:20" ht="178.5" x14ac:dyDescent="0.25">
      <c r="A3018" s="1">
        <v>3014</v>
      </c>
      <c r="B3018" s="1" t="str">
        <f>"2018-1608"</f>
        <v>2018-1608</v>
      </c>
      <c r="C3018" s="2" t="s">
        <v>1732</v>
      </c>
      <c r="D3018" s="1" t="s">
        <v>119</v>
      </c>
      <c r="E3018" s="3" t="str">
        <f>"2018/S 0F2-0024738"</f>
        <v>2018/S 0F2-0024738</v>
      </c>
      <c r="F3018" s="2" t="s">
        <v>23</v>
      </c>
      <c r="G3018" s="2" t="str">
        <f>CONCATENATE("MONTMONTAŽA-OPREMA D.O.O.,"," SAMOBORSKA CESTA 145,"," 10090 ZAGREB,"," OIB: 06544535948")</f>
        <v>MONTMONTAŽA-OPREMA D.O.O., SAMOBORSKA CESTA 145, 10090 ZAGREB, OIB: 06544535948</v>
      </c>
      <c r="H3018" s="1" t="str">
        <f>CONCATENATE("BOLČEVIĆ-GRADNJA D.O.O.,"," OIB: 52098670500",CHAR(10),"PA-EL D.O.O.,"," OIB: 56740849320",CHAR(10),"MGV D.O.O.,"," OIB: 07790118186",CHAR(10),"WML-INTERNATIONAL J.D.O.O.,"," OIB: 37469723217")</f>
        <v>BOLČEVIĆ-GRADNJA D.O.O., OIB: 52098670500
PA-EL D.O.O., OIB: 56740849320
MGV D.O.O., OIB: 07790118186
WML-INTERNATIONAL J.D.O.O., OIB: 37469723217</v>
      </c>
      <c r="I3018" s="1" t="s">
        <v>186</v>
      </c>
      <c r="J3018" s="1" t="s">
        <v>884</v>
      </c>
      <c r="K3018" s="6" t="str">
        <f>"2.092.457,16"</f>
        <v>2.092.457,16</v>
      </c>
      <c r="L3018" s="6" t="str">
        <f>"523.114,29"</f>
        <v>523.114,29</v>
      </c>
      <c r="M3018" s="6" t="str">
        <f>"2.615.571,45"</f>
        <v>2.615.571,45</v>
      </c>
      <c r="N3018" s="1" t="s">
        <v>117</v>
      </c>
      <c r="O3018" s="7"/>
      <c r="P3018" s="6" t="str">
        <f>""</f>
        <v/>
      </c>
      <c r="Q3018" s="7"/>
      <c r="R3018" s="1"/>
      <c r="S3018" s="1" t="str">
        <f>"N-63/18"</f>
        <v>N-63/18</v>
      </c>
      <c r="T3018" s="2" t="s">
        <v>538</v>
      </c>
    </row>
    <row r="3019" spans="1:20" ht="153" x14ac:dyDescent="0.25">
      <c r="A3019" s="1">
        <v>3015</v>
      </c>
      <c r="B3019" s="1" t="str">
        <f>"2018-2040"</f>
        <v>2018-2040</v>
      </c>
      <c r="C3019" s="2" t="s">
        <v>1733</v>
      </c>
      <c r="D3019" s="1" t="s">
        <v>922</v>
      </c>
      <c r="E3019" s="3" t="str">
        <f>"2018/S 0F2-0024279"</f>
        <v>2018/S 0F2-0024279</v>
      </c>
      <c r="F3019" s="2" t="s">
        <v>23</v>
      </c>
      <c r="G3019" s="2" t="str">
        <f>CONCATENATE("BUBANJ - NISKOGRADNJA D.O.O.,"," KRUGE 7,"," 10000 ZAGREB,"," OIB: 29539944583")</f>
        <v>BUBANJ - NISKOGRADNJA D.O.O., KRUGE 7, 10000 ZAGREB, OIB: 29539944583</v>
      </c>
      <c r="H3019" s="1" t="str">
        <f>CONCATENATE("EKSPERT D.O.O.,"," OIB: 50542907850",CHAR(10),"GEODIST D.O.O.,"," OIB: 70978671801",CHAR(10),"VILKOGRAD D.O.O.,"," OIB: 63433216144",CHAR(10),"GIP PIONIR D.O.O.,"," OIB: 38262788673")</f>
        <v>EKSPERT D.O.O., OIB: 50542907850
GEODIST D.O.O., OIB: 70978671801
VILKOGRAD D.O.O., OIB: 63433216144
GIP PIONIR D.O.O., OIB: 38262788673</v>
      </c>
      <c r="I3019" s="1" t="s">
        <v>1510</v>
      </c>
      <c r="J3019" s="1" t="s">
        <v>1734</v>
      </c>
      <c r="K3019" s="6" t="str">
        <f>"13.795.863,35"</f>
        <v>13.795.863,35</v>
      </c>
      <c r="L3019" s="6" t="str">
        <f>"3.448.965,84"</f>
        <v>3.448.965,84</v>
      </c>
      <c r="M3019" s="6" t="str">
        <f>"17.244.829,19"</f>
        <v>17.244.829,19</v>
      </c>
      <c r="N3019" s="1" t="s">
        <v>117</v>
      </c>
      <c r="O3019" s="7"/>
      <c r="P3019" s="6" t="str">
        <f>""</f>
        <v/>
      </c>
      <c r="Q3019" s="7"/>
      <c r="R3019" s="1"/>
      <c r="S3019" s="1" t="str">
        <f>"N-64/18"</f>
        <v>N-64/18</v>
      </c>
      <c r="T3019" s="2" t="s">
        <v>29</v>
      </c>
    </row>
    <row r="3020" spans="1:20" ht="38.25" x14ac:dyDescent="0.25">
      <c r="A3020" s="1">
        <v>3016</v>
      </c>
      <c r="B3020" s="1" t="str">
        <f>"2018-355"</f>
        <v>2018-355</v>
      </c>
      <c r="C3020" s="2" t="s">
        <v>1547</v>
      </c>
      <c r="D3020" s="1" t="s">
        <v>1548</v>
      </c>
      <c r="E3020" s="3" t="str">
        <f>"2018/S 0F2-0032488"</f>
        <v>2018/S 0F2-0032488</v>
      </c>
      <c r="F3020" s="2" t="s">
        <v>23</v>
      </c>
      <c r="G3020" s="2" t="str">
        <f>CONCATENATE("DOLENAC PROMET D.O.O.,"," NAZOROVA 22,"," 44250 PETRINJA,"," OIB: 21780210989")</f>
        <v>DOLENAC PROMET D.O.O., NAZOROVA 22, 44250 PETRINJA, OIB: 21780210989</v>
      </c>
      <c r="H3020" s="4"/>
      <c r="I3020" s="1" t="s">
        <v>225</v>
      </c>
      <c r="J3020" s="1" t="s">
        <v>1735</v>
      </c>
      <c r="K3020" s="6" t="str">
        <f>"174.642,68"</f>
        <v>174.642,68</v>
      </c>
      <c r="L3020" s="6" t="str">
        <f>"43.660,67"</f>
        <v>43.660,67</v>
      </c>
      <c r="M3020" s="6" t="str">
        <f>"218.303,35"</f>
        <v>218.303,35</v>
      </c>
      <c r="N3020" s="5">
        <v>43546</v>
      </c>
      <c r="O3020" s="7"/>
      <c r="P3020" s="6" t="str">
        <f>"205.979,85"</f>
        <v>205.979,85</v>
      </c>
      <c r="Q3020" s="7"/>
      <c r="R3020" s="1"/>
      <c r="S3020" s="1" t="str">
        <f>"N-65/18"</f>
        <v>N-65/18</v>
      </c>
      <c r="T3020" s="2" t="s">
        <v>33</v>
      </c>
    </row>
    <row r="3021" spans="1:20" ht="38.25" x14ac:dyDescent="0.25">
      <c r="A3021" s="1">
        <v>3017</v>
      </c>
      <c r="B3021" s="1" t="str">
        <f>"2018-3063"</f>
        <v>2018-3063</v>
      </c>
      <c r="C3021" s="2" t="s">
        <v>1520</v>
      </c>
      <c r="D3021" s="1" t="s">
        <v>1521</v>
      </c>
      <c r="E3021" s="3" t="str">
        <f>"2018/S 0F2-0029213"</f>
        <v>2018/S 0F2-0029213</v>
      </c>
      <c r="F3021" s="2" t="s">
        <v>23</v>
      </c>
      <c r="G3021" s="2" t="str">
        <f>CONCATENATE("AQUA INŽENJERING D.O.O,"," ZAGREBAČKA ULICA 15,"," 10360 SESVETE,"," OIB: 73980898845")</f>
        <v>AQUA INŽENJERING D.O.O, ZAGREBAČKA ULICA 15, 10360 SESVETE, OIB: 73980898845</v>
      </c>
      <c r="H3021" s="4"/>
      <c r="I3021" s="1" t="s">
        <v>574</v>
      </c>
      <c r="J3021" s="1" t="s">
        <v>880</v>
      </c>
      <c r="K3021" s="6" t="str">
        <f>"706.930,00"</f>
        <v>706.930,00</v>
      </c>
      <c r="L3021" s="6" t="str">
        <f>"176.732,50"</f>
        <v>176.732,50</v>
      </c>
      <c r="M3021" s="6" t="str">
        <f>"883.662,50"</f>
        <v>883.662,50</v>
      </c>
      <c r="N3021" s="5">
        <v>43691</v>
      </c>
      <c r="O3021" s="7"/>
      <c r="P3021" s="6" t="str">
        <f>"365.250,00"</f>
        <v>365.250,00</v>
      </c>
      <c r="Q3021" s="7"/>
      <c r="R3021" s="1"/>
      <c r="S3021" s="1" t="str">
        <f>"N-66/18"</f>
        <v>N-66/18</v>
      </c>
      <c r="T3021" s="2" t="s">
        <v>29</v>
      </c>
    </row>
    <row r="3022" spans="1:20" ht="63.75" x14ac:dyDescent="0.25">
      <c r="A3022" s="1">
        <v>3018</v>
      </c>
      <c r="B3022" s="1" t="str">
        <f>"2018-1809"</f>
        <v>2018-1809</v>
      </c>
      <c r="C3022" s="2" t="s">
        <v>1736</v>
      </c>
      <c r="D3022" s="1" t="s">
        <v>1384</v>
      </c>
      <c r="E3022" s="3" t="str">
        <f>"2018/S 0F2-0027766"</f>
        <v>2018/S 0F2-0027766</v>
      </c>
      <c r="F3022" s="2" t="s">
        <v>23</v>
      </c>
      <c r="G3022" s="2" t="str">
        <f>CONCATENATE("HIDROEKO D.O.O.,"," STARJAK 52,"," 10257 BREZOVICA,"," OIB: 34889829677")</f>
        <v>HIDROEKO D.O.O., STARJAK 52, 10257 BREZOVICA, OIB: 34889829677</v>
      </c>
      <c r="H3022" s="4"/>
      <c r="I3022" s="1" t="s">
        <v>248</v>
      </c>
      <c r="J3022" s="1" t="s">
        <v>1737</v>
      </c>
      <c r="K3022" s="6" t="str">
        <f>"948.800,00"</f>
        <v>948.800,00</v>
      </c>
      <c r="L3022" s="6" t="str">
        <f>"237.200,00"</f>
        <v>237.200,00</v>
      </c>
      <c r="M3022" s="6" t="str">
        <f>"1.186.000,00"</f>
        <v>1.186.000,00</v>
      </c>
      <c r="N3022" s="1" t="s">
        <v>117</v>
      </c>
      <c r="O3022" s="7"/>
      <c r="P3022" s="6" t="str">
        <f>""</f>
        <v/>
      </c>
      <c r="Q3022" s="7"/>
      <c r="R3022" s="1"/>
      <c r="S3022" s="1" t="str">
        <f>"N-67/18"</f>
        <v>N-67/18</v>
      </c>
      <c r="T3022" s="2" t="s">
        <v>29</v>
      </c>
    </row>
    <row r="3023" spans="1:20" ht="38.25" x14ac:dyDescent="0.25">
      <c r="A3023" s="1">
        <v>3019</v>
      </c>
      <c r="B3023" s="1" t="str">
        <f>"2018-2997"</f>
        <v>2018-2997</v>
      </c>
      <c r="C3023" s="2" t="s">
        <v>1738</v>
      </c>
      <c r="D3023" s="1" t="s">
        <v>1739</v>
      </c>
      <c r="E3023" s="3" t="str">
        <f>"2018/S 0F2-0029312"</f>
        <v>2018/S 0F2-0029312</v>
      </c>
      <c r="F3023" s="2" t="s">
        <v>23</v>
      </c>
      <c r="G3023" s="2" t="str">
        <f>CONCATENATE("TEPESCO D.O.O.,"," JASENA 11A,"," 10040 ZAGREB,"," OIB: 7691411318")</f>
        <v>TEPESCO D.O.O., JASENA 11A, 10040 ZAGREB, OIB: 7691411318</v>
      </c>
      <c r="H3023" s="4"/>
      <c r="I3023" s="1" t="s">
        <v>248</v>
      </c>
      <c r="J3023" s="1" t="s">
        <v>1740</v>
      </c>
      <c r="K3023" s="6" t="str">
        <f>"5.223.553,39"</f>
        <v>5.223.553,39</v>
      </c>
      <c r="L3023" s="6" t="str">
        <f>"1.305.888,35"</f>
        <v>1.305.888,35</v>
      </c>
      <c r="M3023" s="6" t="str">
        <f>"6.529.441,74"</f>
        <v>6.529.441,74</v>
      </c>
      <c r="N3023" s="1" t="s">
        <v>117</v>
      </c>
      <c r="O3023" s="7"/>
      <c r="P3023" s="6" t="str">
        <f>""</f>
        <v/>
      </c>
      <c r="Q3023" s="7"/>
      <c r="R3023" s="1"/>
      <c r="S3023" s="1" t="str">
        <f>"N-68/18"</f>
        <v>N-68/18</v>
      </c>
      <c r="T3023" s="2" t="s">
        <v>33</v>
      </c>
    </row>
    <row r="3024" spans="1:20" ht="38.25" x14ac:dyDescent="0.25">
      <c r="A3024" s="1">
        <v>3020</v>
      </c>
      <c r="B3024" s="1" t="str">
        <f>"2018-2890"</f>
        <v>2018-2890</v>
      </c>
      <c r="C3024" s="2" t="s">
        <v>1741</v>
      </c>
      <c r="D3024" s="1" t="s">
        <v>1325</v>
      </c>
      <c r="E3024" s="3" t="str">
        <f>"2018/S 0F2-0031385"</f>
        <v>2018/S 0F2-0031385</v>
      </c>
      <c r="F3024" s="2" t="s">
        <v>23</v>
      </c>
      <c r="G3024" s="2" t="str">
        <f>CONCATENATE("PROMETNICE ZAGREB D.O.O.,"," OIB: 28111148974")</f>
        <v>PROMETNICE ZAGREB D.O.O., OIB: 28111148974</v>
      </c>
      <c r="H3024" s="4"/>
      <c r="I3024" s="1" t="s">
        <v>462</v>
      </c>
      <c r="J3024" s="1" t="s">
        <v>887</v>
      </c>
      <c r="K3024" s="6" t="str">
        <f>"73.000,00"</f>
        <v>73.000,00</v>
      </c>
      <c r="L3024" s="6" t="str">
        <f>"18.250,00"</f>
        <v>18.250,00</v>
      </c>
      <c r="M3024" s="6" t="str">
        <f>"91.250,00"</f>
        <v>91.250,00</v>
      </c>
      <c r="N3024" s="1" t="s">
        <v>117</v>
      </c>
      <c r="O3024" s="7"/>
      <c r="P3024" s="6" t="str">
        <f>""</f>
        <v/>
      </c>
      <c r="Q3024" s="7"/>
      <c r="R3024" s="1"/>
      <c r="S3024" s="1" t="str">
        <f>"N-69/18"</f>
        <v>N-69/18</v>
      </c>
      <c r="T3024" s="2" t="s">
        <v>29</v>
      </c>
    </row>
    <row r="3025" spans="1:20" ht="38.25" x14ac:dyDescent="0.25">
      <c r="A3025" s="1">
        <v>3021</v>
      </c>
      <c r="B3025" s="1" t="str">
        <f>"2018-398"</f>
        <v>2018-398</v>
      </c>
      <c r="C3025" s="2" t="s">
        <v>1522</v>
      </c>
      <c r="D3025" s="1" t="s">
        <v>1523</v>
      </c>
      <c r="E3025" s="3" t="str">
        <f>"2018/S 0F2-0032777"</f>
        <v>2018/S 0F2-0032777</v>
      </c>
      <c r="F3025" s="2" t="s">
        <v>23</v>
      </c>
      <c r="G3025" s="2" t="str">
        <f>CONCATENATE("POLJOOPSKRBA-TEHNO D.D.,"," SAMOBORSKA 96,"," 10000 ZAGREB,"," OIB: 5372167324")</f>
        <v>POLJOOPSKRBA-TEHNO D.D., SAMOBORSKA 96, 10000 ZAGREB, OIB: 5372167324</v>
      </c>
      <c r="H3025" s="4"/>
      <c r="I3025" s="1" t="s">
        <v>462</v>
      </c>
      <c r="J3025" s="1" t="s">
        <v>887</v>
      </c>
      <c r="K3025" s="6" t="str">
        <f>"298.395,00"</f>
        <v>298.395,00</v>
      </c>
      <c r="L3025" s="6" t="str">
        <f>"74.598,75"</f>
        <v>74.598,75</v>
      </c>
      <c r="M3025" s="6" t="str">
        <f>"372.993,75"</f>
        <v>372.993,75</v>
      </c>
      <c r="N3025" s="5">
        <v>43635</v>
      </c>
      <c r="O3025" s="7"/>
      <c r="P3025" s="6" t="str">
        <f>"388.193,75"</f>
        <v>388.193,75</v>
      </c>
      <c r="Q3025" s="7"/>
      <c r="R3025" s="1"/>
      <c r="S3025" s="1" t="str">
        <f>"N-70/18"</f>
        <v>N-70/18</v>
      </c>
      <c r="T3025" s="2" t="s">
        <v>33</v>
      </c>
    </row>
    <row r="3026" spans="1:20" ht="38.25" x14ac:dyDescent="0.25">
      <c r="A3026" s="1">
        <v>3022</v>
      </c>
      <c r="B3026" s="1" t="str">
        <f>"2018-1437"</f>
        <v>2018-1437</v>
      </c>
      <c r="C3026" s="2" t="s">
        <v>1742</v>
      </c>
      <c r="D3026" s="1" t="s">
        <v>119</v>
      </c>
      <c r="E3026" s="3" t="str">
        <f>"2018/S 0F2-0032117"</f>
        <v>2018/S 0F2-0032117</v>
      </c>
      <c r="F3026" s="2" t="s">
        <v>23</v>
      </c>
      <c r="G3026" s="2" t="str">
        <f>CONCATENATE("PALIR D.O.O.,"," DANE DUIĆA 3,"," 10000 ZAGREB,"," OIB: 19383246503")</f>
        <v>PALIR D.O.O., DANE DUIĆA 3, 10000 ZAGREB, OIB: 19383246503</v>
      </c>
      <c r="H3026" s="4"/>
      <c r="I3026" s="1" t="s">
        <v>195</v>
      </c>
      <c r="J3026" s="1" t="s">
        <v>1743</v>
      </c>
      <c r="K3026" s="6" t="str">
        <f>"15.516.296,50"</f>
        <v>15.516.296,50</v>
      </c>
      <c r="L3026" s="6" t="str">
        <f>"3.879.074,13"</f>
        <v>3.879.074,13</v>
      </c>
      <c r="M3026" s="6" t="str">
        <f>"19.395.370,63"</f>
        <v>19.395.370,63</v>
      </c>
      <c r="N3026" s="1" t="s">
        <v>117</v>
      </c>
      <c r="O3026" s="7"/>
      <c r="P3026" s="6" t="str">
        <f>""</f>
        <v/>
      </c>
      <c r="Q3026" s="7"/>
      <c r="R3026" s="1"/>
      <c r="S3026" s="1" t="str">
        <f>"N-71/18"</f>
        <v>N-71/18</v>
      </c>
      <c r="T3026" s="2" t="s">
        <v>29</v>
      </c>
    </row>
    <row r="3027" spans="1:20" ht="51" x14ac:dyDescent="0.25">
      <c r="A3027" s="1">
        <v>3023</v>
      </c>
      <c r="B3027" s="1" t="str">
        <f>"2018-2312"</f>
        <v>2018-2312</v>
      </c>
      <c r="C3027" s="2" t="s">
        <v>1744</v>
      </c>
      <c r="D3027" s="1" t="s">
        <v>1384</v>
      </c>
      <c r="E3027" s="3" t="str">
        <f>"2018/S 0F2-0031692"</f>
        <v>2018/S 0F2-0031692</v>
      </c>
      <c r="F3027" s="2" t="s">
        <v>23</v>
      </c>
      <c r="G3027" s="2" t="str">
        <f>CONCATENATE("HIDROKON D.O.O.,"," TRGOVAČKA 8,"," 10000 ZAGREB,"," OIB: 31977725905")</f>
        <v>HIDROKON D.O.O., TRGOVAČKA 8, 10000 ZAGREB, OIB: 31977725905</v>
      </c>
      <c r="H3027" s="4"/>
      <c r="I3027" s="1" t="s">
        <v>195</v>
      </c>
      <c r="J3027" s="1" t="s">
        <v>1743</v>
      </c>
      <c r="K3027" s="6" t="str">
        <f>"48.000,00"</f>
        <v>48.000,00</v>
      </c>
      <c r="L3027" s="6" t="str">
        <f>"12.000,00"</f>
        <v>12.000,00</v>
      </c>
      <c r="M3027" s="6" t="str">
        <f>"60.000,00"</f>
        <v>60.000,00</v>
      </c>
      <c r="N3027" s="1" t="s">
        <v>117</v>
      </c>
      <c r="O3027" s="7"/>
      <c r="P3027" s="6" t="str">
        <f>""</f>
        <v/>
      </c>
      <c r="Q3027" s="7"/>
      <c r="R3027" s="1"/>
      <c r="S3027" s="1" t="str">
        <f>"N-72/18"</f>
        <v>N-72/18</v>
      </c>
      <c r="T3027" s="2" t="s">
        <v>29</v>
      </c>
    </row>
    <row r="3028" spans="1:20" ht="38.25" x14ac:dyDescent="0.25">
      <c r="A3028" s="1">
        <v>3024</v>
      </c>
      <c r="B3028" s="1" t="str">
        <f>"2018-1443"</f>
        <v>2018-1443</v>
      </c>
      <c r="C3028" s="2" t="s">
        <v>1745</v>
      </c>
      <c r="D3028" s="1" t="s">
        <v>119</v>
      </c>
      <c r="E3028" s="3" t="str">
        <f>"2018/S 0F2-0029759"</f>
        <v>2018/S 0F2-0029759</v>
      </c>
      <c r="F3028" s="2" t="s">
        <v>23</v>
      </c>
      <c r="G3028" s="2" t="str">
        <f>CONCATENATE("PALIR D.O.O.,"," DANE DUIĆA 3,"," 10000 ZAGREB,"," OIB: 19383246503")</f>
        <v>PALIR D.O.O., DANE DUIĆA 3, 10000 ZAGREB, OIB: 19383246503</v>
      </c>
      <c r="H3028" s="4"/>
      <c r="I3028" s="1" t="s">
        <v>479</v>
      </c>
      <c r="J3028" s="1" t="s">
        <v>1746</v>
      </c>
      <c r="K3028" s="6" t="str">
        <f>"3.671.848,94"</f>
        <v>3.671.848,94</v>
      </c>
      <c r="L3028" s="6" t="str">
        <f>"917.962,24"</f>
        <v>917.962,24</v>
      </c>
      <c r="M3028" s="6" t="str">
        <f>"4.589.811,18"</f>
        <v>4.589.811,18</v>
      </c>
      <c r="N3028" s="1" t="s">
        <v>117</v>
      </c>
      <c r="O3028" s="7"/>
      <c r="P3028" s="6" t="str">
        <f>""</f>
        <v/>
      </c>
      <c r="Q3028" s="7"/>
      <c r="R3028" s="1"/>
      <c r="S3028" s="1" t="str">
        <f>"N-73/18"</f>
        <v>N-73/18</v>
      </c>
      <c r="T3028" s="2" t="s">
        <v>29</v>
      </c>
    </row>
    <row r="3029" spans="1:20" ht="51" x14ac:dyDescent="0.25">
      <c r="A3029" s="1">
        <v>3025</v>
      </c>
      <c r="B3029" s="1" t="str">
        <f>"2018-889"</f>
        <v>2018-889</v>
      </c>
      <c r="C3029" s="2" t="s">
        <v>1747</v>
      </c>
      <c r="D3029" s="1" t="s">
        <v>1384</v>
      </c>
      <c r="E3029" s="3" t="str">
        <f>"2018/S 0F2-0032021"</f>
        <v>2018/S 0F2-0032021</v>
      </c>
      <c r="F3029" s="2" t="s">
        <v>23</v>
      </c>
      <c r="G3029" s="2" t="str">
        <f>CONCATENATE("EKO-PLAN D.O.O.,"," 2. JAZBINSKI GAJ 1A,"," 10000 ZAGREB,"," OIB: 55034160084")</f>
        <v>EKO-PLAN D.O.O., 2. JAZBINSKI GAJ 1A, 10000 ZAGREB, OIB: 55034160084</v>
      </c>
      <c r="H3029" s="1" t="str">
        <f>CONCATENATE("MJERNIK-LIMA D.O.O.,"," OIB: 00496607907")</f>
        <v>MJERNIK-LIMA D.O.O., OIB: 00496607907</v>
      </c>
      <c r="I3029" s="1" t="s">
        <v>254</v>
      </c>
      <c r="J3029" s="1" t="s">
        <v>1748</v>
      </c>
      <c r="K3029" s="6" t="str">
        <f>"123.200,00"</f>
        <v>123.200,00</v>
      </c>
      <c r="L3029" s="6" t="str">
        <f>"30.800,00"</f>
        <v>30.800,00</v>
      </c>
      <c r="M3029" s="6" t="str">
        <f>"154.000,00"</f>
        <v>154.000,00</v>
      </c>
      <c r="N3029" s="1" t="s">
        <v>117</v>
      </c>
      <c r="O3029" s="7"/>
      <c r="P3029" s="6" t="str">
        <f>""</f>
        <v/>
      </c>
      <c r="Q3029" s="7"/>
      <c r="R3029" s="1"/>
      <c r="S3029" s="1" t="str">
        <f>"N-74/18"</f>
        <v>N-74/18</v>
      </c>
      <c r="T3029" s="2" t="s">
        <v>29</v>
      </c>
    </row>
    <row r="3030" spans="1:20" ht="38.25" x14ac:dyDescent="0.25">
      <c r="A3030" s="1">
        <v>3026</v>
      </c>
      <c r="B3030" s="1" t="str">
        <f>"2018-2113"</f>
        <v>2018-2113</v>
      </c>
      <c r="C3030" s="2" t="s">
        <v>1610</v>
      </c>
      <c r="D3030" s="1" t="s">
        <v>1579</v>
      </c>
      <c r="E3030" s="3" t="str">
        <f>"2018/S 0F2-0032865"</f>
        <v>2018/S 0F2-0032865</v>
      </c>
      <c r="F3030" s="2" t="s">
        <v>23</v>
      </c>
      <c r="G3030" s="2" t="str">
        <f>CONCATENATE("AQUA INŽENJERING D.O.O,"," ZAGREBAČKA ULICA 15,"," 10360 SESVETE,"," OIB: 73980898845")</f>
        <v>AQUA INŽENJERING D.O.O, ZAGREBAČKA ULICA 15, 10360 SESVETE, OIB: 73980898845</v>
      </c>
      <c r="H3030" s="4"/>
      <c r="I3030" s="1" t="s">
        <v>293</v>
      </c>
      <c r="J3030" s="1" t="s">
        <v>908</v>
      </c>
      <c r="K3030" s="6" t="str">
        <f>"1.397.475,00"</f>
        <v>1.397.475,00</v>
      </c>
      <c r="L3030" s="6" t="str">
        <f>"349.368,75"</f>
        <v>349.368,75</v>
      </c>
      <c r="M3030" s="6" t="str">
        <f>"1.746.843,75"</f>
        <v>1.746.843,75</v>
      </c>
      <c r="N3030" s="5">
        <v>43678</v>
      </c>
      <c r="O3030" s="7"/>
      <c r="P3030" s="6" t="str">
        <f>"1.190.593,75"</f>
        <v>1.190.593,75</v>
      </c>
      <c r="Q3030" s="7"/>
      <c r="R3030" s="1"/>
      <c r="S3030" s="1" t="str">
        <f>"N-75/18"</f>
        <v>N-75/18</v>
      </c>
      <c r="T3030" s="2" t="s">
        <v>29</v>
      </c>
    </row>
    <row r="3031" spans="1:20" ht="38.25" x14ac:dyDescent="0.25">
      <c r="A3031" s="1">
        <v>3027</v>
      </c>
      <c r="B3031" s="1" t="str">
        <f>"2018-393"</f>
        <v>2018-393</v>
      </c>
      <c r="C3031" s="2" t="s">
        <v>1749</v>
      </c>
      <c r="D3031" s="1" t="s">
        <v>152</v>
      </c>
      <c r="E3031" s="3" t="str">
        <f>"2018/S 0F2-0033839"</f>
        <v>2018/S 0F2-0033839</v>
      </c>
      <c r="F3031" s="2" t="s">
        <v>23</v>
      </c>
      <c r="G3031" s="2" t="str">
        <f>CONCATENATE("BERHE D.O.O. ZASTUPSTVO I TRGOVINA,"," RADNIČKA CESTA 40-5,"," 10000 ZAGREB,"," OIB: 99296372942")</f>
        <v>BERHE D.O.O. ZASTUPSTVO I TRGOVINA, RADNIČKA CESTA 40-5, 10000 ZAGREB, OIB: 99296372942</v>
      </c>
      <c r="H3031" s="4"/>
      <c r="I3031" s="1" t="s">
        <v>293</v>
      </c>
      <c r="J3031" s="1" t="s">
        <v>908</v>
      </c>
      <c r="K3031" s="6" t="str">
        <f>"492.000,00"</f>
        <v>492.000,00</v>
      </c>
      <c r="L3031" s="6" t="str">
        <f>"123.000,00"</f>
        <v>123.000,00</v>
      </c>
      <c r="M3031" s="6" t="str">
        <f>"615.000,00"</f>
        <v>615.000,00</v>
      </c>
      <c r="N3031" s="1" t="s">
        <v>117</v>
      </c>
      <c r="O3031" s="7"/>
      <c r="P3031" s="6" t="str">
        <f>""</f>
        <v/>
      </c>
      <c r="Q3031" s="7"/>
      <c r="R3031" s="1"/>
      <c r="S3031" s="1" t="str">
        <f>"N-76-A/18"</f>
        <v>N-76-A/18</v>
      </c>
      <c r="T3031" s="2" t="s">
        <v>538</v>
      </c>
    </row>
    <row r="3032" spans="1:20" ht="38.25" x14ac:dyDescent="0.25">
      <c r="A3032" s="1">
        <v>3028</v>
      </c>
      <c r="B3032" s="1" t="str">
        <f>"2018-393"</f>
        <v>2018-393</v>
      </c>
      <c r="C3032" s="2" t="s">
        <v>1749</v>
      </c>
      <c r="D3032" s="1" t="s">
        <v>152</v>
      </c>
      <c r="E3032" s="3" t="str">
        <f>"2018/S 0F2-0033839"</f>
        <v>2018/S 0F2-0033839</v>
      </c>
      <c r="F3032" s="2" t="s">
        <v>23</v>
      </c>
      <c r="G3032" s="2" t="str">
        <f>CONCATENATE("ANDEL D.O.O.,"," MAJSTORSKA 1/G,"," 10000 ZAGREB,"," OIB: 81891996613")</f>
        <v>ANDEL D.O.O., MAJSTORSKA 1/G, 10000 ZAGREB, OIB: 81891996613</v>
      </c>
      <c r="H3032" s="4"/>
      <c r="I3032" s="1" t="s">
        <v>293</v>
      </c>
      <c r="J3032" s="1" t="s">
        <v>908</v>
      </c>
      <c r="K3032" s="6" t="str">
        <f>"14.000,00"</f>
        <v>14.000,00</v>
      </c>
      <c r="L3032" s="6" t="str">
        <f>"3.500,00"</f>
        <v>3.500,00</v>
      </c>
      <c r="M3032" s="6" t="str">
        <f>"17.500,00"</f>
        <v>17.500,00</v>
      </c>
      <c r="N3032" s="1" t="s">
        <v>117</v>
      </c>
      <c r="O3032" s="7"/>
      <c r="P3032" s="6" t="str">
        <f>""</f>
        <v/>
      </c>
      <c r="Q3032" s="7"/>
      <c r="R3032" s="1"/>
      <c r="S3032" s="1" t="str">
        <f>"N-76-B/18"</f>
        <v>N-76-B/18</v>
      </c>
      <c r="T3032" s="2" t="s">
        <v>538</v>
      </c>
    </row>
    <row r="3033" spans="1:20" ht="38.25" x14ac:dyDescent="0.25">
      <c r="A3033" s="1">
        <v>3029</v>
      </c>
      <c r="B3033" s="1" t="str">
        <f>"2018-393"</f>
        <v>2018-393</v>
      </c>
      <c r="C3033" s="2" t="s">
        <v>1749</v>
      </c>
      <c r="D3033" s="1" t="s">
        <v>152</v>
      </c>
      <c r="E3033" s="3" t="str">
        <f>"2018/S 0F2-0033839"</f>
        <v>2018/S 0F2-0033839</v>
      </c>
      <c r="F3033" s="2" t="s">
        <v>23</v>
      </c>
      <c r="G3033" s="2" t="str">
        <f>CONCATENATE("ANDEL D.O.O.,"," MAJSTORSKA 1/G,"," 10000 ZAGREB,"," OIB: 81891996613")</f>
        <v>ANDEL D.O.O., MAJSTORSKA 1/G, 10000 ZAGREB, OIB: 81891996613</v>
      </c>
      <c r="H3033" s="4"/>
      <c r="I3033" s="1" t="s">
        <v>293</v>
      </c>
      <c r="J3033" s="1" t="s">
        <v>908</v>
      </c>
      <c r="K3033" s="6" t="str">
        <f>"56.000,00"</f>
        <v>56.000,00</v>
      </c>
      <c r="L3033" s="6" t="str">
        <f>"14.000,00"</f>
        <v>14.000,00</v>
      </c>
      <c r="M3033" s="6" t="str">
        <f>"70.000,00"</f>
        <v>70.000,00</v>
      </c>
      <c r="N3033" s="1" t="s">
        <v>117</v>
      </c>
      <c r="O3033" s="7"/>
      <c r="P3033" s="6" t="str">
        <f>""</f>
        <v/>
      </c>
      <c r="Q3033" s="7"/>
      <c r="R3033" s="1"/>
      <c r="S3033" s="1" t="str">
        <f>"N-76-C/18"</f>
        <v>N-76-C/18</v>
      </c>
      <c r="T3033" s="2" t="s">
        <v>538</v>
      </c>
    </row>
    <row r="3034" spans="1:20" ht="38.25" x14ac:dyDescent="0.25">
      <c r="A3034" s="1">
        <v>3030</v>
      </c>
      <c r="B3034" s="1" t="str">
        <f>"2018-393"</f>
        <v>2018-393</v>
      </c>
      <c r="C3034" s="2" t="s">
        <v>1749</v>
      </c>
      <c r="D3034" s="1" t="s">
        <v>152</v>
      </c>
      <c r="E3034" s="3" t="str">
        <f>"2018/S 0F2-0033839"</f>
        <v>2018/S 0F2-0033839</v>
      </c>
      <c r="F3034" s="2" t="s">
        <v>23</v>
      </c>
      <c r="G3034" s="2" t="str">
        <f>CONCATENATE("ANDEL D.O.O.,"," MAJSTORSKA 1/G,"," 10000 ZAGREB,"," OIB: 81891996613")</f>
        <v>ANDEL D.O.O., MAJSTORSKA 1/G, 10000 ZAGREB, OIB: 81891996613</v>
      </c>
      <c r="H3034" s="4"/>
      <c r="I3034" s="1" t="s">
        <v>293</v>
      </c>
      <c r="J3034" s="1" t="s">
        <v>908</v>
      </c>
      <c r="K3034" s="6" t="str">
        <f>"229.900,00"</f>
        <v>229.900,00</v>
      </c>
      <c r="L3034" s="6" t="str">
        <f>"57.475,00"</f>
        <v>57.475,00</v>
      </c>
      <c r="M3034" s="6" t="str">
        <f>"287.375,00"</f>
        <v>287.375,00</v>
      </c>
      <c r="N3034" s="1" t="s">
        <v>117</v>
      </c>
      <c r="O3034" s="7"/>
      <c r="P3034" s="6" t="str">
        <f>""</f>
        <v/>
      </c>
      <c r="Q3034" s="7"/>
      <c r="R3034" s="1"/>
      <c r="S3034" s="1" t="str">
        <f>"N-76-D/18"</f>
        <v>N-76-D/18</v>
      </c>
      <c r="T3034" s="2" t="s">
        <v>538</v>
      </c>
    </row>
    <row r="3035" spans="1:20" ht="38.25" x14ac:dyDescent="0.25">
      <c r="A3035" s="1">
        <v>3031</v>
      </c>
      <c r="B3035" s="1" t="str">
        <f>"2018-393"</f>
        <v>2018-393</v>
      </c>
      <c r="C3035" s="2" t="s">
        <v>1749</v>
      </c>
      <c r="D3035" s="1" t="s">
        <v>152</v>
      </c>
      <c r="E3035" s="3" t="str">
        <f>"2018/S 0F2-0033839"</f>
        <v>2018/S 0F2-0033839</v>
      </c>
      <c r="F3035" s="2" t="s">
        <v>23</v>
      </c>
      <c r="G3035" s="2" t="str">
        <f>CONCATENATE("MACEL PLIN D.O.O.,"," MALEŠNICA 3C,"," 10000 ZAGREB,"," OIB: 36043571166")</f>
        <v>MACEL PLIN D.O.O., MALEŠNICA 3C, 10000 ZAGREB, OIB: 36043571166</v>
      </c>
      <c r="H3035" s="4"/>
      <c r="I3035" s="1" t="s">
        <v>293</v>
      </c>
      <c r="J3035" s="1" t="s">
        <v>908</v>
      </c>
      <c r="K3035" s="6" t="str">
        <f>"349.500,00"</f>
        <v>349.500,00</v>
      </c>
      <c r="L3035" s="6" t="str">
        <f>"87.375,00"</f>
        <v>87.375,00</v>
      </c>
      <c r="M3035" s="6" t="str">
        <f>"436.875,00"</f>
        <v>436.875,00</v>
      </c>
      <c r="N3035" s="1" t="s">
        <v>117</v>
      </c>
      <c r="O3035" s="7"/>
      <c r="P3035" s="6" t="str">
        <f>""</f>
        <v/>
      </c>
      <c r="Q3035" s="7"/>
      <c r="R3035" s="1"/>
      <c r="S3035" s="1" t="str">
        <f>"N-76-E/18"</f>
        <v>N-76-E/18</v>
      </c>
      <c r="T3035" s="2" t="s">
        <v>538</v>
      </c>
    </row>
    <row r="3036" spans="1:20" ht="51" x14ac:dyDescent="0.25">
      <c r="A3036" s="1">
        <v>3032</v>
      </c>
      <c r="B3036" s="1" t="str">
        <f>"2018-2398"</f>
        <v>2018-2398</v>
      </c>
      <c r="C3036" s="2" t="s">
        <v>1750</v>
      </c>
      <c r="D3036" s="1" t="s">
        <v>1325</v>
      </c>
      <c r="E3036" s="3" t="str">
        <f>"2018/S 0F2-0031244"</f>
        <v>2018/S 0F2-0031244</v>
      </c>
      <c r="F3036" s="2" t="s">
        <v>23</v>
      </c>
      <c r="G3036" s="2" t="str">
        <f>CONCATENATE("ZEM NADZOR D.O.O.,"," PALINOVEČKA 19D,"," 10000 ZAGREB,"," OIB: 38867321879")</f>
        <v>ZEM NADZOR D.O.O., PALINOVEČKA 19D, 10000 ZAGREB, OIB: 38867321879</v>
      </c>
      <c r="H3036" s="4"/>
      <c r="I3036" s="1" t="s">
        <v>264</v>
      </c>
      <c r="J3036" s="1" t="s">
        <v>932</v>
      </c>
      <c r="K3036" s="6" t="str">
        <f>"87.000,00"</f>
        <v>87.000,00</v>
      </c>
      <c r="L3036" s="6" t="str">
        <f>"21.750,00"</f>
        <v>21.750,00</v>
      </c>
      <c r="M3036" s="6" t="str">
        <f>"108.750,00"</f>
        <v>108.750,00</v>
      </c>
      <c r="N3036" s="1" t="s">
        <v>117</v>
      </c>
      <c r="O3036" s="7"/>
      <c r="P3036" s="6" t="str">
        <f>""</f>
        <v/>
      </c>
      <c r="Q3036" s="7"/>
      <c r="R3036" s="1"/>
      <c r="S3036" s="1" t="str">
        <f>"N-77/18"</f>
        <v>N-77/18</v>
      </c>
      <c r="T3036" s="2" t="s">
        <v>29</v>
      </c>
    </row>
    <row r="3037" spans="1:20" ht="38.25" x14ac:dyDescent="0.25">
      <c r="A3037" s="1">
        <v>3033</v>
      </c>
      <c r="B3037" s="1" t="str">
        <f>"2018-634"</f>
        <v>2018-634</v>
      </c>
      <c r="C3037" s="2" t="s">
        <v>1751</v>
      </c>
      <c r="D3037" s="1" t="s">
        <v>1154</v>
      </c>
      <c r="E3037" s="3" t="str">
        <f>"2018/S 0F2-0031345"</f>
        <v>2018/S 0F2-0031345</v>
      </c>
      <c r="F3037" s="2" t="s">
        <v>23</v>
      </c>
      <c r="G3037" s="2" t="str">
        <f>CONCATENATE("PRIMAT-LOGISTIKA D.O.O.,"," ZASTAVNICE 11,"," 10251 HRVATSKI LESKOVAC,"," OIB: 64645054565")</f>
        <v>PRIMAT-LOGISTIKA D.O.O., ZASTAVNICE 11, 10251 HRVATSKI LESKOVAC, OIB: 64645054565</v>
      </c>
      <c r="H3037" s="4"/>
      <c r="I3037" s="1" t="s">
        <v>277</v>
      </c>
      <c r="J3037" s="1" t="s">
        <v>1752</v>
      </c>
      <c r="K3037" s="6" t="str">
        <f>"1.284.726,00"</f>
        <v>1.284.726,00</v>
      </c>
      <c r="L3037" s="6" t="str">
        <f>"321.181,50"</f>
        <v>321.181,50</v>
      </c>
      <c r="M3037" s="6" t="str">
        <f>"1.605.907,50"</f>
        <v>1.605.907,50</v>
      </c>
      <c r="N3037" s="5">
        <v>43598</v>
      </c>
      <c r="O3037" s="7"/>
      <c r="P3037" s="6" t="str">
        <f>"1.605.907,50"</f>
        <v>1.605.907,50</v>
      </c>
      <c r="Q3037" s="7"/>
      <c r="R3037" s="1"/>
      <c r="S3037" s="1" t="str">
        <f>"N-78/18"</f>
        <v>N-78/18</v>
      </c>
      <c r="T3037" s="2" t="s">
        <v>33</v>
      </c>
    </row>
    <row r="3038" spans="1:20" ht="38.25" x14ac:dyDescent="0.25">
      <c r="A3038" s="1">
        <v>3034</v>
      </c>
      <c r="B3038" s="1" t="str">
        <f>"2018-1924"</f>
        <v>2018-1924</v>
      </c>
      <c r="C3038" s="2" t="s">
        <v>1391</v>
      </c>
      <c r="D3038" s="1" t="s">
        <v>1351</v>
      </c>
      <c r="E3038" s="3" t="str">
        <f>"2018/S 0F2-0020167"</f>
        <v>2018/S 0F2-0020167</v>
      </c>
      <c r="F3038" s="2" t="s">
        <v>23</v>
      </c>
      <c r="G3038" s="2" t="str">
        <f>CONCATENATE("UNICREDIT LEASING CROATIA D.O.O.,"," HEINZELOVA 33,"," 10000 ZAGREB,"," OIB: 187361412")</f>
        <v>UNICREDIT LEASING CROATIA D.O.O., HEINZELOVA 33, 10000 ZAGREB, OIB: 187361412</v>
      </c>
      <c r="H3038" s="4"/>
      <c r="I3038" s="1" t="s">
        <v>293</v>
      </c>
      <c r="J3038" s="1" t="s">
        <v>1753</v>
      </c>
      <c r="K3038" s="6" t="str">
        <f>"4.797.388,80"</f>
        <v>4.797.388,80</v>
      </c>
      <c r="L3038" s="6" t="str">
        <f>"1.199.347,20"</f>
        <v>1.199.347,20</v>
      </c>
      <c r="M3038" s="6" t="str">
        <f>"5.996.736,00"</f>
        <v>5.996.736,00</v>
      </c>
      <c r="N3038" s="1" t="s">
        <v>117</v>
      </c>
      <c r="O3038" s="7"/>
      <c r="P3038" s="6" t="str">
        <f>""</f>
        <v/>
      </c>
      <c r="Q3038" s="7"/>
      <c r="R3038" s="1"/>
      <c r="S3038" s="1" t="str">
        <f>"N-79-A/18"</f>
        <v>N-79-A/18</v>
      </c>
      <c r="T3038" s="2" t="s">
        <v>29</v>
      </c>
    </row>
    <row r="3039" spans="1:20" ht="38.25" x14ac:dyDescent="0.25">
      <c r="A3039" s="1">
        <v>3035</v>
      </c>
      <c r="B3039" s="1" t="str">
        <f>"2018-1924"</f>
        <v>2018-1924</v>
      </c>
      <c r="C3039" s="2" t="s">
        <v>1391</v>
      </c>
      <c r="D3039" s="1" t="s">
        <v>1351</v>
      </c>
      <c r="E3039" s="3" t="str">
        <f>"2018/S 0F2-0020167"</f>
        <v>2018/S 0F2-0020167</v>
      </c>
      <c r="F3039" s="2" t="s">
        <v>23</v>
      </c>
      <c r="G3039" s="2" t="str">
        <f>CONCATENATE("UNICREDIT LEASING CROATIA D.O.O.,"," HEINZELOVA 33,"," 10000 ZAGREB,"," OIB: 187361412")</f>
        <v>UNICREDIT LEASING CROATIA D.O.O., HEINZELOVA 33, 10000 ZAGREB, OIB: 187361412</v>
      </c>
      <c r="H3039" s="4"/>
      <c r="I3039" s="1" t="s">
        <v>293</v>
      </c>
      <c r="J3039" s="1" t="s">
        <v>1753</v>
      </c>
      <c r="K3039" s="6" t="str">
        <f>"6.462.686,40"</f>
        <v>6.462.686,40</v>
      </c>
      <c r="L3039" s="6" t="str">
        <f>"1.615.671,60"</f>
        <v>1.615.671,60</v>
      </c>
      <c r="M3039" s="6" t="str">
        <f>"8.078.358,00"</f>
        <v>8.078.358,00</v>
      </c>
      <c r="N3039" s="1" t="s">
        <v>117</v>
      </c>
      <c r="O3039" s="7"/>
      <c r="P3039" s="6" t="str">
        <f>""</f>
        <v/>
      </c>
      <c r="Q3039" s="7"/>
      <c r="R3039" s="1"/>
      <c r="S3039" s="1" t="str">
        <f>"N-79-B/18"</f>
        <v>N-79-B/18</v>
      </c>
      <c r="T3039" s="2" t="s">
        <v>29</v>
      </c>
    </row>
    <row r="3040" spans="1:20" ht="76.5" x14ac:dyDescent="0.25">
      <c r="A3040" s="1">
        <v>3036</v>
      </c>
      <c r="B3040" s="1" t="str">
        <f>"2018-75"</f>
        <v>2018-75</v>
      </c>
      <c r="C3040" s="2" t="s">
        <v>1754</v>
      </c>
      <c r="D3040" s="1" t="s">
        <v>1384</v>
      </c>
      <c r="E3040" s="3" t="str">
        <f>"2018/S 0F2-0034061"</f>
        <v>2018/S 0F2-0034061</v>
      </c>
      <c r="F3040" s="2" t="s">
        <v>23</v>
      </c>
      <c r="G3040" s="2" t="str">
        <f>CONCATENATE("DIPPOLD &amp; GEROLD-HIDROPROJEKT 91 D.O.O.,"," DESPRIMSKA 8,"," 10257 BREZOVICA,"," OIB: 89365215003")</f>
        <v>DIPPOLD &amp; GEROLD-HIDROPROJEKT 91 D.O.O., DESPRIMSKA 8, 10257 BREZOVICA, OIB: 89365215003</v>
      </c>
      <c r="H3040" s="1" t="str">
        <f>CONCATENATE("GEOM D.O.O.,"," OIB: 09241925730",CHAR(10),"FLAMIT D.O.O.,"," OIB: 84050612509")</f>
        <v>GEOM D.O.O., OIB: 09241925730
FLAMIT D.O.O., OIB: 84050612509</v>
      </c>
      <c r="I3040" s="1" t="s">
        <v>204</v>
      </c>
      <c r="J3040" s="1" t="s">
        <v>1177</v>
      </c>
      <c r="K3040" s="6" t="str">
        <f>"179.000,00"</f>
        <v>179.000,00</v>
      </c>
      <c r="L3040" s="6" t="str">
        <f>"44.750,00"</f>
        <v>44.750,00</v>
      </c>
      <c r="M3040" s="6" t="str">
        <f>"223.750,00"</f>
        <v>223.750,00</v>
      </c>
      <c r="N3040" s="1" t="s">
        <v>117</v>
      </c>
      <c r="O3040" s="7"/>
      <c r="P3040" s="6" t="str">
        <f>""</f>
        <v/>
      </c>
      <c r="Q3040" s="7"/>
      <c r="R3040" s="1"/>
      <c r="S3040" s="1" t="str">
        <f>"N-80/18"</f>
        <v>N-80/18</v>
      </c>
      <c r="T3040" s="2" t="s">
        <v>29</v>
      </c>
    </row>
    <row r="3041" spans="1:20" ht="38.25" x14ac:dyDescent="0.25">
      <c r="A3041" s="1">
        <v>3037</v>
      </c>
      <c r="B3041" s="1" t="str">
        <f>"2018-2531"</f>
        <v>2018-2531</v>
      </c>
      <c r="C3041" s="2" t="s">
        <v>1755</v>
      </c>
      <c r="D3041" s="1" t="s">
        <v>1756</v>
      </c>
      <c r="E3041" s="3" t="str">
        <f>"2018/S 0F2-0034258"</f>
        <v>2018/S 0F2-0034258</v>
      </c>
      <c r="F3041" s="2" t="s">
        <v>23</v>
      </c>
      <c r="G3041" s="2" t="str">
        <f>CONCATENATE("MONTEL D.O.O.,"," HORVATOVA 48/B,"," 10000 ZAGREB,"," OIB: 12595351308")</f>
        <v>MONTEL D.O.O., HORVATOVA 48/B, 10000 ZAGREB, OIB: 12595351308</v>
      </c>
      <c r="H3041" s="1" t="str">
        <f>CONCATENATE("MGV D.O.O.,"," OIB: 07790118186")</f>
        <v>MGV D.O.O., OIB: 07790118186</v>
      </c>
      <c r="I3041" s="1" t="s">
        <v>204</v>
      </c>
      <c r="J3041" s="1" t="s">
        <v>1660</v>
      </c>
      <c r="K3041" s="6" t="str">
        <f>"721.676,43"</f>
        <v>721.676,43</v>
      </c>
      <c r="L3041" s="6" t="str">
        <f>"180.419,11"</f>
        <v>180.419,11</v>
      </c>
      <c r="M3041" s="6" t="str">
        <f>"902.095,54"</f>
        <v>902.095,54</v>
      </c>
      <c r="N3041" s="1" t="s">
        <v>117</v>
      </c>
      <c r="O3041" s="7"/>
      <c r="P3041" s="6" t="str">
        <f>""</f>
        <v/>
      </c>
      <c r="Q3041" s="7"/>
      <c r="R3041" s="1"/>
      <c r="S3041" s="1" t="str">
        <f>"N-81/18"</f>
        <v>N-81/18</v>
      </c>
      <c r="T3041" s="2" t="s">
        <v>33</v>
      </c>
    </row>
    <row r="3042" spans="1:20" ht="38.25" x14ac:dyDescent="0.25">
      <c r="A3042" s="1">
        <v>3038</v>
      </c>
      <c r="B3042" s="1" t="str">
        <f>"2018-700"</f>
        <v>2018-700</v>
      </c>
      <c r="C3042" s="2" t="s">
        <v>1757</v>
      </c>
      <c r="D3042" s="1" t="s">
        <v>119</v>
      </c>
      <c r="E3042" s="3" t="str">
        <f>"2018/S 0F2-0032950"</f>
        <v>2018/S 0F2-0032950</v>
      </c>
      <c r="F3042" s="2" t="s">
        <v>23</v>
      </c>
      <c r="G3042" s="2" t="str">
        <f>CONCATENATE("TIGRA D.O.O.,"," IVANIĆGRADSKA 22,"," 10000 ZAGREB,"," OIB: 2983006023")</f>
        <v>TIGRA D.O.O., IVANIĆGRADSKA 22, 10000 ZAGREB, OIB: 2983006023</v>
      </c>
      <c r="H3042" s="1" t="str">
        <f>CONCATENATE("DAGOR D.O.O.,"," OIB: 50966188893")</f>
        <v>DAGOR D.O.O., OIB: 50966188893</v>
      </c>
      <c r="I3042" s="1" t="s">
        <v>204</v>
      </c>
      <c r="J3042" s="1" t="s">
        <v>1177</v>
      </c>
      <c r="K3042" s="6" t="str">
        <f>"495.808,50"</f>
        <v>495.808,50</v>
      </c>
      <c r="L3042" s="6" t="str">
        <f>"123.952,13"</f>
        <v>123.952,13</v>
      </c>
      <c r="M3042" s="6" t="str">
        <f>"619.760,63"</f>
        <v>619.760,63</v>
      </c>
      <c r="N3042" s="1" t="s">
        <v>117</v>
      </c>
      <c r="O3042" s="7"/>
      <c r="P3042" s="6" t="str">
        <f>""</f>
        <v/>
      </c>
      <c r="Q3042" s="7"/>
      <c r="R3042" s="1"/>
      <c r="S3042" s="1" t="str">
        <f>"N-82/18"</f>
        <v>N-82/18</v>
      </c>
      <c r="T3042" s="2" t="s">
        <v>29</v>
      </c>
    </row>
    <row r="3043" spans="1:20" ht="38.25" x14ac:dyDescent="0.25">
      <c r="A3043" s="1">
        <v>3039</v>
      </c>
      <c r="B3043" s="1" t="str">
        <f>"2018-3148"</f>
        <v>2018-3148</v>
      </c>
      <c r="C3043" s="2" t="s">
        <v>1758</v>
      </c>
      <c r="D3043" s="1" t="s">
        <v>1759</v>
      </c>
      <c r="E3043" s="3" t="str">
        <f>"2018/S 0F2-0035395"</f>
        <v>2018/S 0F2-0035395</v>
      </c>
      <c r="F3043" s="2" t="s">
        <v>23</v>
      </c>
      <c r="G3043" s="2" t="str">
        <f>CONCATENATE("SHIMADZU D.O.O.,"," ZAVRTNICA 17,"," 10000 ZAGREB,"," OIB: 16214531266")</f>
        <v>SHIMADZU D.O.O., ZAVRTNICA 17, 10000 ZAGREB, OIB: 16214531266</v>
      </c>
      <c r="H3043" s="4"/>
      <c r="I3043" s="1" t="s">
        <v>470</v>
      </c>
      <c r="J3043" s="1" t="s">
        <v>1760</v>
      </c>
      <c r="K3043" s="6" t="str">
        <f>"200.747,00"</f>
        <v>200.747,00</v>
      </c>
      <c r="L3043" s="6" t="str">
        <f>"50.186,75"</f>
        <v>50.186,75</v>
      </c>
      <c r="M3043" s="6" t="str">
        <f>"250.933,75"</f>
        <v>250.933,75</v>
      </c>
      <c r="N3043" s="5">
        <v>43690</v>
      </c>
      <c r="O3043" s="7"/>
      <c r="P3043" s="6" t="str">
        <f>"2.250,00"</f>
        <v>2.250,00</v>
      </c>
      <c r="Q3043" s="7"/>
      <c r="R3043" s="1"/>
      <c r="S3043" s="1" t="str">
        <f>"N-83/18"</f>
        <v>N-83/18</v>
      </c>
      <c r="T3043" s="2" t="s">
        <v>29</v>
      </c>
    </row>
    <row r="3044" spans="1:20" ht="38.25" x14ac:dyDescent="0.25">
      <c r="A3044" s="1">
        <v>3040</v>
      </c>
      <c r="B3044" s="1" t="str">
        <f>"2018-303"</f>
        <v>2018-303</v>
      </c>
      <c r="C3044" s="2" t="s">
        <v>1761</v>
      </c>
      <c r="D3044" s="1" t="s">
        <v>1543</v>
      </c>
      <c r="E3044" s="3" t="str">
        <f>"2018/S 0F2-0034743"</f>
        <v>2018/S 0F2-0034743</v>
      </c>
      <c r="F3044" s="2" t="s">
        <v>23</v>
      </c>
      <c r="G3044" s="2" t="str">
        <f>CONCATENATE("HT D.D.,"," OIB: 8179314656")</f>
        <v>HT D.D., OIB: 8179314656</v>
      </c>
      <c r="H3044" s="4"/>
      <c r="I3044" s="1" t="s">
        <v>470</v>
      </c>
      <c r="J3044" s="1" t="s">
        <v>1760</v>
      </c>
      <c r="K3044" s="6" t="str">
        <f>"1.400.688,70"</f>
        <v>1.400.688,70</v>
      </c>
      <c r="L3044" s="6" t="str">
        <f>"350.172,18"</f>
        <v>350.172,18</v>
      </c>
      <c r="M3044" s="6" t="str">
        <f>"1.750.860,88"</f>
        <v>1.750.860,88</v>
      </c>
      <c r="N3044" s="1" t="s">
        <v>117</v>
      </c>
      <c r="O3044" s="7"/>
      <c r="P3044" s="6" t="str">
        <f>""</f>
        <v/>
      </c>
      <c r="Q3044" s="7"/>
      <c r="R3044" s="1"/>
      <c r="S3044" s="1" t="str">
        <f>"N-84/18"</f>
        <v>N-84/18</v>
      </c>
      <c r="T3044" s="2" t="s">
        <v>538</v>
      </c>
    </row>
    <row r="3045" spans="1:20" ht="38.25" x14ac:dyDescent="0.25">
      <c r="A3045" s="1">
        <v>3041</v>
      </c>
      <c r="B3045" s="1" t="str">
        <f>"2018-3080"</f>
        <v>2018-3080</v>
      </c>
      <c r="C3045" s="2" t="s">
        <v>1762</v>
      </c>
      <c r="D3045" s="1" t="s">
        <v>1763</v>
      </c>
      <c r="E3045" s="3" t="str">
        <f>"2018/S 0F2-0032934"</f>
        <v>2018/S 0F2-0032934</v>
      </c>
      <c r="F3045" s="2" t="s">
        <v>23</v>
      </c>
      <c r="G3045" s="2" t="str">
        <f>CONCATENATE("OMEGA SOFTWARE D.O.O.,"," KAMENARKA 37,"," 10010 ZAGREB-SLOBOŠTINA,"," OIB: 40102169932")</f>
        <v>OMEGA SOFTWARE D.O.O., KAMENARKA 37, 10010 ZAGREB-SLOBOŠTINA, OIB: 40102169932</v>
      </c>
      <c r="H3045" s="4"/>
      <c r="I3045" s="1" t="s">
        <v>470</v>
      </c>
      <c r="J3045" s="1" t="s">
        <v>1760</v>
      </c>
      <c r="K3045" s="6" t="str">
        <f>"4.481.484,20"</f>
        <v>4.481.484,20</v>
      </c>
      <c r="L3045" s="6" t="str">
        <f>"1.120.371,05"</f>
        <v>1.120.371,05</v>
      </c>
      <c r="M3045" s="6" t="str">
        <f>"5.601.855,25"</f>
        <v>5.601.855,25</v>
      </c>
      <c r="N3045" s="5">
        <v>43585</v>
      </c>
      <c r="O3045" s="7"/>
      <c r="P3045" s="6" t="str">
        <f>"5.039.355,25"</f>
        <v>5.039.355,25</v>
      </c>
      <c r="Q3045" s="7"/>
      <c r="R3045" s="1"/>
      <c r="S3045" s="1" t="str">
        <f>"N-85/18"</f>
        <v>N-85/18</v>
      </c>
      <c r="T3045" s="2" t="s">
        <v>33</v>
      </c>
    </row>
    <row r="3046" spans="1:20" ht="38.25" x14ac:dyDescent="0.25">
      <c r="A3046" s="1">
        <v>3042</v>
      </c>
      <c r="B3046" s="1" t="str">
        <f>"2018-2208"</f>
        <v>2018-2208</v>
      </c>
      <c r="C3046" s="2" t="s">
        <v>1764</v>
      </c>
      <c r="D3046" s="1" t="s">
        <v>1765</v>
      </c>
      <c r="E3046" s="3" t="str">
        <f>"2018/S 0F2-0022592"</f>
        <v>2018/S 0F2-0022592</v>
      </c>
      <c r="F3046" s="2" t="s">
        <v>23</v>
      </c>
      <c r="G3046" s="2" t="str">
        <f>CONCATENATE("OFFICINE MECCANICHE CIROLDI SPA,"," OIB: 00052150364")</f>
        <v>OFFICINE MECCANICHE CIROLDI SPA, OIB: 00052150364</v>
      </c>
      <c r="H3046" s="4"/>
      <c r="I3046" s="1" t="s">
        <v>423</v>
      </c>
      <c r="J3046" s="1" t="s">
        <v>959</v>
      </c>
      <c r="K3046" s="6" t="str">
        <f>"2.507.400,00"</f>
        <v>2.507.400,00</v>
      </c>
      <c r="L3046" s="6" t="str">
        <f>"626.850,00"</f>
        <v>626.850,00</v>
      </c>
      <c r="M3046" s="6" t="str">
        <f>"3.134.250,00"</f>
        <v>3.134.250,00</v>
      </c>
      <c r="N3046" s="1" t="s">
        <v>117</v>
      </c>
      <c r="O3046" s="7"/>
      <c r="P3046" s="6" t="str">
        <f>""</f>
        <v/>
      </c>
      <c r="Q3046" s="7"/>
      <c r="R3046" s="1"/>
      <c r="S3046" s="1" t="str">
        <f>"N-86/18"</f>
        <v>N-86/18</v>
      </c>
      <c r="T3046" s="2" t="s">
        <v>33</v>
      </c>
    </row>
    <row r="3047" spans="1:20" ht="38.25" x14ac:dyDescent="0.25">
      <c r="A3047" s="1">
        <v>3043</v>
      </c>
      <c r="B3047" s="1" t="str">
        <f>"2018-1018"</f>
        <v>2018-1018</v>
      </c>
      <c r="C3047" s="2" t="s">
        <v>1766</v>
      </c>
      <c r="D3047" s="1" t="s">
        <v>119</v>
      </c>
      <c r="E3047" s="3" t="str">
        <f>"2018/S 0F2-0035159"</f>
        <v>2018/S 0F2-0035159</v>
      </c>
      <c r="F3047" s="2" t="s">
        <v>23</v>
      </c>
      <c r="G3047" s="2" t="str">
        <f>CONCATENATE("NERING D.O.O.,"," LIVADARSKI PUT 24,"," 10360 SESVETE,"," OIB: 85965934616")</f>
        <v>NERING D.O.O., LIVADARSKI PUT 24, 10360 SESVETE, OIB: 85965934616</v>
      </c>
      <c r="H3047" s="4"/>
      <c r="I3047" s="1" t="s">
        <v>423</v>
      </c>
      <c r="J3047" s="1" t="s">
        <v>959</v>
      </c>
      <c r="K3047" s="6" t="str">
        <f>"3.765.674,92"</f>
        <v>3.765.674,92</v>
      </c>
      <c r="L3047" s="6" t="str">
        <f>"941.418,73"</f>
        <v>941.418,73</v>
      </c>
      <c r="M3047" s="6" t="str">
        <f>"4.707.093,65"</f>
        <v>4.707.093,65</v>
      </c>
      <c r="N3047" s="1" t="s">
        <v>117</v>
      </c>
      <c r="O3047" s="7"/>
      <c r="P3047" s="6" t="str">
        <f>""</f>
        <v/>
      </c>
      <c r="Q3047" s="7"/>
      <c r="R3047" s="1"/>
      <c r="S3047" s="1" t="str">
        <f>"N-87/18"</f>
        <v>N-87/18</v>
      </c>
      <c r="T3047" s="2" t="s">
        <v>29</v>
      </c>
    </row>
    <row r="3048" spans="1:20" ht="38.25" x14ac:dyDescent="0.25">
      <c r="A3048" s="1">
        <v>3044</v>
      </c>
      <c r="B3048" s="1" t="str">
        <f>"2018-1370"</f>
        <v>2018-1370</v>
      </c>
      <c r="C3048" s="2" t="s">
        <v>1767</v>
      </c>
      <c r="D3048" s="1" t="s">
        <v>1384</v>
      </c>
      <c r="E3048" s="3" t="str">
        <f>"2018/S 0F2-0027497"</f>
        <v>2018/S 0F2-0027497</v>
      </c>
      <c r="F3048" s="2" t="s">
        <v>23</v>
      </c>
      <c r="G3048" s="2" t="str">
        <f>CONCATENATE("PROMPT PROJEKTIRANJE D.O.O.,"," TOMISLAVOVA 9,"," 10000 ZAGREB,"," OIB: 30094396634")</f>
        <v>PROMPT PROJEKTIRANJE D.O.O., TOMISLAVOVA 9, 10000 ZAGREB, OIB: 30094396634</v>
      </c>
      <c r="H3048" s="4"/>
      <c r="I3048" s="1" t="s">
        <v>596</v>
      </c>
      <c r="J3048" s="1" t="s">
        <v>1167</v>
      </c>
      <c r="K3048" s="6" t="str">
        <f>"96.500,00"</f>
        <v>96.500,00</v>
      </c>
      <c r="L3048" s="6" t="str">
        <f>"24.125,00"</f>
        <v>24.125,00</v>
      </c>
      <c r="M3048" s="6" t="str">
        <f>"120.625,00"</f>
        <v>120.625,00</v>
      </c>
      <c r="N3048" s="1" t="s">
        <v>117</v>
      </c>
      <c r="O3048" s="7"/>
      <c r="P3048" s="6" t="str">
        <f>""</f>
        <v/>
      </c>
      <c r="Q3048" s="7"/>
      <c r="R3048" s="1"/>
      <c r="S3048" s="1" t="str">
        <f>"N-88/18"</f>
        <v>N-88/18</v>
      </c>
      <c r="T3048" s="2" t="s">
        <v>29</v>
      </c>
    </row>
    <row r="3049" spans="1:20" ht="38.25" x14ac:dyDescent="0.25">
      <c r="A3049" s="1">
        <v>3045</v>
      </c>
      <c r="B3049" s="1" t="str">
        <f>"2018-3110"</f>
        <v>2018-3110</v>
      </c>
      <c r="C3049" s="2" t="s">
        <v>1768</v>
      </c>
      <c r="D3049" s="1" t="s">
        <v>922</v>
      </c>
      <c r="E3049" s="3" t="str">
        <f>"2018/S 0F2-0034256"</f>
        <v>2018/S 0F2-0034256</v>
      </c>
      <c r="F3049" s="2" t="s">
        <v>23</v>
      </c>
      <c r="G3049" s="2" t="str">
        <f>CONCATENATE("GEORAD D.O.O.,"," KORNATSKA 1,"," 10000 ZAGREB,"," OIB: 49756748234")</f>
        <v>GEORAD D.O.O., KORNATSKA 1, 10000 ZAGREB, OIB: 49756748234</v>
      </c>
      <c r="H3049" s="4"/>
      <c r="I3049" s="1" t="s">
        <v>423</v>
      </c>
      <c r="J3049" s="1" t="s">
        <v>959</v>
      </c>
      <c r="K3049" s="6" t="str">
        <f>"2.334.542,00"</f>
        <v>2.334.542,00</v>
      </c>
      <c r="L3049" s="6" t="str">
        <f>"583.635,50"</f>
        <v>583.635,50</v>
      </c>
      <c r="M3049" s="6" t="str">
        <f>"2.918.177,50"</f>
        <v>2.918.177,50</v>
      </c>
      <c r="N3049" s="1" t="s">
        <v>117</v>
      </c>
      <c r="O3049" s="7"/>
      <c r="P3049" s="6" t="str">
        <f>""</f>
        <v/>
      </c>
      <c r="Q3049" s="7"/>
      <c r="R3049" s="1"/>
      <c r="S3049" s="1" t="str">
        <f>"N-89/18"</f>
        <v>N-89/18</v>
      </c>
      <c r="T3049" s="2" t="s">
        <v>29</v>
      </c>
    </row>
    <row r="3050" spans="1:20" ht="38.25" x14ac:dyDescent="0.25">
      <c r="A3050" s="1">
        <v>3046</v>
      </c>
      <c r="B3050" s="1" t="str">
        <f>"2018-3106"</f>
        <v>2018-3106</v>
      </c>
      <c r="C3050" s="2" t="s">
        <v>1769</v>
      </c>
      <c r="D3050" s="1" t="s">
        <v>1561</v>
      </c>
      <c r="E3050" s="3" t="str">
        <f>"2018/S 0F2-0031018"</f>
        <v>2018/S 0F2-0031018</v>
      </c>
      <c r="F3050" s="2" t="s">
        <v>23</v>
      </c>
      <c r="G3050" s="2" t="str">
        <f>CONCATENATE("VILSTROJ D.O.O.,"," MAŽINJICA 77,"," 52420 BUZET,"," OIB: 14411754953")</f>
        <v>VILSTROJ D.O.O., MAŽINJICA 77, 52420 BUZET, OIB: 14411754953</v>
      </c>
      <c r="H3050" s="4"/>
      <c r="I3050" s="1" t="s">
        <v>423</v>
      </c>
      <c r="J3050" s="1" t="s">
        <v>959</v>
      </c>
      <c r="K3050" s="6" t="str">
        <f>"159.900,00"</f>
        <v>159.900,00</v>
      </c>
      <c r="L3050" s="6" t="str">
        <f>"39.975,00"</f>
        <v>39.975,00</v>
      </c>
      <c r="M3050" s="6" t="str">
        <f>"199.875,00"</f>
        <v>199.875,00</v>
      </c>
      <c r="N3050" s="1" t="s">
        <v>117</v>
      </c>
      <c r="O3050" s="7"/>
      <c r="P3050" s="6" t="str">
        <f>""</f>
        <v/>
      </c>
      <c r="Q3050" s="7"/>
      <c r="R3050" s="1"/>
      <c r="S3050" s="1" t="str">
        <f>"N-90/18"</f>
        <v>N-90/18</v>
      </c>
      <c r="T3050" s="2" t="s">
        <v>538</v>
      </c>
    </row>
    <row r="3051" spans="1:20" ht="38.25" x14ac:dyDescent="0.25">
      <c r="A3051" s="1">
        <v>3047</v>
      </c>
      <c r="B3051" s="1" t="str">
        <f>"2018-2007"</f>
        <v>2018-2007</v>
      </c>
      <c r="C3051" s="2" t="s">
        <v>1578</v>
      </c>
      <c r="D3051" s="1" t="s">
        <v>1579</v>
      </c>
      <c r="E3051" s="3" t="str">
        <f>"2018/S 0F2-0034381"</f>
        <v>2018/S 0F2-0034381</v>
      </c>
      <c r="F3051" s="2" t="s">
        <v>23</v>
      </c>
      <c r="G3051" s="2" t="str">
        <f>CONCATENATE("E.T.AL. D.O.O.,"," BAČKA 36,"," 10000 ZAGREB,"," OIB: 91055981513")</f>
        <v>E.T.AL. D.O.O., BAČKA 36, 10000 ZAGREB, OIB: 91055981513</v>
      </c>
      <c r="H3051" s="4"/>
      <c r="I3051" s="1" t="s">
        <v>566</v>
      </c>
      <c r="J3051" s="1" t="s">
        <v>1770</v>
      </c>
      <c r="K3051" s="6" t="str">
        <f>"949.000,00"</f>
        <v>949.000,00</v>
      </c>
      <c r="L3051" s="6" t="str">
        <f>"237.250,00"</f>
        <v>237.250,00</v>
      </c>
      <c r="M3051" s="6" t="str">
        <f>"1.186.250,00"</f>
        <v>1.186.250,00</v>
      </c>
      <c r="N3051" s="1" t="s">
        <v>117</v>
      </c>
      <c r="O3051" s="7"/>
      <c r="P3051" s="6" t="str">
        <f>""</f>
        <v/>
      </c>
      <c r="Q3051" s="7"/>
      <c r="R3051" s="1"/>
      <c r="S3051" s="1" t="str">
        <f>"N-91/18"</f>
        <v>N-91/18</v>
      </c>
      <c r="T3051" s="2" t="s">
        <v>29</v>
      </c>
    </row>
    <row r="3052" spans="1:20" ht="38.25" x14ac:dyDescent="0.25">
      <c r="A3052" s="1">
        <v>3048</v>
      </c>
      <c r="B3052" s="1" t="str">
        <f>"2018-716"</f>
        <v>2018-716</v>
      </c>
      <c r="C3052" s="2" t="s">
        <v>1771</v>
      </c>
      <c r="D3052" s="1" t="s">
        <v>1772</v>
      </c>
      <c r="E3052" s="3" t="str">
        <f>"2018/S 0F2-0035198"</f>
        <v>2018/S 0F2-0035198</v>
      </c>
      <c r="F3052" s="2" t="s">
        <v>23</v>
      </c>
      <c r="G3052" s="2" t="str">
        <f>CONCATENATE("UNICREDIT LEASING CROATIA D.O.O.,"," HEINZELOVA 33,"," 10000 ZAGREB,"," OIB: 187361412")</f>
        <v>UNICREDIT LEASING CROATIA D.O.O., HEINZELOVA 33, 10000 ZAGREB, OIB: 187361412</v>
      </c>
      <c r="H3052" s="4"/>
      <c r="I3052" s="1" t="s">
        <v>339</v>
      </c>
      <c r="J3052" s="1" t="s">
        <v>1773</v>
      </c>
      <c r="K3052" s="6" t="str">
        <f>"242.332,68"</f>
        <v>242.332,68</v>
      </c>
      <c r="L3052" s="6" t="str">
        <f>"60.583,17"</f>
        <v>60.583,17</v>
      </c>
      <c r="M3052" s="6" t="str">
        <f>"302.915,85"</f>
        <v>302.915,85</v>
      </c>
      <c r="N3052" s="5">
        <v>43700</v>
      </c>
      <c r="O3052" s="7"/>
      <c r="P3052" s="6" t="str">
        <f>"302.915,85"</f>
        <v>302.915,85</v>
      </c>
      <c r="Q3052" s="7"/>
      <c r="R3052" s="1"/>
      <c r="S3052" s="1" t="str">
        <f>"N-92-A/18"</f>
        <v>N-92-A/18</v>
      </c>
      <c r="T3052" s="2" t="s">
        <v>33</v>
      </c>
    </row>
    <row r="3053" spans="1:20" ht="38.25" x14ac:dyDescent="0.25">
      <c r="A3053" s="1">
        <v>3049</v>
      </c>
      <c r="B3053" s="1" t="str">
        <f>"2018-2724"</f>
        <v>2018-2724</v>
      </c>
      <c r="C3053" s="2" t="s">
        <v>1774</v>
      </c>
      <c r="D3053" s="1" t="s">
        <v>119</v>
      </c>
      <c r="E3053" s="3" t="str">
        <f>"2018/S 0F2-0036618"</f>
        <v>2018/S 0F2-0036618</v>
      </c>
      <c r="F3053" s="2" t="s">
        <v>23</v>
      </c>
      <c r="G3053" s="2" t="str">
        <f>CONCATENATE("PALIR D.O.O.,"," DANE DUIĆA 3,"," 10000 ZAGREB,"," OIB: 19383246503")</f>
        <v>PALIR D.O.O., DANE DUIĆA 3, 10000 ZAGREB, OIB: 19383246503</v>
      </c>
      <c r="H3053" s="4"/>
      <c r="I3053" s="1" t="s">
        <v>339</v>
      </c>
      <c r="J3053" s="1" t="s">
        <v>928</v>
      </c>
      <c r="K3053" s="6" t="str">
        <f>"10.636.215,20"</f>
        <v>10.636.215,20</v>
      </c>
      <c r="L3053" s="6" t="str">
        <f>"2.659.053,80"</f>
        <v>2.659.053,80</v>
      </c>
      <c r="M3053" s="6" t="str">
        <f>"13.295.269,00"</f>
        <v>13.295.269,00</v>
      </c>
      <c r="N3053" s="1" t="s">
        <v>117</v>
      </c>
      <c r="O3053" s="7"/>
      <c r="P3053" s="6" t="str">
        <f>""</f>
        <v/>
      </c>
      <c r="Q3053" s="7"/>
      <c r="R3053" s="1"/>
      <c r="S3053" s="1" t="str">
        <f>"N-93/18"</f>
        <v>N-93/18</v>
      </c>
      <c r="T3053" s="2" t="s">
        <v>29</v>
      </c>
    </row>
    <row r="3054" spans="1:20" ht="140.25" x14ac:dyDescent="0.25">
      <c r="A3054" s="1">
        <v>3050</v>
      </c>
      <c r="B3054" s="1" t="str">
        <f>"2018-1728"</f>
        <v>2018-1728</v>
      </c>
      <c r="C3054" s="2" t="s">
        <v>1775</v>
      </c>
      <c r="D3054" s="1" t="s">
        <v>119</v>
      </c>
      <c r="E3054" s="3" t="str">
        <f>"2018/S 0F2-0035257"</f>
        <v>2018/S 0F2-0035257</v>
      </c>
      <c r="F3054" s="2" t="s">
        <v>23</v>
      </c>
      <c r="G3054" s="2" t="str">
        <f>CONCATENATE("BOLČEVIĆ-GRADNJA D.O.O.,"," DUGOSELSKA CESTA 56,"," 10361 SESVETSKI KRALJEVEC,"," OIB: 520986705")</f>
        <v>BOLČEVIĆ-GRADNJA D.O.O., DUGOSELSKA CESTA 56, 10361 SESVETSKI KRALJEVEC, OIB: 520986705</v>
      </c>
      <c r="H3054" s="1" t="str">
        <f>CONCATENATE("MGV D.O.O.,"," OIB: 07790118186",CHAR(10),"LEVANT,"," OBRT ZA ELEKTRO RADOVE I POLJOPRIVREDU VL. IVICA MADUNA,"," GOLI VRH 2,"," OIB: 25046213078")</f>
        <v>MGV D.O.O., OIB: 07790118186
LEVANT, OBRT ZA ELEKTRO RADOVE I POLJOPRIVREDU VL. IVICA MADUNA, GOLI VRH 2, OIB: 25046213078</v>
      </c>
      <c r="I3054" s="1" t="s">
        <v>343</v>
      </c>
      <c r="J3054" s="1" t="s">
        <v>1776</v>
      </c>
      <c r="K3054" s="6" t="str">
        <f>"2.918.062,83"</f>
        <v>2.918.062,83</v>
      </c>
      <c r="L3054" s="6" t="str">
        <f>"729.515,71"</f>
        <v>729.515,71</v>
      </c>
      <c r="M3054" s="6" t="str">
        <f>"3.647.578,54"</f>
        <v>3.647.578,54</v>
      </c>
      <c r="N3054" s="1" t="s">
        <v>117</v>
      </c>
      <c r="O3054" s="7"/>
      <c r="P3054" s="6" t="str">
        <f>""</f>
        <v/>
      </c>
      <c r="Q3054" s="7"/>
      <c r="R3054" s="1"/>
      <c r="S3054" s="1" t="str">
        <f>"N-94/18"</f>
        <v>N-94/18</v>
      </c>
      <c r="T3054" s="2" t="s">
        <v>29</v>
      </c>
    </row>
    <row r="3055" spans="1:20" ht="38.25" x14ac:dyDescent="0.25">
      <c r="A3055" s="1">
        <v>3051</v>
      </c>
      <c r="B3055" s="1" t="str">
        <f>"2018-3115"</f>
        <v>2018-3115</v>
      </c>
      <c r="C3055" s="2" t="s">
        <v>1777</v>
      </c>
      <c r="D3055" s="1" t="s">
        <v>922</v>
      </c>
      <c r="E3055" s="3" t="str">
        <f>"2018/S 0F2-0035915"</f>
        <v>2018/S 0F2-0035915</v>
      </c>
      <c r="F3055" s="2" t="s">
        <v>23</v>
      </c>
      <c r="G3055" s="2" t="str">
        <f>CONCATENATE("VODOTEHNIKA D.D.,"," KOTURAŠKA CESTA 49,"," 10000 ZAGREB,"," OIB: 1763143132")</f>
        <v>VODOTEHNIKA D.D., KOTURAŠKA CESTA 49, 10000 ZAGREB, OIB: 1763143132</v>
      </c>
      <c r="H3055" s="4"/>
      <c r="I3055" s="1" t="s">
        <v>343</v>
      </c>
      <c r="J3055" s="1" t="s">
        <v>1776</v>
      </c>
      <c r="K3055" s="6" t="str">
        <f>"2.673.025,12"</f>
        <v>2.673.025,12</v>
      </c>
      <c r="L3055" s="6" t="str">
        <f>"668.256,28"</f>
        <v>668.256,28</v>
      </c>
      <c r="M3055" s="6" t="str">
        <f>"3.341.281,40"</f>
        <v>3.341.281,40</v>
      </c>
      <c r="N3055" s="1" t="s">
        <v>117</v>
      </c>
      <c r="O3055" s="7"/>
      <c r="P3055" s="6" t="str">
        <f>""</f>
        <v/>
      </c>
      <c r="Q3055" s="7"/>
      <c r="R3055" s="1"/>
      <c r="S3055" s="1" t="str">
        <f>"N-95/18"</f>
        <v>N-95/18</v>
      </c>
      <c r="T3055" s="2" t="s">
        <v>29</v>
      </c>
    </row>
    <row r="3056" spans="1:20" ht="38.25" x14ac:dyDescent="0.25">
      <c r="A3056" s="1">
        <v>3052</v>
      </c>
      <c r="B3056" s="1" t="str">
        <f>"2018-3116"</f>
        <v>2018-3116</v>
      </c>
      <c r="C3056" s="2" t="s">
        <v>1778</v>
      </c>
      <c r="D3056" s="1" t="s">
        <v>922</v>
      </c>
      <c r="E3056" s="3" t="str">
        <f>"2018/S 0F2-0036652"</f>
        <v>2018/S 0F2-0036652</v>
      </c>
      <c r="F3056" s="2" t="s">
        <v>23</v>
      </c>
      <c r="G3056" s="2" t="str">
        <f>CONCATENATE("GEORAD D.O.O.,"," KORNATSKA 1,"," 10000 ZAGREB,"," OIB: 49756748234")</f>
        <v>GEORAD D.O.O., KORNATSKA 1, 10000 ZAGREB, OIB: 49756748234</v>
      </c>
      <c r="H3056" s="4"/>
      <c r="I3056" s="1" t="s">
        <v>343</v>
      </c>
      <c r="J3056" s="1" t="s">
        <v>1776</v>
      </c>
      <c r="K3056" s="6" t="str">
        <f>"2.026.684,00"</f>
        <v>2.026.684,00</v>
      </c>
      <c r="L3056" s="6" t="str">
        <f>"506.671,00"</f>
        <v>506.671,00</v>
      </c>
      <c r="M3056" s="6" t="str">
        <f>"2.533.355,00"</f>
        <v>2.533.355,00</v>
      </c>
      <c r="N3056" s="1" t="s">
        <v>117</v>
      </c>
      <c r="O3056" s="7"/>
      <c r="P3056" s="6" t="str">
        <f>""</f>
        <v/>
      </c>
      <c r="Q3056" s="7"/>
      <c r="R3056" s="1"/>
      <c r="S3056" s="1" t="str">
        <f>"N-96/18"</f>
        <v>N-96/18</v>
      </c>
      <c r="T3056" s="2" t="s">
        <v>29</v>
      </c>
    </row>
    <row r="3057" spans="1:20" ht="38.25" x14ac:dyDescent="0.25">
      <c r="A3057" s="1">
        <v>3053</v>
      </c>
      <c r="B3057" s="1" t="str">
        <f>"2018-404"</f>
        <v>2018-404</v>
      </c>
      <c r="C3057" s="2" t="s">
        <v>1779</v>
      </c>
      <c r="D3057" s="1" t="s">
        <v>1569</v>
      </c>
      <c r="E3057" s="3" t="str">
        <f>"2018/S 0F2-0034232"</f>
        <v>2018/S 0F2-0034232</v>
      </c>
      <c r="F3057" s="2" t="s">
        <v>23</v>
      </c>
      <c r="G3057" s="2" t="str">
        <f>CONCATENATE("TEHNOKOM D.O.O.,"," RADNIČKA CESTA 228,"," 10000 ZAGREB,"," OIB: 26987865935")</f>
        <v>TEHNOKOM D.O.O., RADNIČKA CESTA 228, 10000 ZAGREB, OIB: 26987865935</v>
      </c>
      <c r="H3057" s="4"/>
      <c r="I3057" s="1" t="s">
        <v>463</v>
      </c>
      <c r="J3057" s="1" t="s">
        <v>1780</v>
      </c>
      <c r="K3057" s="6" t="str">
        <f>"261.517,05"</f>
        <v>261.517,05</v>
      </c>
      <c r="L3057" s="6" t="str">
        <f>"65.379,26"</f>
        <v>65.379,26</v>
      </c>
      <c r="M3057" s="6" t="str">
        <f>"326.896,31"</f>
        <v>326.896,31</v>
      </c>
      <c r="N3057" s="1" t="s">
        <v>117</v>
      </c>
      <c r="O3057" s="7"/>
      <c r="P3057" s="6" t="str">
        <f>""</f>
        <v/>
      </c>
      <c r="Q3057" s="7"/>
      <c r="R3057" s="1"/>
      <c r="S3057" s="1" t="str">
        <f>"N-97/18"</f>
        <v>N-97/18</v>
      </c>
      <c r="T3057" s="2" t="s">
        <v>538</v>
      </c>
    </row>
    <row r="3058" spans="1:20" ht="38.25" x14ac:dyDescent="0.25">
      <c r="A3058" s="1">
        <v>3054</v>
      </c>
      <c r="B3058" s="1" t="str">
        <f>"2018-3133"</f>
        <v>2018-3133</v>
      </c>
      <c r="C3058" s="2" t="s">
        <v>1781</v>
      </c>
      <c r="D3058" s="1" t="s">
        <v>119</v>
      </c>
      <c r="E3058" s="3" t="str">
        <f>"2018/S 0F2-0036592"</f>
        <v>2018/S 0F2-0036592</v>
      </c>
      <c r="F3058" s="2" t="s">
        <v>23</v>
      </c>
      <c r="G3058" s="2" t="str">
        <f>CONCATENATE("PTMG D.O.O.")</f>
        <v>PTMG D.O.O.</v>
      </c>
      <c r="H3058" s="4"/>
      <c r="I3058" s="1" t="s">
        <v>340</v>
      </c>
      <c r="J3058" s="1" t="s">
        <v>1267</v>
      </c>
      <c r="K3058" s="6" t="str">
        <f>"703.092,00"</f>
        <v>703.092,00</v>
      </c>
      <c r="L3058" s="6" t="str">
        <f>"175.773,00"</f>
        <v>175.773,00</v>
      </c>
      <c r="M3058" s="6" t="str">
        <f>"878.865,00"</f>
        <v>878.865,00</v>
      </c>
      <c r="N3058" s="1" t="s">
        <v>117</v>
      </c>
      <c r="O3058" s="7"/>
      <c r="P3058" s="6" t="str">
        <f>""</f>
        <v/>
      </c>
      <c r="Q3058" s="7"/>
      <c r="R3058" s="1"/>
      <c r="S3058" s="1" t="str">
        <f>"N-98/18"</f>
        <v>N-98/18</v>
      </c>
      <c r="T3058" s="2" t="s">
        <v>538</v>
      </c>
    </row>
    <row r="3059" spans="1:20" ht="38.25" x14ac:dyDescent="0.25">
      <c r="A3059" s="1">
        <v>3055</v>
      </c>
      <c r="B3059" s="1" t="str">
        <f>"2018-1285"</f>
        <v>2018-1285</v>
      </c>
      <c r="C3059" s="2" t="s">
        <v>1616</v>
      </c>
      <c r="D3059" s="1" t="s">
        <v>1617</v>
      </c>
      <c r="E3059" s="3" t="str">
        <f>"2018/S 0F2-0026247"</f>
        <v>2018/S 0F2-0026247</v>
      </c>
      <c r="F3059" s="2" t="s">
        <v>23</v>
      </c>
      <c r="G3059" s="2" t="str">
        <f>CONCATENATE("TEKNOXGROUP HRVATSKA D.O.O.,"," RADNIČKA CESTA 218,"," 10000 ZAGREB,"," OIB: 31826907316")</f>
        <v>TEKNOXGROUP HRVATSKA D.O.O., RADNIČKA CESTA 218, 10000 ZAGREB, OIB: 31826907316</v>
      </c>
      <c r="H3059" s="4"/>
      <c r="I3059" s="1" t="s">
        <v>339</v>
      </c>
      <c r="J3059" s="1" t="s">
        <v>928</v>
      </c>
      <c r="K3059" s="6" t="str">
        <f>"1.257.920,00"</f>
        <v>1.257.920,00</v>
      </c>
      <c r="L3059" s="6" t="str">
        <f>"314.480,00"</f>
        <v>314.480,00</v>
      </c>
      <c r="M3059" s="6" t="str">
        <f>"1.572.400,00"</f>
        <v>1.572.400,00</v>
      </c>
      <c r="N3059" s="1" t="s">
        <v>117</v>
      </c>
      <c r="O3059" s="7"/>
      <c r="P3059" s="6" t="str">
        <f>""</f>
        <v/>
      </c>
      <c r="Q3059" s="7"/>
      <c r="R3059" s="1"/>
      <c r="S3059" s="1" t="str">
        <f>"N-99/18"</f>
        <v>N-99/18</v>
      </c>
      <c r="T3059" s="2" t="s">
        <v>29</v>
      </c>
    </row>
    <row r="3060" spans="1:20" ht="51" x14ac:dyDescent="0.25">
      <c r="A3060" s="1">
        <v>3056</v>
      </c>
      <c r="B3060" s="1" t="str">
        <f>"2018-478"</f>
        <v>2018-478</v>
      </c>
      <c r="C3060" s="2" t="s">
        <v>1782</v>
      </c>
      <c r="D3060" s="1" t="s">
        <v>1384</v>
      </c>
      <c r="E3060" s="3" t="str">
        <f>"2018/S 0F2-0025978"</f>
        <v>2018/S 0F2-0025978</v>
      </c>
      <c r="F3060" s="2" t="s">
        <v>23</v>
      </c>
      <c r="G3060" s="2" t="str">
        <f>CONCATENATE("HIDRO UNA D.O.O.,"," JOSIPA ANIĆA 14,"," 10000 ZAGREB,"," OIB: 60109409627")</f>
        <v>HIDRO UNA D.O.O., JOSIPA ANIĆA 14, 10000 ZAGREB, OIB: 60109409627</v>
      </c>
      <c r="H3060" s="4"/>
      <c r="I3060" s="1" t="s">
        <v>308</v>
      </c>
      <c r="J3060" s="1" t="s">
        <v>1304</v>
      </c>
      <c r="K3060" s="6" t="str">
        <f>"63.600,00"</f>
        <v>63.600,00</v>
      </c>
      <c r="L3060" s="6" t="str">
        <f>"15.900,00"</f>
        <v>15.900,00</v>
      </c>
      <c r="M3060" s="6" t="str">
        <f>"79.500,00"</f>
        <v>79.500,00</v>
      </c>
      <c r="N3060" s="1" t="s">
        <v>117</v>
      </c>
      <c r="O3060" s="7"/>
      <c r="P3060" s="6" t="str">
        <f>""</f>
        <v/>
      </c>
      <c r="Q3060" s="7"/>
      <c r="R3060" s="1"/>
      <c r="S3060" s="1" t="str">
        <f>"N-100/18"</f>
        <v>N-100/18</v>
      </c>
      <c r="T3060" s="2" t="s">
        <v>29</v>
      </c>
    </row>
    <row r="3061" spans="1:20" ht="38.25" x14ac:dyDescent="0.25">
      <c r="A3061" s="1">
        <v>3057</v>
      </c>
      <c r="B3061" s="1" t="str">
        <f>"2018-2734"</f>
        <v>2018-2734</v>
      </c>
      <c r="C3061" s="2" t="s">
        <v>1783</v>
      </c>
      <c r="D3061" s="1" t="s">
        <v>119</v>
      </c>
      <c r="E3061" s="3" t="str">
        <f>"2018/S 0F2-0035915"</f>
        <v>2018/S 0F2-0035915</v>
      </c>
      <c r="F3061" s="2" t="s">
        <v>23</v>
      </c>
      <c r="G3061" s="2" t="str">
        <f>CONCATENATE("KOLEKTOR-ZAGREB D.O.O.,"," IVANIĆGRADSKA 22,"," 10000 ZAGREB,"," OIB: 73209542242")</f>
        <v>KOLEKTOR-ZAGREB D.O.O., IVANIĆGRADSKA 22, 10000 ZAGREB, OIB: 73209542242</v>
      </c>
      <c r="H3061" s="4"/>
      <c r="I3061" s="1" t="s">
        <v>308</v>
      </c>
      <c r="J3061" s="1" t="s">
        <v>802</v>
      </c>
      <c r="K3061" s="6" t="str">
        <f>"305.574,00"</f>
        <v>305.574,00</v>
      </c>
      <c r="L3061" s="6" t="str">
        <f>"76.393,50"</f>
        <v>76.393,50</v>
      </c>
      <c r="M3061" s="6" t="str">
        <f>"381.967,50"</f>
        <v>381.967,50</v>
      </c>
      <c r="N3061" s="1" t="s">
        <v>117</v>
      </c>
      <c r="O3061" s="7"/>
      <c r="P3061" s="6" t="str">
        <f>""</f>
        <v/>
      </c>
      <c r="Q3061" s="7"/>
      <c r="R3061" s="1"/>
      <c r="S3061" s="1" t="str">
        <f>"N-101/18"</f>
        <v>N-101/18</v>
      </c>
      <c r="T3061" s="2" t="s">
        <v>29</v>
      </c>
    </row>
    <row r="3062" spans="1:20" ht="63.75" x14ac:dyDescent="0.25">
      <c r="A3062" s="1">
        <v>3058</v>
      </c>
      <c r="B3062" s="1" t="str">
        <f>"2018-3101"</f>
        <v>2018-3101</v>
      </c>
      <c r="C3062" s="2" t="s">
        <v>1784</v>
      </c>
      <c r="D3062" s="1" t="s">
        <v>1322</v>
      </c>
      <c r="E3062" s="3" t="str">
        <f>"2018-S 0F2-0035125"</f>
        <v>2018-S 0F2-0035125</v>
      </c>
      <c r="F3062" s="2" t="s">
        <v>23</v>
      </c>
      <c r="G3062" s="2" t="str">
        <f>CONCATENATE("CAPITAL ING D.O.O.,"," KSAVERSKA CESTA 6,"," 10000 ZAGREB,"," OIB: 75926310092")</f>
        <v>CAPITAL ING D.O.O., KSAVERSKA CESTA 6, 10000 ZAGREB, OIB: 75926310092</v>
      </c>
      <c r="H3062" s="4"/>
      <c r="I3062" s="1" t="s">
        <v>308</v>
      </c>
      <c r="J3062" s="1" t="s">
        <v>802</v>
      </c>
      <c r="K3062" s="6" t="str">
        <f>"99.200,00"</f>
        <v>99.200,00</v>
      </c>
      <c r="L3062" s="6" t="str">
        <f>"24.800,00"</f>
        <v>24.800,00</v>
      </c>
      <c r="M3062" s="6" t="str">
        <f>"124.000,00"</f>
        <v>124.000,00</v>
      </c>
      <c r="N3062" s="1" t="s">
        <v>117</v>
      </c>
      <c r="O3062" s="7"/>
      <c r="P3062" s="6" t="str">
        <f>""</f>
        <v/>
      </c>
      <c r="Q3062" s="7"/>
      <c r="R3062" s="1"/>
      <c r="S3062" s="1" t="str">
        <f>"N-102/18"</f>
        <v>N-102/18</v>
      </c>
      <c r="T3062" s="2" t="s">
        <v>29</v>
      </c>
    </row>
    <row r="3063" spans="1:20" ht="38.25" x14ac:dyDescent="0.25">
      <c r="A3063" s="1">
        <v>3059</v>
      </c>
      <c r="B3063" s="1" t="str">
        <f>"2018-3114"</f>
        <v>2018-3114</v>
      </c>
      <c r="C3063" s="2" t="s">
        <v>1785</v>
      </c>
      <c r="D3063" s="1" t="s">
        <v>922</v>
      </c>
      <c r="E3063" s="3" t="str">
        <f>"2018/S 0F2-0035219"</f>
        <v>2018/S 0F2-0035219</v>
      </c>
      <c r="F3063" s="2" t="s">
        <v>23</v>
      </c>
      <c r="G3063" s="2" t="str">
        <f>CONCATENATE("TEMPORIUM GRADNJA D.O.O.,"," LJUTOMERSKA ULICA 33A,"," 10000 ZAGREB,"," OIB: 6285048268")</f>
        <v>TEMPORIUM GRADNJA D.O.O., LJUTOMERSKA ULICA 33A, 10000 ZAGREB, OIB: 6285048268</v>
      </c>
      <c r="H3063" s="4"/>
      <c r="I3063" s="1" t="s">
        <v>493</v>
      </c>
      <c r="J3063" s="1" t="s">
        <v>974</v>
      </c>
      <c r="K3063" s="6" t="str">
        <f>"519.449,19"</f>
        <v>519.449,19</v>
      </c>
      <c r="L3063" s="6" t="str">
        <f>"129.862,30"</f>
        <v>129.862,30</v>
      </c>
      <c r="M3063" s="6" t="str">
        <f>"649.311,49"</f>
        <v>649.311,49</v>
      </c>
      <c r="N3063" s="1" t="s">
        <v>117</v>
      </c>
      <c r="O3063" s="7"/>
      <c r="P3063" s="6" t="str">
        <f>""</f>
        <v/>
      </c>
      <c r="Q3063" s="7"/>
      <c r="R3063" s="1"/>
      <c r="S3063" s="1" t="str">
        <f>"N-103/18"</f>
        <v>N-103/18</v>
      </c>
      <c r="T3063" s="2" t="s">
        <v>29</v>
      </c>
    </row>
    <row r="3064" spans="1:20" ht="38.25" x14ac:dyDescent="0.25">
      <c r="A3064" s="1">
        <v>3060</v>
      </c>
      <c r="B3064" s="1" t="str">
        <f>"2018-3113"</f>
        <v>2018-3113</v>
      </c>
      <c r="C3064" s="2" t="s">
        <v>1786</v>
      </c>
      <c r="D3064" s="1" t="s">
        <v>922</v>
      </c>
      <c r="E3064" s="3" t="str">
        <f>"2018/S 0F2-0035908"</f>
        <v>2018/S 0F2-0035908</v>
      </c>
      <c r="F3064" s="2" t="s">
        <v>23</v>
      </c>
      <c r="G3064" s="2" t="str">
        <f>CONCATENATE("TEMPORIUM GRADNJA D.O.O.,"," LJUTOMERSKA ULICA 33A,"," 10000 ZAGREB,"," OIB: 6285048268")</f>
        <v>TEMPORIUM GRADNJA D.O.O., LJUTOMERSKA ULICA 33A, 10000 ZAGREB, OIB: 6285048268</v>
      </c>
      <c r="H3064" s="1" t="str">
        <f>CONCATENATE("INSTAL-PROM D.O.O.,"," OIB: 21231984689")</f>
        <v>INSTAL-PROM D.O.O., OIB: 21231984689</v>
      </c>
      <c r="I3064" s="1" t="s">
        <v>498</v>
      </c>
      <c r="J3064" s="1" t="s">
        <v>912</v>
      </c>
      <c r="K3064" s="6" t="str">
        <f>"569.015,47"</f>
        <v>569.015,47</v>
      </c>
      <c r="L3064" s="6" t="str">
        <f>"142.253,87"</f>
        <v>142.253,87</v>
      </c>
      <c r="M3064" s="6" t="str">
        <f>"711.269,34"</f>
        <v>711.269,34</v>
      </c>
      <c r="N3064" s="1" t="s">
        <v>117</v>
      </c>
      <c r="O3064" s="7"/>
      <c r="P3064" s="6" t="str">
        <f>""</f>
        <v/>
      </c>
      <c r="Q3064" s="7"/>
      <c r="R3064" s="1"/>
      <c r="S3064" s="1" t="str">
        <f>"N-104/18"</f>
        <v>N-104/18</v>
      </c>
      <c r="T3064" s="2" t="s">
        <v>29</v>
      </c>
    </row>
    <row r="3065" spans="1:20" ht="38.25" x14ac:dyDescent="0.25">
      <c r="A3065" s="1">
        <v>3061</v>
      </c>
      <c r="B3065" s="1" t="str">
        <f>"2018-326"</f>
        <v>2018-326</v>
      </c>
      <c r="C3065" s="2" t="s">
        <v>1787</v>
      </c>
      <c r="D3065" s="1" t="s">
        <v>119</v>
      </c>
      <c r="E3065" s="3" t="str">
        <f>"2018/S 0F2-0035291"</f>
        <v>2018/S 0F2-0035291</v>
      </c>
      <c r="F3065" s="2" t="s">
        <v>23</v>
      </c>
      <c r="G3065" s="2" t="str">
        <f>CONCATENATE("GEORAD D.O.O.,"," KORNATSKA 1,"," 10000 ZAGREB,"," OIB: 49756748234")</f>
        <v>GEORAD D.O.O., KORNATSKA 1, 10000 ZAGREB, OIB: 49756748234</v>
      </c>
      <c r="H3065" s="4"/>
      <c r="I3065" s="1" t="s">
        <v>498</v>
      </c>
      <c r="J3065" s="1" t="s">
        <v>912</v>
      </c>
      <c r="K3065" s="6" t="str">
        <f>"17.819.803,85"</f>
        <v>17.819.803,85</v>
      </c>
      <c r="L3065" s="6" t="str">
        <f>"4.454.950,96"</f>
        <v>4.454.950,96</v>
      </c>
      <c r="M3065" s="6" t="str">
        <f>"22.274.754,81"</f>
        <v>22.274.754,81</v>
      </c>
      <c r="N3065" s="1" t="s">
        <v>117</v>
      </c>
      <c r="O3065" s="7"/>
      <c r="P3065" s="6" t="str">
        <f>""</f>
        <v/>
      </c>
      <c r="Q3065" s="7"/>
      <c r="R3065" s="1"/>
      <c r="S3065" s="1" t="str">
        <f>"N-105/18"</f>
        <v>N-105/18</v>
      </c>
      <c r="T3065" s="2" t="s">
        <v>29</v>
      </c>
    </row>
    <row r="3066" spans="1:20" ht="38.25" x14ac:dyDescent="0.25">
      <c r="A3066" s="1">
        <v>3062</v>
      </c>
      <c r="B3066" s="1" t="str">
        <f>"2018-3040"</f>
        <v>2018-3040</v>
      </c>
      <c r="C3066" s="2" t="s">
        <v>1788</v>
      </c>
      <c r="D3066" s="1" t="s">
        <v>1195</v>
      </c>
      <c r="E3066" s="3" t="str">
        <f>"2018/S 0F2-0031955"</f>
        <v>2018/S 0F2-0031955</v>
      </c>
      <c r="F3066" s="2" t="s">
        <v>23</v>
      </c>
      <c r="G3066" s="2" t="str">
        <f>CONCATENATE("FRACASSO RI D.O.O.,"," ZANONOVA 1,"," 51000 RIJEKA,"," OIB: 02744205849")</f>
        <v>FRACASSO RI D.O.O., ZANONOVA 1, 51000 RIJEKA, OIB: 02744205849</v>
      </c>
      <c r="H3066" s="4"/>
      <c r="I3066" s="1" t="s">
        <v>344</v>
      </c>
      <c r="J3066" s="1" t="s">
        <v>1789</v>
      </c>
      <c r="K3066" s="6" t="str">
        <f>"1.495.491,50"</f>
        <v>1.495.491,50</v>
      </c>
      <c r="L3066" s="6" t="str">
        <f>"373.872,88"</f>
        <v>373.872,88</v>
      </c>
      <c r="M3066" s="6" t="str">
        <f>"1.869.364,38"</f>
        <v>1.869.364,38</v>
      </c>
      <c r="N3066" s="5">
        <v>43644</v>
      </c>
      <c r="O3066" s="7"/>
      <c r="P3066" s="6" t="str">
        <f>"93.104,38"</f>
        <v>93.104,38</v>
      </c>
      <c r="Q3066" s="7"/>
      <c r="R3066" s="1"/>
      <c r="S3066" s="1" t="str">
        <f>"N-106/18"</f>
        <v>N-106/18</v>
      </c>
      <c r="T3066" s="2" t="s">
        <v>33</v>
      </c>
    </row>
    <row r="3067" spans="1:20" ht="38.25" x14ac:dyDescent="0.25">
      <c r="A3067" s="1">
        <v>3063</v>
      </c>
      <c r="B3067" s="1" t="str">
        <f>"2018-792"</f>
        <v>2018-792</v>
      </c>
      <c r="C3067" s="2" t="s">
        <v>1790</v>
      </c>
      <c r="D3067" s="1" t="s">
        <v>1791</v>
      </c>
      <c r="E3067" s="3" t="str">
        <f>"2018/S 0F2-0025400"</f>
        <v>2018/S 0F2-0025400</v>
      </c>
      <c r="F3067" s="2" t="s">
        <v>23</v>
      </c>
      <c r="G3067" s="2" t="str">
        <f>CONCATENATE("HOLOSYS D.O.O.")</f>
        <v>HOLOSYS D.O.O.</v>
      </c>
      <c r="H3067" s="4"/>
      <c r="I3067" s="1" t="s">
        <v>318</v>
      </c>
      <c r="J3067" s="1" t="s">
        <v>983</v>
      </c>
      <c r="K3067" s="6" t="str">
        <f>"693.000,00"</f>
        <v>693.000,00</v>
      </c>
      <c r="L3067" s="6" t="str">
        <f>"173.250,00"</f>
        <v>173.250,00</v>
      </c>
      <c r="M3067" s="6" t="str">
        <f>"866.250,00"</f>
        <v>866.250,00</v>
      </c>
      <c r="N3067" s="1" t="s">
        <v>117</v>
      </c>
      <c r="O3067" s="7"/>
      <c r="P3067" s="6" t="str">
        <f>""</f>
        <v/>
      </c>
      <c r="Q3067" s="7"/>
      <c r="R3067" s="1"/>
      <c r="S3067" s="1" t="str">
        <f>"N-107-A/18"</f>
        <v>N-107-A/18</v>
      </c>
      <c r="T3067" s="2" t="s">
        <v>538</v>
      </c>
    </row>
    <row r="3068" spans="1:20" ht="38.25" x14ac:dyDescent="0.25">
      <c r="A3068" s="1">
        <v>3064</v>
      </c>
      <c r="B3068" s="1" t="str">
        <f>"2018-792"</f>
        <v>2018-792</v>
      </c>
      <c r="C3068" s="2" t="s">
        <v>1790</v>
      </c>
      <c r="D3068" s="1" t="s">
        <v>1791</v>
      </c>
      <c r="E3068" s="3" t="str">
        <f>"2018/S 0F2-0025400"</f>
        <v>2018/S 0F2-0025400</v>
      </c>
      <c r="F3068" s="2" t="s">
        <v>23</v>
      </c>
      <c r="G3068" s="2" t="str">
        <f>CONCATENATE("HOLOSYS D.O.O.")</f>
        <v>HOLOSYS D.O.O.</v>
      </c>
      <c r="H3068" s="4"/>
      <c r="I3068" s="1" t="s">
        <v>30</v>
      </c>
      <c r="J3068" s="1" t="s">
        <v>1792</v>
      </c>
      <c r="K3068" s="6" t="str">
        <f>"616.000,00"</f>
        <v>616.000,00</v>
      </c>
      <c r="L3068" s="6" t="str">
        <f>"154.000,00"</f>
        <v>154.000,00</v>
      </c>
      <c r="M3068" s="6" t="str">
        <f>"770.000,00"</f>
        <v>770.000,00</v>
      </c>
      <c r="N3068" s="1" t="s">
        <v>117</v>
      </c>
      <c r="O3068" s="7"/>
      <c r="P3068" s="6" t="str">
        <f>""</f>
        <v/>
      </c>
      <c r="Q3068" s="7"/>
      <c r="R3068" s="1"/>
      <c r="S3068" s="1" t="str">
        <f>"N-107-B/18"</f>
        <v>N-107-B/18</v>
      </c>
      <c r="T3068" s="2" t="s">
        <v>538</v>
      </c>
    </row>
    <row r="3069" spans="1:20" ht="38.25" x14ac:dyDescent="0.25">
      <c r="A3069" s="1">
        <v>3065</v>
      </c>
      <c r="B3069" s="1" t="str">
        <f>"2018-837"</f>
        <v>2018-837</v>
      </c>
      <c r="C3069" s="2" t="s">
        <v>1516</v>
      </c>
      <c r="D3069" s="1" t="s">
        <v>1517</v>
      </c>
      <c r="E3069" s="3" t="str">
        <f>"2018/S 0F2-0034086"</f>
        <v>2018/S 0F2-0034086</v>
      </c>
      <c r="F3069" s="2" t="s">
        <v>23</v>
      </c>
      <c r="G3069" s="2" t="str">
        <f>CONCATENATE("ZIGG-PRO D.O.O.,"," PREVENDA 5,"," 10000 ZAGREB,"," OIB: 94218317643")</f>
        <v>ZIGG-PRO D.O.O., PREVENDA 5, 10000 ZAGREB, OIB: 94218317643</v>
      </c>
      <c r="H3069" s="4"/>
      <c r="I3069" s="1" t="s">
        <v>318</v>
      </c>
      <c r="J3069" s="1" t="s">
        <v>983</v>
      </c>
      <c r="K3069" s="6" t="str">
        <f>"287.527,00"</f>
        <v>287.527,00</v>
      </c>
      <c r="L3069" s="6" t="str">
        <f>"71.881,75"</f>
        <v>71.881,75</v>
      </c>
      <c r="M3069" s="6" t="str">
        <f>"359.408,75"</f>
        <v>359.408,75</v>
      </c>
      <c r="N3069" s="5">
        <v>43644</v>
      </c>
      <c r="O3069" s="7"/>
      <c r="P3069" s="6" t="str">
        <f>"359.408,75"</f>
        <v>359.408,75</v>
      </c>
      <c r="Q3069" s="7"/>
      <c r="R3069" s="1"/>
      <c r="S3069" s="1" t="str">
        <f>"N-108/18"</f>
        <v>N-108/18</v>
      </c>
      <c r="T3069" s="2" t="s">
        <v>29</v>
      </c>
    </row>
    <row r="3070" spans="1:20" ht="38.25" x14ac:dyDescent="0.25">
      <c r="A3070" s="1">
        <v>3066</v>
      </c>
      <c r="B3070" s="1" t="str">
        <f>"2018-3129"</f>
        <v>2018-3129</v>
      </c>
      <c r="C3070" s="2" t="s">
        <v>1793</v>
      </c>
      <c r="D3070" s="1" t="s">
        <v>1794</v>
      </c>
      <c r="E3070" s="3" t="str">
        <f>"2019/S 0F2-0000402"</f>
        <v>2019/S 0F2-0000402</v>
      </c>
      <c r="F3070" s="2" t="s">
        <v>23</v>
      </c>
      <c r="G3070" s="2" t="str">
        <f>CONCATENATE("HRID - NON DESTRUCTIVE TESTING D.O.O.,"," OIB: 65153629603")</f>
        <v>HRID - NON DESTRUCTIVE TESTING D.O.O., OIB: 65153629603</v>
      </c>
      <c r="H3070" s="4"/>
      <c r="I3070" s="1" t="s">
        <v>64</v>
      </c>
      <c r="J3070" s="1" t="s">
        <v>333</v>
      </c>
      <c r="K3070" s="6" t="str">
        <f>"438.958,70"</f>
        <v>438.958,70</v>
      </c>
      <c r="L3070" s="6" t="str">
        <f>"109.739,68"</f>
        <v>109.739,68</v>
      </c>
      <c r="M3070" s="6" t="str">
        <f>"548.698,38"</f>
        <v>548.698,38</v>
      </c>
      <c r="N3070" s="1" t="s">
        <v>117</v>
      </c>
      <c r="O3070" s="7"/>
      <c r="P3070" s="6" t="str">
        <f>""</f>
        <v/>
      </c>
      <c r="Q3070" s="7"/>
      <c r="R3070" s="1"/>
      <c r="S3070" s="1" t="str">
        <f>"N-109/18"</f>
        <v>N-109/18</v>
      </c>
      <c r="T3070" s="2" t="s">
        <v>538</v>
      </c>
    </row>
    <row r="3071" spans="1:20" ht="76.5" x14ac:dyDescent="0.25">
      <c r="A3071" s="1">
        <v>3067</v>
      </c>
      <c r="B3071" s="1" t="str">
        <f>"2018-750"</f>
        <v>2018-750</v>
      </c>
      <c r="C3071" s="2" t="s">
        <v>1795</v>
      </c>
      <c r="D3071" s="1" t="s">
        <v>119</v>
      </c>
      <c r="E3071" s="3" t="str">
        <f>"2018/S 0F2-0032502"</f>
        <v>2018/S 0F2-0032502</v>
      </c>
      <c r="F3071" s="2" t="s">
        <v>23</v>
      </c>
      <c r="G3071" s="2" t="str">
        <f>CONCATENATE("MONTER-STROJARSKE MONTAŽE D.D.,"," VELIMIRA ŠKORPIKA 28,"," 10000 ZAGREB,"," OIB: 13887374452")</f>
        <v>MONTER-STROJARSKE MONTAŽE D.D., VELIMIRA ŠKORPIKA 28, 10000 ZAGREB, OIB: 13887374452</v>
      </c>
      <c r="H3071" s="1" t="str">
        <f>CONCATENATE("TIGRA D.O.O.,"," OIB: 29830060230",CHAR(10),"GEOANDA D.O.O.,"," OIB: 70840886172")</f>
        <v>TIGRA D.O.O., OIB: 29830060230
GEOANDA D.O.O., OIB: 70840886172</v>
      </c>
      <c r="I3071" s="1" t="s">
        <v>329</v>
      </c>
      <c r="J3071" s="1" t="s">
        <v>1796</v>
      </c>
      <c r="K3071" s="6" t="str">
        <f>"8.999.084,45"</f>
        <v>8.999.084,45</v>
      </c>
      <c r="L3071" s="6" t="str">
        <f>"2.249.771,11"</f>
        <v>2.249.771,11</v>
      </c>
      <c r="M3071" s="6" t="str">
        <f>"11.248.855,56"</f>
        <v>11.248.855,56</v>
      </c>
      <c r="N3071" s="1" t="s">
        <v>117</v>
      </c>
      <c r="O3071" s="7"/>
      <c r="P3071" s="6" t="str">
        <f>""</f>
        <v/>
      </c>
      <c r="Q3071" s="7"/>
      <c r="R3071" s="1"/>
      <c r="S3071" s="1" t="str">
        <f>"N-110/18"</f>
        <v>N-110/18</v>
      </c>
      <c r="T3071" s="2" t="s">
        <v>29</v>
      </c>
    </row>
    <row r="3072" spans="1:20" ht="51" x14ac:dyDescent="0.25">
      <c r="A3072" s="1">
        <v>3068</v>
      </c>
      <c r="B3072" s="1" t="str">
        <f>"2018-1474"</f>
        <v>2018-1474</v>
      </c>
      <c r="C3072" s="2" t="s">
        <v>1797</v>
      </c>
      <c r="D3072" s="1" t="s">
        <v>1384</v>
      </c>
      <c r="E3072" s="3" t="str">
        <f>"2018/S 0F2-0031652"</f>
        <v>2018/S 0F2-0031652</v>
      </c>
      <c r="F3072" s="2" t="s">
        <v>23</v>
      </c>
      <c r="G3072" s="2" t="str">
        <f>CONCATENATE("HIDRO-A D.O.O.,"," VRLIČKA 24,"," 10000 ZAGREB,"," OIB: 84077835296")</f>
        <v>HIDRO-A D.O.O., VRLIČKA 24, 10000 ZAGREB, OIB: 84077835296</v>
      </c>
      <c r="H3072" s="4"/>
      <c r="I3072" s="1" t="s">
        <v>332</v>
      </c>
      <c r="J3072" s="1" t="s">
        <v>1292</v>
      </c>
      <c r="K3072" s="6" t="str">
        <f>"114.362,50"</f>
        <v>114.362,50</v>
      </c>
      <c r="L3072" s="6" t="str">
        <f>"28.590,63"</f>
        <v>28.590,63</v>
      </c>
      <c r="M3072" s="6" t="str">
        <f>"142.953,13"</f>
        <v>142.953,13</v>
      </c>
      <c r="N3072" s="1" t="s">
        <v>117</v>
      </c>
      <c r="O3072" s="7"/>
      <c r="P3072" s="6" t="str">
        <f>""</f>
        <v/>
      </c>
      <c r="Q3072" s="7"/>
      <c r="R3072" s="1"/>
      <c r="S3072" s="1" t="str">
        <f>"N-111/18"</f>
        <v>N-111/18</v>
      </c>
      <c r="T3072" s="2" t="s">
        <v>29</v>
      </c>
    </row>
    <row r="3073" spans="1:20" ht="38.25" x14ac:dyDescent="0.25">
      <c r="A3073" s="1">
        <v>3069</v>
      </c>
      <c r="B3073" s="1" t="str">
        <f>"2018-1262"</f>
        <v>2018-1262</v>
      </c>
      <c r="C3073" s="2" t="s">
        <v>1798</v>
      </c>
      <c r="D3073" s="1" t="s">
        <v>119</v>
      </c>
      <c r="E3073" s="3" t="str">
        <f>"2018/S 0F2-0036521"</f>
        <v>2018/S 0F2-0036521</v>
      </c>
      <c r="F3073" s="2" t="s">
        <v>23</v>
      </c>
      <c r="G3073" s="2" t="str">
        <f>CONCATENATE("HIDRO GRAD D.O.O.,"," GUSTAVA KRKLECA,"," RAKITJE 6,"," 10437 BESTOVJE,"," OIB: 49528301725")</f>
        <v>HIDRO GRAD D.O.O., GUSTAVA KRKLECA, RAKITJE 6, 10437 BESTOVJE, OIB: 49528301725</v>
      </c>
      <c r="H3073" s="4"/>
      <c r="I3073" s="1" t="s">
        <v>332</v>
      </c>
      <c r="J3073" s="1" t="s">
        <v>1799</v>
      </c>
      <c r="K3073" s="6" t="str">
        <f>"330.000,00"</f>
        <v>330.000,00</v>
      </c>
      <c r="L3073" s="6" t="str">
        <f>"82.500,00"</f>
        <v>82.500,00</v>
      </c>
      <c r="M3073" s="6" t="str">
        <f>"412.500,00"</f>
        <v>412.500,00</v>
      </c>
      <c r="N3073" s="1" t="s">
        <v>117</v>
      </c>
      <c r="O3073" s="7"/>
      <c r="P3073" s="6" t="str">
        <f>""</f>
        <v/>
      </c>
      <c r="Q3073" s="7"/>
      <c r="R3073" s="1"/>
      <c r="S3073" s="1" t="str">
        <f>"N-112/18"</f>
        <v>N-112/18</v>
      </c>
      <c r="T3073" s="2" t="s">
        <v>29</v>
      </c>
    </row>
    <row r="3074" spans="1:20" ht="38.25" x14ac:dyDescent="0.25">
      <c r="A3074" s="1">
        <v>3070</v>
      </c>
      <c r="B3074" s="1" t="str">
        <f>"2018-3118"</f>
        <v>2018-3118</v>
      </c>
      <c r="C3074" s="2" t="s">
        <v>1800</v>
      </c>
      <c r="D3074" s="1" t="s">
        <v>922</v>
      </c>
      <c r="E3074" s="3" t="str">
        <f>"2018/S 0F2-0036404"</f>
        <v>2018/S 0F2-0036404</v>
      </c>
      <c r="F3074" s="2" t="s">
        <v>23</v>
      </c>
      <c r="G3074" s="2" t="str">
        <f>CONCATENATE("AMB GRADNJA D.O.O.,"," PRILAZ BARUNA FILIPOVIĆA 15,"," 10000 ZAGREB,"," OIB: 8527265147")</f>
        <v>AMB GRADNJA D.O.O., PRILAZ BARUNA FILIPOVIĆA 15, 10000 ZAGREB, OIB: 8527265147</v>
      </c>
      <c r="H3074" s="4"/>
      <c r="I3074" s="1" t="s">
        <v>332</v>
      </c>
      <c r="J3074" s="1" t="s">
        <v>1799</v>
      </c>
      <c r="K3074" s="6" t="str">
        <f>"1.089.405,71"</f>
        <v>1.089.405,71</v>
      </c>
      <c r="L3074" s="6" t="str">
        <f>"272.351,43"</f>
        <v>272.351,43</v>
      </c>
      <c r="M3074" s="6" t="str">
        <f>"1.361.757,14"</f>
        <v>1.361.757,14</v>
      </c>
      <c r="N3074" s="1" t="s">
        <v>117</v>
      </c>
      <c r="O3074" s="7"/>
      <c r="P3074" s="6" t="str">
        <f>""</f>
        <v/>
      </c>
      <c r="Q3074" s="7"/>
      <c r="R3074" s="1"/>
      <c r="S3074" s="1" t="str">
        <f>"N-113/18"</f>
        <v>N-113/18</v>
      </c>
      <c r="T3074" s="2" t="s">
        <v>29</v>
      </c>
    </row>
    <row r="3075" spans="1:20" ht="38.25" x14ac:dyDescent="0.25">
      <c r="A3075" s="1">
        <v>3071</v>
      </c>
      <c r="B3075" s="1" t="str">
        <f>"2018-1490"</f>
        <v>2018-1490</v>
      </c>
      <c r="C3075" s="2" t="s">
        <v>1801</v>
      </c>
      <c r="D3075" s="1" t="s">
        <v>1802</v>
      </c>
      <c r="E3075" s="3" t="str">
        <f>"2018/S 0F2-0035386"</f>
        <v>2018/S 0F2-0035386</v>
      </c>
      <c r="F3075" s="2" t="s">
        <v>23</v>
      </c>
      <c r="G3075" s="2" t="str">
        <f>CONCATENATE("POLJOOPSKRBA-TEHNO D.D.,"," SAMOBORSKA 96,"," 10000 ZAGREB,"," OIB: 5372167324")</f>
        <v>POLJOOPSKRBA-TEHNO D.D., SAMOBORSKA 96, 10000 ZAGREB, OIB: 5372167324</v>
      </c>
      <c r="H3075" s="4"/>
      <c r="I3075" s="1" t="s">
        <v>431</v>
      </c>
      <c r="J3075" s="1" t="s">
        <v>1803</v>
      </c>
      <c r="K3075" s="6" t="str">
        <f>"389.740,00"</f>
        <v>389.740,00</v>
      </c>
      <c r="L3075" s="6" t="str">
        <f>"97.435,00"</f>
        <v>97.435,00</v>
      </c>
      <c r="M3075" s="6" t="str">
        <f>"487.175,00"</f>
        <v>487.175,00</v>
      </c>
      <c r="N3075" s="5">
        <v>43602</v>
      </c>
      <c r="O3075" s="7"/>
      <c r="P3075" s="6" t="str">
        <f>"487.175,00"</f>
        <v>487.175,00</v>
      </c>
      <c r="Q3075" s="7"/>
      <c r="R3075" s="1"/>
      <c r="S3075" s="1" t="str">
        <f>"N-114/18"</f>
        <v>N-114/18</v>
      </c>
      <c r="T3075" s="2" t="s">
        <v>29</v>
      </c>
    </row>
    <row r="3076" spans="1:20" ht="38.25" x14ac:dyDescent="0.25">
      <c r="A3076" s="1">
        <v>3072</v>
      </c>
      <c r="B3076" s="1" t="str">
        <f>"2018-3047"</f>
        <v>2018-3047</v>
      </c>
      <c r="C3076" s="2" t="s">
        <v>1804</v>
      </c>
      <c r="D3076" s="1" t="s">
        <v>1534</v>
      </c>
      <c r="E3076" s="3" t="str">
        <f>"2019/S 0F2-0000099"</f>
        <v>2019/S 0F2-0000099</v>
      </c>
      <c r="F3076" s="2" t="s">
        <v>23</v>
      </c>
      <c r="G3076" s="2" t="str">
        <f>CONCATENATE("PARTNER ELEKTRIK GE D.O.O.,"," FRANA FOLNEGOVIĆA 10,"," 10000 ZAGREB,"," OIB: 2124600005")</f>
        <v>PARTNER ELEKTRIK GE D.O.O., FRANA FOLNEGOVIĆA 10, 10000 ZAGREB, OIB: 2124600005</v>
      </c>
      <c r="H3076" s="1" t="str">
        <f>CONCATENATE("COMBIS D.O.O.,"," OIB: 91678676896")</f>
        <v>COMBIS D.O.O., OIB: 91678676896</v>
      </c>
      <c r="I3076" s="1" t="s">
        <v>431</v>
      </c>
      <c r="J3076" s="1" t="s">
        <v>1803</v>
      </c>
      <c r="K3076" s="6" t="str">
        <f>"429.938,48"</f>
        <v>429.938,48</v>
      </c>
      <c r="L3076" s="6" t="str">
        <f>"107.484,62"</f>
        <v>107.484,62</v>
      </c>
      <c r="M3076" s="6" t="str">
        <f>"537.423,10"</f>
        <v>537.423,10</v>
      </c>
      <c r="N3076" s="1" t="s">
        <v>117</v>
      </c>
      <c r="O3076" s="7"/>
      <c r="P3076" s="6" t="str">
        <f>""</f>
        <v/>
      </c>
      <c r="Q3076" s="7"/>
      <c r="R3076" s="1"/>
      <c r="S3076" s="1" t="str">
        <f>"N-115/18"</f>
        <v>N-115/18</v>
      </c>
      <c r="T3076" s="2" t="s">
        <v>33</v>
      </c>
    </row>
    <row r="3077" spans="1:20" ht="114.75" x14ac:dyDescent="0.25">
      <c r="A3077" s="1">
        <v>3073</v>
      </c>
      <c r="B3077" s="1" t="str">
        <f>"2018-3111"</f>
        <v>2018-3111</v>
      </c>
      <c r="C3077" s="2" t="s">
        <v>1805</v>
      </c>
      <c r="D3077" s="1" t="s">
        <v>922</v>
      </c>
      <c r="E3077" s="3" t="str">
        <f>"2018/S 0F2-0035850"</f>
        <v>2018/S 0F2-0035850</v>
      </c>
      <c r="F3077" s="2" t="s">
        <v>23</v>
      </c>
      <c r="G3077" s="2" t="str">
        <f>CONCATENATE("BUBANJ - NISKOGRADNJA D.O.O.,"," KRUGE 7,"," 10000 ZAGREB,"," OIB: 29539944583")</f>
        <v>BUBANJ - NISKOGRADNJA D.O.O., KRUGE 7, 10000 ZAGREB, OIB: 29539944583</v>
      </c>
      <c r="H3077" s="1" t="str">
        <f>CONCATENATE("GEODIST D.O.O.,"," OIB: 70978671801",CHAR(10),"KINDER GRADNJA OBRT ZA USLUGE,"," VL. IVICA KINDER,"," OIB: 94563534427")</f>
        <v>GEODIST D.O.O., OIB: 70978671801
KINDER GRADNJA OBRT ZA USLUGE, VL. IVICA KINDER, OIB: 94563534427</v>
      </c>
      <c r="I3077" s="1" t="s">
        <v>321</v>
      </c>
      <c r="J3077" s="1" t="s">
        <v>918</v>
      </c>
      <c r="K3077" s="6" t="str">
        <f>"649.880,08"</f>
        <v>649.880,08</v>
      </c>
      <c r="L3077" s="6" t="str">
        <f>"162.470,02"</f>
        <v>162.470,02</v>
      </c>
      <c r="M3077" s="6" t="str">
        <f>"812.350,10"</f>
        <v>812.350,10</v>
      </c>
      <c r="N3077" s="1" t="s">
        <v>117</v>
      </c>
      <c r="O3077" s="7"/>
      <c r="P3077" s="6" t="str">
        <f>""</f>
        <v/>
      </c>
      <c r="Q3077" s="7"/>
      <c r="R3077" s="1"/>
      <c r="S3077" s="1" t="str">
        <f>"N-116/18"</f>
        <v>N-116/18</v>
      </c>
      <c r="T3077" s="2" t="s">
        <v>29</v>
      </c>
    </row>
    <row r="3078" spans="1:20" ht="38.25" x14ac:dyDescent="0.25">
      <c r="A3078" s="1">
        <v>3074</v>
      </c>
      <c r="B3078" s="1" t="str">
        <f>"2018-1515"</f>
        <v>2018-1515</v>
      </c>
      <c r="C3078" s="2" t="s">
        <v>1806</v>
      </c>
      <c r="D3078" s="1" t="s">
        <v>67</v>
      </c>
      <c r="E3078" s="3" t="str">
        <f>"2019/S 0F2-0002317"</f>
        <v>2019/S 0F2-0002317</v>
      </c>
      <c r="F3078" s="2" t="s">
        <v>23</v>
      </c>
      <c r="G3078" s="2" t="str">
        <f>CONCATENATE("PARDUS D.O.O.,"," OIB: 64956905359")</f>
        <v>PARDUS D.O.O., OIB: 64956905359</v>
      </c>
      <c r="H3078" s="4"/>
      <c r="I3078" s="1" t="s">
        <v>332</v>
      </c>
      <c r="J3078" s="1" t="s">
        <v>1799</v>
      </c>
      <c r="K3078" s="6" t="str">
        <f>"930.000,00"</f>
        <v>930.000,00</v>
      </c>
      <c r="L3078" s="6" t="str">
        <f>"232.500,00"</f>
        <v>232.500,00</v>
      </c>
      <c r="M3078" s="6" t="str">
        <f>"1.162.500,00"</f>
        <v>1.162.500,00</v>
      </c>
      <c r="N3078" s="1" t="s">
        <v>117</v>
      </c>
      <c r="O3078" s="7"/>
      <c r="P3078" s="6" t="str">
        <f>""</f>
        <v/>
      </c>
      <c r="Q3078" s="7"/>
      <c r="R3078" s="1"/>
      <c r="S3078" s="1" t="str">
        <f>"N-117/18"</f>
        <v>N-117/18</v>
      </c>
      <c r="T3078" s="2" t="s">
        <v>538</v>
      </c>
    </row>
    <row r="3079" spans="1:20" ht="38.25" x14ac:dyDescent="0.25">
      <c r="A3079" s="1">
        <v>3075</v>
      </c>
      <c r="B3079" s="1" t="str">
        <f>"2018-818"</f>
        <v>2018-818</v>
      </c>
      <c r="C3079" s="2" t="s">
        <v>1807</v>
      </c>
      <c r="D3079" s="1" t="s">
        <v>119</v>
      </c>
      <c r="E3079" s="3" t="str">
        <f>"2018/S 0F2-0029853"</f>
        <v>2018/S 0F2-0029853</v>
      </c>
      <c r="F3079" s="2" t="s">
        <v>23</v>
      </c>
      <c r="G3079" s="2" t="str">
        <f>CONCATENATE("BUBANJ - NISKOGRADNJA D.O.O.,"," KRUGE 7,"," 10000 ZAGREB,"," OIB: 29539944583")</f>
        <v>BUBANJ - NISKOGRADNJA D.O.O., KRUGE 7, 10000 ZAGREB, OIB: 29539944583</v>
      </c>
      <c r="H3079" s="1" t="str">
        <f>CONCATENATE("GEODIST D.O.O.,"," OIB: 709786718")</f>
        <v>GEODIST D.O.O., OIB: 709786718</v>
      </c>
      <c r="I3079" s="1" t="s">
        <v>332</v>
      </c>
      <c r="J3079" s="1" t="s">
        <v>1799</v>
      </c>
      <c r="K3079" s="6" t="str">
        <f>"582.372,40"</f>
        <v>582.372,40</v>
      </c>
      <c r="L3079" s="6" t="str">
        <f>"145.593,10"</f>
        <v>145.593,10</v>
      </c>
      <c r="M3079" s="6" t="str">
        <f>"727.965,50"</f>
        <v>727.965,50</v>
      </c>
      <c r="N3079" s="1" t="s">
        <v>117</v>
      </c>
      <c r="O3079" s="7"/>
      <c r="P3079" s="6" t="str">
        <f>""</f>
        <v/>
      </c>
      <c r="Q3079" s="7"/>
      <c r="R3079" s="1"/>
      <c r="S3079" s="1" t="str">
        <f>"N-118/18"</f>
        <v>N-118/18</v>
      </c>
      <c r="T3079" s="2" t="s">
        <v>29</v>
      </c>
    </row>
    <row r="3080" spans="1:20" ht="38.25" x14ac:dyDescent="0.25">
      <c r="A3080" s="1">
        <v>3076</v>
      </c>
      <c r="B3080" s="1" t="str">
        <f>"2018-2490"</f>
        <v>2018-2490</v>
      </c>
      <c r="C3080" s="2" t="s">
        <v>1808</v>
      </c>
      <c r="D3080" s="1" t="s">
        <v>119</v>
      </c>
      <c r="E3080" s="3" t="str">
        <f>"2018/S 0F2-0033475"</f>
        <v>2018/S 0F2-0033475</v>
      </c>
      <c r="F3080" s="2" t="s">
        <v>23</v>
      </c>
      <c r="G3080" s="2" t="str">
        <f>CONCATENATE("KOM-EKO D.O.O.,"," RADNIČKA CESTA 228,"," 10000 ZAGREB,"," OIB: 27859052647")</f>
        <v>KOM-EKO D.O.O., RADNIČKA CESTA 228, 10000 ZAGREB, OIB: 27859052647</v>
      </c>
      <c r="H3080" s="4"/>
      <c r="I3080" s="1" t="s">
        <v>590</v>
      </c>
      <c r="J3080" s="1" t="s">
        <v>1809</v>
      </c>
      <c r="K3080" s="6" t="str">
        <f>"435.214,25"</f>
        <v>435.214,25</v>
      </c>
      <c r="L3080" s="6" t="str">
        <f>"108.803,56"</f>
        <v>108.803,56</v>
      </c>
      <c r="M3080" s="6" t="str">
        <f>"544.017,81"</f>
        <v>544.017,81</v>
      </c>
      <c r="N3080" s="1" t="s">
        <v>117</v>
      </c>
      <c r="O3080" s="7"/>
      <c r="P3080" s="6" t="str">
        <f>""</f>
        <v/>
      </c>
      <c r="Q3080" s="7"/>
      <c r="R3080" s="1"/>
      <c r="S3080" s="1" t="str">
        <f>"N-119/18"</f>
        <v>N-119/18</v>
      </c>
      <c r="T3080" s="2" t="s">
        <v>29</v>
      </c>
    </row>
    <row r="3081" spans="1:20" ht="38.25" x14ac:dyDescent="0.25">
      <c r="A3081" s="1">
        <v>3077</v>
      </c>
      <c r="B3081" s="1" t="str">
        <f>"2018-1060"</f>
        <v>2018-1060</v>
      </c>
      <c r="C3081" s="2" t="s">
        <v>1810</v>
      </c>
      <c r="D3081" s="1" t="s">
        <v>119</v>
      </c>
      <c r="E3081" s="3" t="str">
        <f>"2018/S 0F2-0036610"</f>
        <v>2018/S 0F2-0036610</v>
      </c>
      <c r="F3081" s="2" t="s">
        <v>23</v>
      </c>
      <c r="G3081" s="2" t="str">
        <f>CONCATENATE("TIGRA D.O.O.,"," IVANIĆGRADSKA 22,"," 10000 ZAGREB,"," OIB: 2983006023")</f>
        <v>TIGRA D.O.O., IVANIĆGRADSKA 22, 10000 ZAGREB, OIB: 2983006023</v>
      </c>
      <c r="H3081" s="1" t="str">
        <f>CONCATENATE("DAGOR D.O.O.,"," OIB: 50966188893")</f>
        <v>DAGOR D.O.O., OIB: 50966188893</v>
      </c>
      <c r="I3081" s="1" t="s">
        <v>494</v>
      </c>
      <c r="J3081" s="1" t="s">
        <v>986</v>
      </c>
      <c r="K3081" s="6" t="str">
        <f>"2.452.625,28"</f>
        <v>2.452.625,28</v>
      </c>
      <c r="L3081" s="6" t="str">
        <f>"613.156,32"</f>
        <v>613.156,32</v>
      </c>
      <c r="M3081" s="6" t="str">
        <f>"3.065.781,60"</f>
        <v>3.065.781,60</v>
      </c>
      <c r="N3081" s="1" t="s">
        <v>117</v>
      </c>
      <c r="O3081" s="7"/>
      <c r="P3081" s="6" t="str">
        <f>""</f>
        <v/>
      </c>
      <c r="Q3081" s="7"/>
      <c r="R3081" s="1"/>
      <c r="S3081" s="1" t="str">
        <f>"N-120/18"</f>
        <v>N-120/18</v>
      </c>
      <c r="T3081" s="2" t="s">
        <v>29</v>
      </c>
    </row>
    <row r="3082" spans="1:20" ht="38.25" x14ac:dyDescent="0.25">
      <c r="A3082" s="1">
        <v>3078</v>
      </c>
      <c r="B3082" s="1" t="str">
        <f>"2018-766"</f>
        <v>2018-766</v>
      </c>
      <c r="C3082" s="2" t="s">
        <v>1811</v>
      </c>
      <c r="D3082" s="1" t="s">
        <v>119</v>
      </c>
      <c r="E3082" s="3" t="str">
        <f>"2018/S 0F2-0035940"</f>
        <v>2018/S 0F2-0035940</v>
      </c>
      <c r="F3082" s="2" t="s">
        <v>23</v>
      </c>
      <c r="G3082" s="2" t="str">
        <f>CONCATENATE("NEVING D.O.O.,"," PAVLA RADIĆA 3,"," 10000 ZAGREB,"," OIB: 70989676533")</f>
        <v>NEVING D.O.O., PAVLA RADIĆA 3, 10000 ZAGREB, OIB: 70989676533</v>
      </c>
      <c r="H3082" s="1" t="str">
        <f>CONCATENATE("GEO GRUPA D.O.O.,"," OIB: 56055678342")</f>
        <v>GEO GRUPA D.O.O., OIB: 56055678342</v>
      </c>
      <c r="I3082" s="1" t="s">
        <v>480</v>
      </c>
      <c r="J3082" s="1" t="s">
        <v>1812</v>
      </c>
      <c r="K3082" s="6" t="str">
        <f>"1.519.499,03"</f>
        <v>1.519.499,03</v>
      </c>
      <c r="L3082" s="6" t="str">
        <f>"379.874,76"</f>
        <v>379.874,76</v>
      </c>
      <c r="M3082" s="6" t="str">
        <f>"1.899.373,79"</f>
        <v>1.899.373,79</v>
      </c>
      <c r="N3082" s="1" t="s">
        <v>117</v>
      </c>
      <c r="O3082" s="7"/>
      <c r="P3082" s="6" t="str">
        <f>""</f>
        <v/>
      </c>
      <c r="Q3082" s="7"/>
      <c r="R3082" s="1"/>
      <c r="S3082" s="1" t="str">
        <f>"N-121/18"</f>
        <v>N-121/18</v>
      </c>
      <c r="T3082" s="2" t="s">
        <v>29</v>
      </c>
    </row>
    <row r="3083" spans="1:20" ht="38.25" x14ac:dyDescent="0.25">
      <c r="A3083" s="1">
        <v>3079</v>
      </c>
      <c r="B3083" s="1" t="str">
        <f>"2018-1453"</f>
        <v>2018-1453</v>
      </c>
      <c r="C3083" s="2" t="s">
        <v>1813</v>
      </c>
      <c r="D3083" s="1" t="s">
        <v>922</v>
      </c>
      <c r="E3083" s="3" t="str">
        <f>"2018/S 0F2-0032628"</f>
        <v>2018/S 0F2-0032628</v>
      </c>
      <c r="F3083" s="2" t="s">
        <v>23</v>
      </c>
      <c r="G3083" s="2" t="str">
        <f>CONCATENATE("GRADEX &amp; CO D.O.O.,"," PAVLOVEC ZABOČKI,"," PRILAZ DR. FRANJE TUĐMANA 4,"," 49210 ZABOK,"," OIB: 73369080939")</f>
        <v>GRADEX &amp; CO D.O.O., PAVLOVEC ZABOČKI, PRILAZ DR. FRANJE TUĐMANA 4, 49210 ZABOK, OIB: 73369080939</v>
      </c>
      <c r="H3083" s="4"/>
      <c r="I3083" s="1" t="s">
        <v>321</v>
      </c>
      <c r="J3083" s="1" t="s">
        <v>918</v>
      </c>
      <c r="K3083" s="6" t="str">
        <f>"17.363.927,90"</f>
        <v>17.363.927,90</v>
      </c>
      <c r="L3083" s="6" t="str">
        <f>"4.340.981,98"</f>
        <v>4.340.981,98</v>
      </c>
      <c r="M3083" s="6" t="str">
        <f>"21.704.909,88"</f>
        <v>21.704.909,88</v>
      </c>
      <c r="N3083" s="1" t="s">
        <v>117</v>
      </c>
      <c r="O3083" s="7"/>
      <c r="P3083" s="6" t="str">
        <f>""</f>
        <v/>
      </c>
      <c r="Q3083" s="7"/>
      <c r="R3083" s="1"/>
      <c r="S3083" s="1" t="str">
        <f>"N-122/18"</f>
        <v>N-122/18</v>
      </c>
      <c r="T3083" s="2" t="s">
        <v>29</v>
      </c>
    </row>
    <row r="3084" spans="1:20" ht="51" x14ac:dyDescent="0.25">
      <c r="A3084" s="1">
        <v>3080</v>
      </c>
      <c r="B3084" s="1" t="str">
        <f>"2018-1394"</f>
        <v>2018-1394</v>
      </c>
      <c r="C3084" s="2" t="s">
        <v>1814</v>
      </c>
      <c r="D3084" s="1" t="s">
        <v>1384</v>
      </c>
      <c r="E3084" s="3" t="str">
        <f>"2018/S 0F2-0036766"</f>
        <v>2018/S 0F2-0036766</v>
      </c>
      <c r="F3084" s="2" t="s">
        <v>23</v>
      </c>
      <c r="G3084" s="2" t="str">
        <f>CONCATENATE("PROMPT PROJEKTIRANJE D.O.O.,"," TOMISLAVOVA 9,"," 10000 ZAGREB,"," OIB: 30094396634")</f>
        <v>PROMPT PROJEKTIRANJE D.O.O., TOMISLAVOVA 9, 10000 ZAGREB, OIB: 30094396634</v>
      </c>
      <c r="H3084" s="1" t="str">
        <f>CONCATENATE("GEOWELT D.O.O.,"," OIB: 0781552963")</f>
        <v>GEOWELT D.O.O., OIB: 0781552963</v>
      </c>
      <c r="I3084" s="1" t="s">
        <v>321</v>
      </c>
      <c r="J3084" s="1" t="s">
        <v>918</v>
      </c>
      <c r="K3084" s="6" t="str">
        <f>"167.000,00"</f>
        <v>167.000,00</v>
      </c>
      <c r="L3084" s="6" t="str">
        <f>"41.750,00"</f>
        <v>41.750,00</v>
      </c>
      <c r="M3084" s="6" t="str">
        <f>"208.750,00"</f>
        <v>208.750,00</v>
      </c>
      <c r="N3084" s="1" t="s">
        <v>117</v>
      </c>
      <c r="O3084" s="7"/>
      <c r="P3084" s="6" t="str">
        <f>""</f>
        <v/>
      </c>
      <c r="Q3084" s="7"/>
      <c r="R3084" s="1"/>
      <c r="S3084" s="1" t="str">
        <f>"N-124/18"</f>
        <v>N-124/18</v>
      </c>
      <c r="T3084" s="2" t="s">
        <v>29</v>
      </c>
    </row>
    <row r="3085" spans="1:20" ht="38.25" x14ac:dyDescent="0.25">
      <c r="A3085" s="1">
        <v>3081</v>
      </c>
      <c r="B3085" s="1" t="str">
        <f>"2018-2740"</f>
        <v>2018-2740</v>
      </c>
      <c r="C3085" s="2" t="s">
        <v>1815</v>
      </c>
      <c r="D3085" s="1" t="s">
        <v>1384</v>
      </c>
      <c r="E3085" s="3" t="str">
        <f>"2018/S 0F2-0036306"</f>
        <v>2018/S 0F2-0036306</v>
      </c>
      <c r="F3085" s="2" t="s">
        <v>23</v>
      </c>
      <c r="G3085" s="2" t="str">
        <f>CONCATENATE("HIDROEKO D.O.O.,"," STARJAK 52,"," 10257 BREZOVICA,"," OIB: 34889829677")</f>
        <v>HIDROEKO D.O.O., STARJAK 52, 10257 BREZOVICA, OIB: 34889829677</v>
      </c>
      <c r="H3085" s="4"/>
      <c r="I3085" s="1" t="s">
        <v>551</v>
      </c>
      <c r="J3085" s="1" t="s">
        <v>1816</v>
      </c>
      <c r="K3085" s="6" t="str">
        <f>"117.500,00"</f>
        <v>117.500,00</v>
      </c>
      <c r="L3085" s="6" t="str">
        <f>"29.375,00"</f>
        <v>29.375,00</v>
      </c>
      <c r="M3085" s="6" t="str">
        <f>"146.875,00"</f>
        <v>146.875,00</v>
      </c>
      <c r="N3085" s="1" t="s">
        <v>117</v>
      </c>
      <c r="O3085" s="7"/>
      <c r="P3085" s="6" t="str">
        <f>""</f>
        <v/>
      </c>
      <c r="Q3085" s="7"/>
      <c r="R3085" s="1"/>
      <c r="S3085" s="1" t="str">
        <f>"N-125/18"</f>
        <v>N-125/18</v>
      </c>
      <c r="T3085" s="2" t="s">
        <v>29</v>
      </c>
    </row>
    <row r="3086" spans="1:20" ht="76.5" x14ac:dyDescent="0.25">
      <c r="A3086" s="1">
        <v>3082</v>
      </c>
      <c r="B3086" s="1" t="str">
        <f>"2018-1723"</f>
        <v>2018-1723</v>
      </c>
      <c r="C3086" s="2" t="s">
        <v>1817</v>
      </c>
      <c r="D3086" s="1" t="s">
        <v>1384</v>
      </c>
      <c r="E3086" s="3" t="str">
        <f>"2018/S 0F2-0024164"</f>
        <v>2018/S 0F2-0024164</v>
      </c>
      <c r="F3086" s="2" t="s">
        <v>23</v>
      </c>
      <c r="G3086" s="2" t="str">
        <f>CONCATENATE("DIPPOLD &amp; GEROLD-HIDROPROJEKT 91 D.O.O.,"," DESPRIMSKA 8,"," 10257 BREZOVICA,"," OIB: 89365215003")</f>
        <v>DIPPOLD &amp; GEROLD-HIDROPROJEKT 91 D.O.O., DESPRIMSKA 8, 10257 BREZOVICA, OIB: 89365215003</v>
      </c>
      <c r="H3086" s="1" t="str">
        <f>CONCATENATE("GEOM D.O.O.,"," OIB: 09241925730",CHAR(10),"FLAMIT D.O.O.,"," OIB: 84050612509")</f>
        <v>GEOM D.O.O., OIB: 09241925730
FLAMIT D.O.O., OIB: 84050612509</v>
      </c>
      <c r="I3086" s="1" t="s">
        <v>551</v>
      </c>
      <c r="J3086" s="1" t="s">
        <v>1816</v>
      </c>
      <c r="K3086" s="6" t="str">
        <f>"178.500,00"</f>
        <v>178.500,00</v>
      </c>
      <c r="L3086" s="6" t="str">
        <f>"44.625,00"</f>
        <v>44.625,00</v>
      </c>
      <c r="M3086" s="6" t="str">
        <f>"223.125,00"</f>
        <v>223.125,00</v>
      </c>
      <c r="N3086" s="1" t="s">
        <v>117</v>
      </c>
      <c r="O3086" s="7"/>
      <c r="P3086" s="6" t="str">
        <f>""</f>
        <v/>
      </c>
      <c r="Q3086" s="7"/>
      <c r="R3086" s="1"/>
      <c r="S3086" s="1" t="str">
        <f>"N-126/18"</f>
        <v>N-126/18</v>
      </c>
      <c r="T3086" s="2" t="s">
        <v>29</v>
      </c>
    </row>
    <row r="3087" spans="1:20" ht="38.25" x14ac:dyDescent="0.25">
      <c r="A3087" s="1">
        <v>3083</v>
      </c>
      <c r="B3087" s="1" t="str">
        <f>"2018-2915"</f>
        <v>2018-2915</v>
      </c>
      <c r="C3087" s="2" t="s">
        <v>1818</v>
      </c>
      <c r="D3087" s="1" t="s">
        <v>1819</v>
      </c>
      <c r="E3087" s="3" t="str">
        <f>"2018/S 0F2-0035241"</f>
        <v>2018/S 0F2-0035241</v>
      </c>
      <c r="F3087" s="2" t="s">
        <v>23</v>
      </c>
      <c r="G3087" s="2" t="str">
        <f>CONCATENATE("INSIG2 D.O.O.,"," BUZINSKA CESTA 58,"," 10000 ZAGREB,"," OIB: 33116950552")</f>
        <v>INSIG2 D.O.O., BUZINSKA CESTA 58, 10000 ZAGREB, OIB: 33116950552</v>
      </c>
      <c r="H3087" s="4"/>
      <c r="I3087" s="1" t="s">
        <v>551</v>
      </c>
      <c r="J3087" s="1" t="s">
        <v>1820</v>
      </c>
      <c r="K3087" s="6" t="str">
        <f>"2.457.150,00"</f>
        <v>2.457.150,00</v>
      </c>
      <c r="L3087" s="6" t="str">
        <f>"614.287,50"</f>
        <v>614.287,50</v>
      </c>
      <c r="M3087" s="6" t="str">
        <f>"3.071.437,50"</f>
        <v>3.071.437,50</v>
      </c>
      <c r="N3087" s="5">
        <v>43697</v>
      </c>
      <c r="O3087" s="7"/>
      <c r="P3087" s="6" t="str">
        <f>"300.150,00"</f>
        <v>300.150,00</v>
      </c>
      <c r="Q3087" s="7"/>
      <c r="R3087" s="1"/>
      <c r="S3087" s="1" t="str">
        <f>"N-127/18"</f>
        <v>N-127/18</v>
      </c>
      <c r="T3087" s="2" t="s">
        <v>33</v>
      </c>
    </row>
    <row r="3088" spans="1:20" ht="38.25" x14ac:dyDescent="0.25">
      <c r="A3088" s="1">
        <v>3084</v>
      </c>
      <c r="B3088" s="1" t="str">
        <f>"2018-1179"</f>
        <v>2018-1179</v>
      </c>
      <c r="C3088" s="2" t="s">
        <v>1821</v>
      </c>
      <c r="D3088" s="1" t="s">
        <v>119</v>
      </c>
      <c r="E3088" s="3" t="str">
        <f>"2019/S 0F2-0001913"</f>
        <v>2019/S 0F2-0001913</v>
      </c>
      <c r="F3088" s="2" t="s">
        <v>23</v>
      </c>
      <c r="G3088" s="2" t="str">
        <f>CONCATENATE("VODOTEHNIKA D.D.,"," KOTURAŠKA CESTA 49,"," 10000 ZAGREB,"," OIB: 1763143132")</f>
        <v>VODOTEHNIKA D.D., KOTURAŠKA CESTA 49, 10000 ZAGREB, OIB: 1763143132</v>
      </c>
      <c r="H3088" s="4"/>
      <c r="I3088" s="1" t="s">
        <v>590</v>
      </c>
      <c r="J3088" s="1" t="s">
        <v>1822</v>
      </c>
      <c r="K3088" s="6" t="str">
        <f>"1.149.467,25"</f>
        <v>1.149.467,25</v>
      </c>
      <c r="L3088" s="6" t="str">
        <f>"287.366,81"</f>
        <v>287.366,81</v>
      </c>
      <c r="M3088" s="6" t="str">
        <f>"1.436.834,06"</f>
        <v>1.436.834,06</v>
      </c>
      <c r="N3088" s="1" t="s">
        <v>117</v>
      </c>
      <c r="O3088" s="7"/>
      <c r="P3088" s="6" t="str">
        <f>""</f>
        <v/>
      </c>
      <c r="Q3088" s="7"/>
      <c r="R3088" s="1"/>
      <c r="S3088" s="1" t="str">
        <f>"N-128/18"</f>
        <v>N-128/18</v>
      </c>
      <c r="T3088" s="2" t="s">
        <v>29</v>
      </c>
    </row>
    <row r="3089" spans="1:20" ht="38.25" x14ac:dyDescent="0.25">
      <c r="A3089" s="1">
        <v>3085</v>
      </c>
      <c r="B3089" s="1" t="str">
        <f>"2018-242"</f>
        <v>2018-242</v>
      </c>
      <c r="C3089" s="2" t="s">
        <v>1823</v>
      </c>
      <c r="D3089" s="1" t="s">
        <v>152</v>
      </c>
      <c r="E3089" s="3" t="str">
        <f>"2019/S 0F2-0001512"</f>
        <v>2019/S 0F2-0001512</v>
      </c>
      <c r="F3089" s="2" t="s">
        <v>23</v>
      </c>
      <c r="G3089" s="2" t="str">
        <f>CONCATENATE("ENDRESS + HAUSER D.O.O.,"," JARUŠČICA 23,"," 10000 ZAGREB,"," OIB: 7265450036")</f>
        <v>ENDRESS + HAUSER D.O.O., JARUŠČICA 23, 10000 ZAGREB, OIB: 7265450036</v>
      </c>
      <c r="H3089" s="4"/>
      <c r="I3089" s="1" t="s">
        <v>25</v>
      </c>
      <c r="J3089" s="1" t="s">
        <v>1178</v>
      </c>
      <c r="K3089" s="6" t="str">
        <f>"729.992,77"</f>
        <v>729.992,77</v>
      </c>
      <c r="L3089" s="6" t="str">
        <f>"182.498,19"</f>
        <v>182.498,19</v>
      </c>
      <c r="M3089" s="6" t="str">
        <f>"912.490,96"</f>
        <v>912.490,96</v>
      </c>
      <c r="N3089" s="1" t="s">
        <v>117</v>
      </c>
      <c r="O3089" s="7"/>
      <c r="P3089" s="6" t="str">
        <f>""</f>
        <v/>
      </c>
      <c r="Q3089" s="7"/>
      <c r="R3089" s="1"/>
      <c r="S3089" s="1" t="str">
        <f>"N-129/18"</f>
        <v>N-129/18</v>
      </c>
      <c r="T3089" s="2" t="s">
        <v>29</v>
      </c>
    </row>
    <row r="3090" spans="1:20" ht="38.25" x14ac:dyDescent="0.25">
      <c r="A3090" s="1">
        <v>3086</v>
      </c>
      <c r="B3090" s="1" t="str">
        <f>"2018-140"</f>
        <v>2018-140</v>
      </c>
      <c r="C3090" s="2" t="s">
        <v>1824</v>
      </c>
      <c r="D3090" s="1" t="s">
        <v>1175</v>
      </c>
      <c r="E3090" s="3" t="str">
        <f>"2019/S 0F2-0002475"</f>
        <v>2019/S 0F2-0002475</v>
      </c>
      <c r="F3090" s="2" t="s">
        <v>23</v>
      </c>
      <c r="G3090" s="2" t="str">
        <f>CONCATENATE("SEDAM IT D.O.O.,"," KOLEDOVČINA 2,"," 10000 ZAGREB,"," OIB: 95661305069")</f>
        <v>SEDAM IT D.O.O., KOLEDOVČINA 2, 10000 ZAGREB, OIB: 95661305069</v>
      </c>
      <c r="H3090" s="4"/>
      <c r="I3090" s="1" t="s">
        <v>475</v>
      </c>
      <c r="J3090" s="1" t="s">
        <v>1825</v>
      </c>
      <c r="K3090" s="6" t="str">
        <f>"3.000.000,00"</f>
        <v>3.000.000,00</v>
      </c>
      <c r="L3090" s="6" t="str">
        <f>"750.000,00"</f>
        <v>750.000,00</v>
      </c>
      <c r="M3090" s="6" t="str">
        <f>"3.750.000,00"</f>
        <v>3.750.000,00</v>
      </c>
      <c r="N3090" s="1" t="s">
        <v>117</v>
      </c>
      <c r="O3090" s="7"/>
      <c r="P3090" s="6" t="str">
        <f>""</f>
        <v/>
      </c>
      <c r="Q3090" s="7"/>
      <c r="R3090" s="1"/>
      <c r="S3090" s="1" t="str">
        <f>"N-130/18"</f>
        <v>N-130/18</v>
      </c>
      <c r="T3090" s="2" t="s">
        <v>33</v>
      </c>
    </row>
    <row r="3091" spans="1:20" ht="51" x14ac:dyDescent="0.25">
      <c r="A3091" s="1">
        <v>3087</v>
      </c>
      <c r="B3091" s="1" t="str">
        <f>"2018-2072"</f>
        <v>2018-2072</v>
      </c>
      <c r="C3091" s="2" t="s">
        <v>1826</v>
      </c>
      <c r="D3091" s="1" t="s">
        <v>1266</v>
      </c>
      <c r="E3091" s="3" t="str">
        <f>"2018/S 0F2-0033751"</f>
        <v>2018/S 0F2-0033751</v>
      </c>
      <c r="F3091" s="2" t="s">
        <v>23</v>
      </c>
      <c r="G3091" s="2" t="str">
        <f>CONCATENATE("SPECIJALNA OPREMA - LUČKO D.O.O.,"," DONJI STUPNIK,"," DOLENICA 20,"," 10250 LUČKO,"," OIB: 3557766515")</f>
        <v>SPECIJALNA OPREMA - LUČKO D.O.O., DONJI STUPNIK, DOLENICA 20, 10250 LUČKO, OIB: 3557766515</v>
      </c>
      <c r="H3091" s="4"/>
      <c r="I3091" s="1" t="s">
        <v>475</v>
      </c>
      <c r="J3091" s="1" t="s">
        <v>1825</v>
      </c>
      <c r="K3091" s="6" t="str">
        <f>"598.882,00"</f>
        <v>598.882,00</v>
      </c>
      <c r="L3091" s="6" t="str">
        <f>"149.720,50"</f>
        <v>149.720,50</v>
      </c>
      <c r="M3091" s="6" t="str">
        <f>"748.602,50"</f>
        <v>748.602,50</v>
      </c>
      <c r="N3091" s="1" t="s">
        <v>117</v>
      </c>
      <c r="O3091" s="7"/>
      <c r="P3091" s="6" t="str">
        <f>""</f>
        <v/>
      </c>
      <c r="Q3091" s="7"/>
      <c r="R3091" s="1"/>
      <c r="S3091" s="1" t="str">
        <f>"N-131/18"</f>
        <v>N-131/18</v>
      </c>
      <c r="T3091" s="2" t="s">
        <v>538</v>
      </c>
    </row>
    <row r="3092" spans="1:20" ht="38.25" x14ac:dyDescent="0.25">
      <c r="A3092" s="1">
        <v>3088</v>
      </c>
      <c r="B3092" s="1" t="str">
        <f>"2018-2070"</f>
        <v>2018-2070</v>
      </c>
      <c r="C3092" s="2" t="s">
        <v>1827</v>
      </c>
      <c r="D3092" s="1" t="s">
        <v>119</v>
      </c>
      <c r="E3092" s="3" t="str">
        <f>"2018/S 0F2-0036532"</f>
        <v>2018/S 0F2-0036532</v>
      </c>
      <c r="F3092" s="2" t="s">
        <v>23</v>
      </c>
      <c r="G3092" s="2" t="str">
        <f>CONCATENATE("TIGRA D.O.O.,"," IVANIĆGRADSKA 22,"," 10000 ZAGREB,"," OIB: 2983006023")</f>
        <v>TIGRA D.O.O., IVANIĆGRADSKA 22, 10000 ZAGREB, OIB: 2983006023</v>
      </c>
      <c r="H3092" s="1" t="str">
        <f>CONCATENATE("DAGOR D.O.O.,"," OIB: 50966188893")</f>
        <v>DAGOR D.O.O., OIB: 50966188893</v>
      </c>
      <c r="I3092" s="1" t="s">
        <v>455</v>
      </c>
      <c r="J3092" s="1" t="s">
        <v>1828</v>
      </c>
      <c r="K3092" s="6" t="str">
        <f>"1.853.388,00"</f>
        <v>1.853.388,00</v>
      </c>
      <c r="L3092" s="6" t="str">
        <f>"463.347,00"</f>
        <v>463.347,00</v>
      </c>
      <c r="M3092" s="6" t="str">
        <f>"2.316.735,00"</f>
        <v>2.316.735,00</v>
      </c>
      <c r="N3092" s="1" t="s">
        <v>117</v>
      </c>
      <c r="O3092" s="7"/>
      <c r="P3092" s="6" t="str">
        <f>""</f>
        <v/>
      </c>
      <c r="Q3092" s="7"/>
      <c r="R3092" s="1"/>
      <c r="S3092" s="1" t="str">
        <f>"N-132/18"</f>
        <v>N-132/18</v>
      </c>
      <c r="T3092" s="2" t="s">
        <v>29</v>
      </c>
    </row>
    <row r="3093" spans="1:20" ht="38.25" x14ac:dyDescent="0.25">
      <c r="A3093" s="1">
        <v>3089</v>
      </c>
      <c r="B3093" s="1" t="str">
        <f>"2018-536"</f>
        <v>2018-536</v>
      </c>
      <c r="C3093" s="2" t="s">
        <v>1829</v>
      </c>
      <c r="D3093" s="1" t="s">
        <v>152</v>
      </c>
      <c r="E3093" s="3" t="str">
        <f>"2019/S 0F2-0005231"</f>
        <v>2019/S 0F2-0005231</v>
      </c>
      <c r="F3093" s="2" t="s">
        <v>23</v>
      </c>
      <c r="G3093" s="2" t="str">
        <f>CONCATENATE("IKOM D.O.O.,"," KOVINSKA 7,"," 10090 ZAGREB-SUSEDGRAD,"," OIB: 86247075815")</f>
        <v>IKOM D.O.O., KOVINSKA 7, 10090 ZAGREB-SUSEDGRAD, OIB: 86247075815</v>
      </c>
      <c r="H3093" s="4"/>
      <c r="I3093" s="1" t="s">
        <v>499</v>
      </c>
      <c r="J3093" s="1" t="s">
        <v>1830</v>
      </c>
      <c r="K3093" s="6" t="str">
        <f>"1.497.000,00"</f>
        <v>1.497.000,00</v>
      </c>
      <c r="L3093" s="6" t="str">
        <f>"374.250,00"</f>
        <v>374.250,00</v>
      </c>
      <c r="M3093" s="6" t="str">
        <f>"1.871.250,00"</f>
        <v>1.871.250,00</v>
      </c>
      <c r="N3093" s="1" t="s">
        <v>117</v>
      </c>
      <c r="O3093" s="7"/>
      <c r="P3093" s="6" t="str">
        <f>""</f>
        <v/>
      </c>
      <c r="Q3093" s="7"/>
      <c r="R3093" s="1"/>
      <c r="S3093" s="1" t="str">
        <f>"N-133/18"</f>
        <v>N-133/18</v>
      </c>
      <c r="T3093" s="2" t="s">
        <v>538</v>
      </c>
    </row>
    <row r="3094" spans="1:20" ht="76.5" x14ac:dyDescent="0.25">
      <c r="A3094" s="1">
        <v>3090</v>
      </c>
      <c r="B3094" s="1" t="str">
        <f>"2018-1975"</f>
        <v>2018-1975</v>
      </c>
      <c r="C3094" s="2" t="s">
        <v>1831</v>
      </c>
      <c r="D3094" s="1" t="s">
        <v>1384</v>
      </c>
      <c r="E3094" s="3" t="str">
        <f>"2018/S 0F2-0030546"</f>
        <v>2018/S 0F2-0030546</v>
      </c>
      <c r="F3094" s="2" t="s">
        <v>23</v>
      </c>
      <c r="G3094" s="2" t="str">
        <f>CONCATENATE("HIDROING D.O.O.,"," TADIJE SMIČIKLASA 1,"," 31000 OSIJEK,"," OIB: 08428329477")</f>
        <v>HIDROING D.O.O., TADIJE SMIČIKLASA 1, 31000 OSIJEK, OIB: 08428329477</v>
      </c>
      <c r="H3094" s="4"/>
      <c r="I3094" s="1" t="s">
        <v>642</v>
      </c>
      <c r="J3094" s="1" t="s">
        <v>1832</v>
      </c>
      <c r="K3094" s="6" t="str">
        <f>"4.300.000,00"</f>
        <v>4.300.000,00</v>
      </c>
      <c r="L3094" s="6" t="str">
        <f>"1.075.000,00"</f>
        <v>1.075.000,00</v>
      </c>
      <c r="M3094" s="6" t="str">
        <f>"5.375.000,00"</f>
        <v>5.375.000,00</v>
      </c>
      <c r="N3094" s="1" t="s">
        <v>117</v>
      </c>
      <c r="O3094" s="7"/>
      <c r="P3094" s="6" t="str">
        <f>""</f>
        <v/>
      </c>
      <c r="Q3094" s="7"/>
      <c r="R3094" s="1"/>
      <c r="S3094" s="1" t="str">
        <f>"N-134/18"</f>
        <v>N-134/18</v>
      </c>
      <c r="T3094" s="2" t="s">
        <v>29</v>
      </c>
    </row>
    <row r="3095" spans="1:20" ht="38.25" x14ac:dyDescent="0.25">
      <c r="A3095" s="1">
        <v>3091</v>
      </c>
      <c r="B3095" s="1" t="str">
        <f>"2018-3119"</f>
        <v>2018-3119</v>
      </c>
      <c r="C3095" s="2" t="s">
        <v>1833</v>
      </c>
      <c r="D3095" s="1" t="s">
        <v>922</v>
      </c>
      <c r="E3095" s="3" t="str">
        <f>"2018/S 0F2-0033949"</f>
        <v>2018/S 0F2-0033949</v>
      </c>
      <c r="F3095" s="2" t="s">
        <v>23</v>
      </c>
      <c r="G3095" s="2" t="str">
        <f>CONCATENATE("KINDER GRADNJA OBRT ZA USLUGE,"," VL. IVICA KINDER,"," SELSKA 57,"," 10360 SESVETE,"," OIB: 94563534427")</f>
        <v>KINDER GRADNJA OBRT ZA USLUGE, VL. IVICA KINDER, SELSKA 57, 10360 SESVETE, OIB: 94563534427</v>
      </c>
      <c r="H3095" s="1" t="str">
        <f>CONCATENATE("GEOFORMAT D.O.O.,"," OIB: 11342631919")</f>
        <v>GEOFORMAT D.O.O., OIB: 11342631919</v>
      </c>
      <c r="I3095" s="1" t="s">
        <v>597</v>
      </c>
      <c r="J3095" s="1" t="s">
        <v>1834</v>
      </c>
      <c r="K3095" s="6" t="str">
        <f>"559.654,85"</f>
        <v>559.654,85</v>
      </c>
      <c r="L3095" s="6" t="str">
        <f>"139.913,71"</f>
        <v>139.913,71</v>
      </c>
      <c r="M3095" s="6" t="str">
        <f>"699.568,56"</f>
        <v>699.568,56</v>
      </c>
      <c r="N3095" s="1" t="s">
        <v>117</v>
      </c>
      <c r="O3095" s="7"/>
      <c r="P3095" s="6" t="str">
        <f>""</f>
        <v/>
      </c>
      <c r="Q3095" s="7"/>
      <c r="R3095" s="1"/>
      <c r="S3095" s="1" t="str">
        <f>"N-135/18"</f>
        <v>N-135/18</v>
      </c>
      <c r="T3095" s="2" t="s">
        <v>29</v>
      </c>
    </row>
    <row r="3096" spans="1:20" ht="51" x14ac:dyDescent="0.25">
      <c r="A3096" s="1">
        <v>3092</v>
      </c>
      <c r="B3096" s="1" t="str">
        <f>"2018-1251"</f>
        <v>2018-1251</v>
      </c>
      <c r="C3096" s="2" t="s">
        <v>1835</v>
      </c>
      <c r="D3096" s="1" t="s">
        <v>1534</v>
      </c>
      <c r="E3096" s="3" t="str">
        <f>"2019/S 0F2-0002832"</f>
        <v>2019/S 0F2-0002832</v>
      </c>
      <c r="F3096" s="2" t="s">
        <v>23</v>
      </c>
      <c r="G3096" s="2" t="str">
        <f>CONCATENATE("CONTROLMATIK D.O.O.,"," PRIMORSKA 1,"," 42000 VARAŽDIN,"," OIB: 25020037517")</f>
        <v>CONTROLMATIK D.O.O., PRIMORSKA 1, 42000 VARAŽDIN, OIB: 25020037517</v>
      </c>
      <c r="H3096" s="4"/>
      <c r="I3096" s="1" t="s">
        <v>424</v>
      </c>
      <c r="J3096" s="1" t="s">
        <v>1836</v>
      </c>
      <c r="K3096" s="6" t="str">
        <f>"796.650,00"</f>
        <v>796.650,00</v>
      </c>
      <c r="L3096" s="6" t="str">
        <f>"199.162,50"</f>
        <v>199.162,50</v>
      </c>
      <c r="M3096" s="6" t="str">
        <f>"995.812,50"</f>
        <v>995.812,50</v>
      </c>
      <c r="N3096" s="1" t="s">
        <v>117</v>
      </c>
      <c r="O3096" s="7"/>
      <c r="P3096" s="6" t="str">
        <f>""</f>
        <v/>
      </c>
      <c r="Q3096" s="7"/>
      <c r="R3096" s="1"/>
      <c r="S3096" s="1" t="str">
        <f>"N-136/18"</f>
        <v>N-136/18</v>
      </c>
      <c r="T3096" s="2" t="s">
        <v>29</v>
      </c>
    </row>
    <row r="3097" spans="1:20" ht="51" x14ac:dyDescent="0.25">
      <c r="A3097" s="1">
        <v>3093</v>
      </c>
      <c r="B3097" s="1" t="str">
        <f>"2018-2357"</f>
        <v>2018-2357</v>
      </c>
      <c r="C3097" s="2" t="s">
        <v>1837</v>
      </c>
      <c r="D3097" s="1" t="s">
        <v>119</v>
      </c>
      <c r="E3097" s="3" t="str">
        <f>"2018/S 0F2-0036773"</f>
        <v>2018/S 0F2-0036773</v>
      </c>
      <c r="F3097" s="2" t="s">
        <v>23</v>
      </c>
      <c r="G3097" s="2" t="str">
        <f>CONCATENATE("IZGRADNJA FUTURA D.O.O.,"," LEDINSKA ULICA 35,"," 10255 DONJI STUPNIK,"," OIB: 14482540987")</f>
        <v>IZGRADNJA FUTURA D.O.O., LEDINSKA ULICA 35, 10255 DONJI STUPNIK, OIB: 14482540987</v>
      </c>
      <c r="H3097" s="4"/>
      <c r="I3097" s="1" t="s">
        <v>642</v>
      </c>
      <c r="J3097" s="1" t="s">
        <v>1838</v>
      </c>
      <c r="K3097" s="6" t="str">
        <f>"10.696.897,90"</f>
        <v>10.696.897,90</v>
      </c>
      <c r="L3097" s="6" t="str">
        <f>"2.674.224,48"</f>
        <v>2.674.224,48</v>
      </c>
      <c r="M3097" s="6" t="str">
        <f>"13.371.122,38"</f>
        <v>13.371.122,38</v>
      </c>
      <c r="N3097" s="1" t="s">
        <v>117</v>
      </c>
      <c r="O3097" s="7"/>
      <c r="P3097" s="6" t="str">
        <f>""</f>
        <v/>
      </c>
      <c r="Q3097" s="7"/>
      <c r="R3097" s="1"/>
      <c r="S3097" s="1" t="str">
        <f>"N-137/18"</f>
        <v>N-137/18</v>
      </c>
      <c r="T3097" s="2" t="s">
        <v>29</v>
      </c>
    </row>
    <row r="3098" spans="1:20" ht="38.25" x14ac:dyDescent="0.25">
      <c r="A3098" s="1">
        <v>3094</v>
      </c>
      <c r="B3098" s="1" t="str">
        <f>"2018-2919"</f>
        <v>2018-2919</v>
      </c>
      <c r="C3098" s="2" t="s">
        <v>1839</v>
      </c>
      <c r="D3098" s="1" t="s">
        <v>1840</v>
      </c>
      <c r="E3098" s="3" t="str">
        <f>"2019/S 0F2-0000365"</f>
        <v>2019/S 0F2-0000365</v>
      </c>
      <c r="F3098" s="2" t="s">
        <v>23</v>
      </c>
      <c r="G3098" s="2" t="str">
        <f>CONCATENATE("KING ICT D.O.O.,"," BUZINSKI PRILAZ 10,"," 10010 ZAGREB,"," OIB: 67001695549")</f>
        <v>KING ICT D.O.O., BUZINSKI PRILAZ 10, 10010 ZAGREB, OIB: 67001695549</v>
      </c>
      <c r="H3098" s="4"/>
      <c r="I3098" s="1" t="s">
        <v>639</v>
      </c>
      <c r="J3098" s="1" t="s">
        <v>1314</v>
      </c>
      <c r="K3098" s="6" t="str">
        <f>"8.492.830,00"</f>
        <v>8.492.830,00</v>
      </c>
      <c r="L3098" s="6" t="str">
        <f>"2.123.207,50"</f>
        <v>2.123.207,50</v>
      </c>
      <c r="M3098" s="6" t="str">
        <f>"10.616.037,50"</f>
        <v>10.616.037,50</v>
      </c>
      <c r="N3098" s="1" t="s">
        <v>117</v>
      </c>
      <c r="O3098" s="7"/>
      <c r="P3098" s="6" t="str">
        <f>""</f>
        <v/>
      </c>
      <c r="Q3098" s="7"/>
      <c r="R3098" s="1"/>
      <c r="S3098" s="1" t="str">
        <f>"N-138/18"</f>
        <v>N-138/18</v>
      </c>
      <c r="T3098" s="2" t="s">
        <v>33</v>
      </c>
    </row>
    <row r="3099" spans="1:20" ht="63.75" x14ac:dyDescent="0.25">
      <c r="A3099" s="1">
        <v>3095</v>
      </c>
      <c r="B3099" s="1" t="str">
        <f>"2018-764"</f>
        <v>2018-764</v>
      </c>
      <c r="C3099" s="2" t="s">
        <v>1841</v>
      </c>
      <c r="D3099" s="1" t="s">
        <v>1384</v>
      </c>
      <c r="E3099" s="3" t="str">
        <f>"2018/S F14-0034060"</f>
        <v>2018/S F14-0034060</v>
      </c>
      <c r="F3099" s="2" t="s">
        <v>23</v>
      </c>
      <c r="G3099" s="2" t="str">
        <f>CONCATENATE("HIDRO-EXPERT D.O O.,"," BUJSKA 5,"," 51000 RIJEKA,"," OIB: 44628351795")</f>
        <v>HIDRO-EXPERT D.O O., BUJSKA 5, 51000 RIJEKA, OIB: 44628351795</v>
      </c>
      <c r="H3099" s="4"/>
      <c r="I3099" s="1" t="s">
        <v>424</v>
      </c>
      <c r="J3099" s="1" t="s">
        <v>1842</v>
      </c>
      <c r="K3099" s="6" t="str">
        <f>"397.000,00"</f>
        <v>397.000,00</v>
      </c>
      <c r="L3099" s="6" t="str">
        <f>"99.250,00"</f>
        <v>99.250,00</v>
      </c>
      <c r="M3099" s="6" t="str">
        <f>"496.250,00"</f>
        <v>496.250,00</v>
      </c>
      <c r="N3099" s="1" t="s">
        <v>117</v>
      </c>
      <c r="O3099" s="7"/>
      <c r="P3099" s="6" t="str">
        <f>""</f>
        <v/>
      </c>
      <c r="Q3099" s="7"/>
      <c r="R3099" s="1"/>
      <c r="S3099" s="1" t="str">
        <f>"N-139/18"</f>
        <v>N-139/18</v>
      </c>
      <c r="T3099" s="2" t="s">
        <v>29</v>
      </c>
    </row>
    <row r="3100" spans="1:20" ht="63.75" x14ac:dyDescent="0.25">
      <c r="A3100" s="1">
        <v>3096</v>
      </c>
      <c r="B3100" s="1" t="str">
        <f>"2018-2476"</f>
        <v>2018-2476</v>
      </c>
      <c r="C3100" s="2" t="s">
        <v>1843</v>
      </c>
      <c r="D3100" s="1" t="s">
        <v>1325</v>
      </c>
      <c r="E3100" s="3" t="str">
        <f>"2019/S 0F2-0004068"</f>
        <v>2019/S 0F2-0004068</v>
      </c>
      <c r="F3100" s="2" t="s">
        <v>23</v>
      </c>
      <c r="G3100" s="2" t="str">
        <f>CONCATENATE("SEDRA CONSULTING D.O.O.,"," USKOPSKA 11,"," 10010 ZAGREB,"," OIB: 09177957072")</f>
        <v>SEDRA CONSULTING D.O.O., USKOPSKA 11, 10010 ZAGREB, OIB: 09177957072</v>
      </c>
      <c r="H3100" s="4"/>
      <c r="I3100" s="1" t="s">
        <v>424</v>
      </c>
      <c r="J3100" s="1" t="s">
        <v>1836</v>
      </c>
      <c r="K3100" s="6" t="str">
        <f>"99.000,00"</f>
        <v>99.000,00</v>
      </c>
      <c r="L3100" s="6" t="str">
        <f>"24.750,00"</f>
        <v>24.750,00</v>
      </c>
      <c r="M3100" s="6" t="str">
        <f>"123.750,00"</f>
        <v>123.750,00</v>
      </c>
      <c r="N3100" s="1" t="s">
        <v>117</v>
      </c>
      <c r="O3100" s="7"/>
      <c r="P3100" s="6" t="str">
        <f>""</f>
        <v/>
      </c>
      <c r="Q3100" s="7"/>
      <c r="R3100" s="1"/>
      <c r="S3100" s="1" t="str">
        <f>"N-140/18"</f>
        <v>N-140/18</v>
      </c>
      <c r="T3100" s="2" t="s">
        <v>29</v>
      </c>
    </row>
    <row r="3101" spans="1:20" ht="76.5" x14ac:dyDescent="0.25">
      <c r="A3101" s="1">
        <v>3097</v>
      </c>
      <c r="B3101" s="1" t="str">
        <f>"2018-2388"</f>
        <v>2018-2388</v>
      </c>
      <c r="C3101" s="2" t="s">
        <v>1844</v>
      </c>
      <c r="D3101" s="1" t="s">
        <v>1325</v>
      </c>
      <c r="E3101" s="3" t="str">
        <f>"2018/S 0F2-0031237"</f>
        <v>2018/S 0F2-0031237</v>
      </c>
      <c r="F3101" s="2" t="s">
        <v>23</v>
      </c>
      <c r="G3101" s="2" t="str">
        <f>CONCATENATE("PROMETNICE ZAGREB D.O.O.,"," OIB: 28111148974")</f>
        <v>PROMETNICE ZAGREB D.O.O., OIB: 28111148974</v>
      </c>
      <c r="H3101" s="1" t="str">
        <f>CONCATENATE("GEOPROMING D.O.O.,"," OIB: 88203028794",CHAR(10),"GEOMETRICUS D.O.O.,"," OIB: 28104778956")</f>
        <v>GEOPROMING D.O.O., OIB: 88203028794
GEOMETRICUS D.O.O., OIB: 28104778956</v>
      </c>
      <c r="I3101" s="1" t="s">
        <v>396</v>
      </c>
      <c r="J3101" s="1" t="s">
        <v>1845</v>
      </c>
      <c r="K3101" s="6" t="str">
        <f>"82.000,00"</f>
        <v>82.000,00</v>
      </c>
      <c r="L3101" s="6" t="str">
        <f>"20.500,00"</f>
        <v>20.500,00</v>
      </c>
      <c r="M3101" s="6" t="str">
        <f>"102.500,00"</f>
        <v>102.500,00</v>
      </c>
      <c r="N3101" s="1" t="s">
        <v>117</v>
      </c>
      <c r="O3101" s="7"/>
      <c r="P3101" s="6" t="str">
        <f>""</f>
        <v/>
      </c>
      <c r="Q3101" s="7"/>
      <c r="R3101" s="1"/>
      <c r="S3101" s="1" t="str">
        <f>"N-141/18"</f>
        <v>N-141/18</v>
      </c>
      <c r="T3101" s="2" t="s">
        <v>29</v>
      </c>
    </row>
    <row r="3102" spans="1:20" ht="38.25" x14ac:dyDescent="0.25">
      <c r="A3102" s="1">
        <v>3098</v>
      </c>
      <c r="B3102" s="1" t="str">
        <f>"2018-3112"</f>
        <v>2018-3112</v>
      </c>
      <c r="C3102" s="2" t="s">
        <v>1846</v>
      </c>
      <c r="D3102" s="1" t="s">
        <v>922</v>
      </c>
      <c r="E3102" s="3" t="str">
        <f>"2018/S 0F2-0036527"</f>
        <v>2018/S 0F2-0036527</v>
      </c>
      <c r="F3102" s="2" t="s">
        <v>23</v>
      </c>
      <c r="G3102" s="2" t="str">
        <f>CONCATENATE("NERING D.O.O.,"," LIVADARSKI PUT 24,"," 10360 SESVETE,"," OIB: 85965934616")</f>
        <v>NERING D.O.O., LIVADARSKI PUT 24, 10360 SESVETE, OIB: 85965934616</v>
      </c>
      <c r="H3102" s="1" t="str">
        <f>CONCATENATE("MJERNIK-LIMA D.O.O.,"," OIB: 00496607907")</f>
        <v>MJERNIK-LIMA D.O.O., OIB: 00496607907</v>
      </c>
      <c r="I3102" s="1" t="s">
        <v>396</v>
      </c>
      <c r="J3102" s="1" t="s">
        <v>1845</v>
      </c>
      <c r="K3102" s="6" t="str">
        <f>"2.194.237,39"</f>
        <v>2.194.237,39</v>
      </c>
      <c r="L3102" s="6" t="str">
        <f>"548.559,35"</f>
        <v>548.559,35</v>
      </c>
      <c r="M3102" s="6" t="str">
        <f>"2.742.796,74"</f>
        <v>2.742.796,74</v>
      </c>
      <c r="N3102" s="1" t="s">
        <v>117</v>
      </c>
      <c r="O3102" s="7"/>
      <c r="P3102" s="6" t="str">
        <f>""</f>
        <v/>
      </c>
      <c r="Q3102" s="7"/>
      <c r="R3102" s="1"/>
      <c r="S3102" s="1" t="str">
        <f>"N-142/18"</f>
        <v>N-142/18</v>
      </c>
      <c r="T3102" s="2" t="s">
        <v>29</v>
      </c>
    </row>
    <row r="3103" spans="1:20" ht="89.25" x14ac:dyDescent="0.25">
      <c r="A3103" s="1">
        <v>3099</v>
      </c>
      <c r="B3103" s="1" t="str">
        <f>"2018-2674"</f>
        <v>2018-2674</v>
      </c>
      <c r="C3103" s="2" t="s">
        <v>1847</v>
      </c>
      <c r="D3103" s="1" t="s">
        <v>1384</v>
      </c>
      <c r="E3103" s="3" t="str">
        <f>"2018/S 0F2-0030927"</f>
        <v>2018/S 0F2-0030927</v>
      </c>
      <c r="F3103" s="2" t="s">
        <v>23</v>
      </c>
      <c r="G3103" s="2" t="str">
        <f>CONCATENATE("HIDROPROJEKT-ING,"," D.O.O.,"," DRAŠKOVIĆEVA 35/I,"," 10000 ZAGREB,"," OIB: 07963942338")</f>
        <v>HIDROPROJEKT-ING, D.O.O., DRAŠKOVIĆEVA 35/I, 10000 ZAGREB, OIB: 07963942338</v>
      </c>
      <c r="H3103" s="1" t="str">
        <f>CONCATENATE("PROJEKTNI BIRO NAGLIĆ D.O.O.,"," OIB: 18216105743",CHAR(10),"HIDROKON D.O.O.,"," OIB: 31977725905")</f>
        <v>PROJEKTNI BIRO NAGLIĆ D.O.O., OIB: 18216105743
HIDROKON D.O.O., OIB: 31977725905</v>
      </c>
      <c r="I3103" s="1" t="s">
        <v>628</v>
      </c>
      <c r="J3103" s="1" t="s">
        <v>1848</v>
      </c>
      <c r="K3103" s="6" t="str">
        <f>"14.960.000,00"</f>
        <v>14.960.000,00</v>
      </c>
      <c r="L3103" s="6" t="str">
        <f>"3.740.000,00"</f>
        <v>3.740.000,00</v>
      </c>
      <c r="M3103" s="6" t="str">
        <f>"18.700.000,00"</f>
        <v>18.700.000,00</v>
      </c>
      <c r="N3103" s="1" t="s">
        <v>117</v>
      </c>
      <c r="O3103" s="7"/>
      <c r="P3103" s="6" t="str">
        <f>""</f>
        <v/>
      </c>
      <c r="Q3103" s="7"/>
      <c r="R3103" s="1"/>
      <c r="S3103" s="1" t="str">
        <f>"N-150/18"</f>
        <v>N-150/18</v>
      </c>
      <c r="T3103" s="2" t="s">
        <v>29</v>
      </c>
    </row>
    <row r="3104" spans="1:20" ht="38.25" x14ac:dyDescent="0.25">
      <c r="A3104" s="1">
        <v>3100</v>
      </c>
      <c r="B3104" s="1" t="str">
        <f>"2019-7"</f>
        <v>2019-7</v>
      </c>
      <c r="C3104" s="2" t="s">
        <v>1849</v>
      </c>
      <c r="D3104" s="1" t="s">
        <v>910</v>
      </c>
      <c r="E3104" s="3" t="str">
        <f>"2019/S 0F2-0002530"</f>
        <v>2019/S 0F2-0002530</v>
      </c>
      <c r="F3104" s="2" t="s">
        <v>23</v>
      </c>
      <c r="G3104" s="2" t="str">
        <f>CONCATENATE("3 K.F. D.O.O.,"," II. KANALSKI PUT VI. ODVOJAK 5A,"," 10000 ZAGREB,"," OIB: 49939600448")</f>
        <v>3 K.F. D.O.O., II. KANALSKI PUT VI. ODVOJAK 5A, 10000 ZAGREB, OIB: 49939600448</v>
      </c>
      <c r="H3104" s="4"/>
      <c r="I3104" s="1" t="s">
        <v>308</v>
      </c>
      <c r="J3104" s="1" t="s">
        <v>802</v>
      </c>
      <c r="K3104" s="6" t="str">
        <f>"1.414.400,00"</f>
        <v>1.414.400,00</v>
      </c>
      <c r="L3104" s="6" t="str">
        <f>"353.600,00"</f>
        <v>353.600,00</v>
      </c>
      <c r="M3104" s="6" t="str">
        <f>"1.768.000,00"</f>
        <v>1.768.000,00</v>
      </c>
      <c r="N3104" s="5">
        <v>43655</v>
      </c>
      <c r="O3104" s="7"/>
      <c r="P3104" s="6" t="str">
        <f>"1.767.945,60"</f>
        <v>1.767.945,60</v>
      </c>
      <c r="Q3104" s="7"/>
      <c r="R3104" s="1"/>
      <c r="S3104" s="1" t="str">
        <f>"N-1/19"</f>
        <v>N-1/19</v>
      </c>
      <c r="T3104" s="2" t="s">
        <v>33</v>
      </c>
    </row>
    <row r="3105" spans="1:20" ht="51" x14ac:dyDescent="0.25">
      <c r="A3105" s="1">
        <v>3101</v>
      </c>
      <c r="B3105" s="1" t="str">
        <f>"2019-9"</f>
        <v>2019-9</v>
      </c>
      <c r="C3105" s="2" t="s">
        <v>1850</v>
      </c>
      <c r="D3105" s="1" t="s">
        <v>1519</v>
      </c>
      <c r="E3105" s="3" t="str">
        <f>"2019/S 0F2-0006024"</f>
        <v>2019/S 0F2-0006024</v>
      </c>
      <c r="F3105" s="2" t="s">
        <v>23</v>
      </c>
      <c r="G3105" s="2" t="str">
        <f>CONCATENATE("ELEKTROCENTAR PETEK D.O.O.,"," ETANSKA CESTA 8,"," 10310 IVANIĆ-GRAD,"," OIB: 17491977848")</f>
        <v>ELEKTROCENTAR PETEK D.O.O., ETANSKA CESTA 8, 10310 IVANIĆ-GRAD, OIB: 17491977848</v>
      </c>
      <c r="H3105" s="4"/>
      <c r="I3105" s="1" t="s">
        <v>464</v>
      </c>
      <c r="J3105" s="1" t="s">
        <v>1851</v>
      </c>
      <c r="K3105" s="6" t="str">
        <f>"10.377.760,42"</f>
        <v>10.377.760,42</v>
      </c>
      <c r="L3105" s="6" t="str">
        <f>"2.594.440,11"</f>
        <v>2.594.440,11</v>
      </c>
      <c r="M3105" s="6" t="str">
        <f>"12.972.200,53"</f>
        <v>12.972.200,53</v>
      </c>
      <c r="N3105" s="1" t="s">
        <v>117</v>
      </c>
      <c r="O3105" s="7"/>
      <c r="P3105" s="6" t="str">
        <f>""</f>
        <v/>
      </c>
      <c r="Q3105" s="7"/>
      <c r="R3105" s="1"/>
      <c r="S3105" s="1" t="str">
        <f>"N-2/19"</f>
        <v>N-2/19</v>
      </c>
      <c r="T3105" s="2" t="s">
        <v>33</v>
      </c>
    </row>
    <row r="3106" spans="1:20" ht="38.25" x14ac:dyDescent="0.25">
      <c r="A3106" s="1">
        <v>3102</v>
      </c>
      <c r="B3106" s="1" t="str">
        <f>"2019-15"</f>
        <v>2019-15</v>
      </c>
      <c r="C3106" s="2" t="s">
        <v>1852</v>
      </c>
      <c r="D3106" s="1" t="s">
        <v>1853</v>
      </c>
      <c r="E3106" s="3" t="str">
        <f>"2019/S 0F2-0010125"</f>
        <v>2019/S 0F2-0010125</v>
      </c>
      <c r="F3106" s="2" t="s">
        <v>23</v>
      </c>
      <c r="G3106" s="2" t="str">
        <f>CONCATENATE("HIDROTERM-SD D.O.O.,"," REMETINEČKA CESTA 102C,"," 10020 ZAGREB-NOVI ZAGREB,"," OIB: 929030013")</f>
        <v>HIDROTERM-SD D.O.O., REMETINEČKA CESTA 102C, 10020 ZAGREB-NOVI ZAGREB, OIB: 929030013</v>
      </c>
      <c r="H3106" s="4"/>
      <c r="I3106" s="1" t="s">
        <v>551</v>
      </c>
      <c r="J3106" s="1" t="s">
        <v>1820</v>
      </c>
      <c r="K3106" s="6" t="str">
        <f>"649.046,50"</f>
        <v>649.046,50</v>
      </c>
      <c r="L3106" s="6" t="str">
        <f>"162.261,63"</f>
        <v>162.261,63</v>
      </c>
      <c r="M3106" s="6" t="str">
        <f>"811.308,13"</f>
        <v>811.308,13</v>
      </c>
      <c r="N3106" s="5">
        <v>43655</v>
      </c>
      <c r="O3106" s="7"/>
      <c r="P3106" s="6" t="str">
        <f>"811.308,12"</f>
        <v>811.308,12</v>
      </c>
      <c r="Q3106" s="7"/>
      <c r="R3106" s="1"/>
      <c r="S3106" s="1" t="str">
        <f>"N-3/19"</f>
        <v>N-3/19</v>
      </c>
      <c r="T3106" s="2" t="s">
        <v>33</v>
      </c>
    </row>
    <row r="3107" spans="1:20" ht="51" x14ac:dyDescent="0.25">
      <c r="A3107" s="1">
        <v>3103</v>
      </c>
      <c r="B3107" s="1" t="str">
        <f>"2019-1568"</f>
        <v>2019-1568</v>
      </c>
      <c r="C3107" s="2" t="s">
        <v>1854</v>
      </c>
      <c r="D3107" s="1" t="s">
        <v>1008</v>
      </c>
      <c r="E3107" s="3" t="str">
        <f>""</f>
        <v/>
      </c>
      <c r="F3107" s="2" t="s">
        <v>1088</v>
      </c>
      <c r="G3107" s="2" t="str">
        <f>CONCATENATE("INSTITUT IGH D.D.,"," JANKA RAKUŠE 1,"," 10000 ZAGREB,"," OIB: 79766124714")</f>
        <v>INSTITUT IGH D.D., JANKA RAKUŠE 1, 10000 ZAGREB, OIB: 79766124714</v>
      </c>
      <c r="H3107" s="4"/>
      <c r="I3107" s="1" t="s">
        <v>481</v>
      </c>
      <c r="J3107" s="1" t="s">
        <v>1855</v>
      </c>
      <c r="K3107" s="6" t="str">
        <f>"531.951,00"</f>
        <v>531.951,00</v>
      </c>
      <c r="L3107" s="6" t="str">
        <f>"132.987,75"</f>
        <v>132.987,75</v>
      </c>
      <c r="M3107" s="6" t="str">
        <f>"664.938,75"</f>
        <v>664.938,75</v>
      </c>
      <c r="N3107" s="1" t="s">
        <v>117</v>
      </c>
      <c r="O3107" s="7"/>
      <c r="P3107" s="6" t="str">
        <f>""</f>
        <v/>
      </c>
      <c r="Q3107" s="7"/>
      <c r="R3107" s="1"/>
      <c r="S3107" s="1" t="str">
        <f>"N-4/19"</f>
        <v>N-4/19</v>
      </c>
      <c r="T3107" s="2" t="s">
        <v>33</v>
      </c>
    </row>
    <row r="3108" spans="1:20" ht="38.25" x14ac:dyDescent="0.25">
      <c r="A3108" s="1">
        <v>3104</v>
      </c>
      <c r="B3108" s="1" t="str">
        <f>"2019-397"</f>
        <v>2019-397</v>
      </c>
      <c r="C3108" s="2" t="s">
        <v>1856</v>
      </c>
      <c r="D3108" s="1" t="s">
        <v>1419</v>
      </c>
      <c r="E3108" s="3" t="str">
        <f>"2019/S 0F2-0009059"</f>
        <v>2019/S 0F2-0009059</v>
      </c>
      <c r="F3108" s="2" t="s">
        <v>23</v>
      </c>
      <c r="G3108" s="2" t="str">
        <f>CONCATENATE("NEOS D.O.O.,"," ULICA KNEZA LJUDEVITA POSAVSKOG 31,"," 10000 ZAGREB,"," OIB: 77018181695")</f>
        <v>NEOS D.O.O., ULICA KNEZA LJUDEVITA POSAVSKOG 31, 10000 ZAGREB, OIB: 77018181695</v>
      </c>
      <c r="H3108" s="4"/>
      <c r="I3108" s="1" t="s">
        <v>481</v>
      </c>
      <c r="J3108" s="1" t="s">
        <v>1857</v>
      </c>
      <c r="K3108" s="6" t="str">
        <f>"847.818,00"</f>
        <v>847.818,00</v>
      </c>
      <c r="L3108" s="6" t="str">
        <f>"211.954,50"</f>
        <v>211.954,50</v>
      </c>
      <c r="M3108" s="6" t="str">
        <f>"1.059.772,50"</f>
        <v>1.059.772,50</v>
      </c>
      <c r="N3108" s="1" t="s">
        <v>117</v>
      </c>
      <c r="O3108" s="7"/>
      <c r="P3108" s="6" t="str">
        <f>""</f>
        <v/>
      </c>
      <c r="Q3108" s="7"/>
      <c r="R3108" s="1"/>
      <c r="S3108" s="1" t="str">
        <f>"N-5/19"</f>
        <v>N-5/19</v>
      </c>
      <c r="T3108" s="2" t="s">
        <v>538</v>
      </c>
    </row>
    <row r="3109" spans="1:20" ht="63.75" x14ac:dyDescent="0.25">
      <c r="A3109" s="1">
        <v>3105</v>
      </c>
      <c r="B3109" s="1" t="str">
        <f>"2019-2473"</f>
        <v>2019-2473</v>
      </c>
      <c r="C3109" s="2" t="s">
        <v>1631</v>
      </c>
      <c r="D3109" s="1" t="s">
        <v>786</v>
      </c>
      <c r="E3109" s="3" t="str">
        <f>""</f>
        <v/>
      </c>
      <c r="F3109" s="2" t="s">
        <v>1088</v>
      </c>
      <c r="G3109" s="2" t="str">
        <f>CONCATENATE("ZAGREBAČKI HOLDING D.O.O.,"," PODRUŽNICA ZAGREBAČKE CESTE,"," DONJE SVETICE 48,"," 10000 ZAGREB,"," OIB: 85584865987")</f>
        <v>ZAGREBAČKI HOLDING D.O.O., PODRUŽNICA ZAGREBAČKE CESTE, DONJE SVETICE 48, 10000 ZAGREB, OIB: 85584865987</v>
      </c>
      <c r="H3109" s="4"/>
      <c r="I3109" s="1" t="s">
        <v>639</v>
      </c>
      <c r="J3109" s="1" t="s">
        <v>1858</v>
      </c>
      <c r="K3109" s="6" t="str">
        <f>"10.993.949,20"</f>
        <v>10.993.949,20</v>
      </c>
      <c r="L3109" s="6" t="str">
        <f>"2.748.487,30"</f>
        <v>2.748.487,30</v>
      </c>
      <c r="M3109" s="6" t="str">
        <f>"13.742.436,50"</f>
        <v>13.742.436,50</v>
      </c>
      <c r="N3109" s="1" t="s">
        <v>117</v>
      </c>
      <c r="O3109" s="7"/>
      <c r="P3109" s="6" t="str">
        <f>""</f>
        <v/>
      </c>
      <c r="Q3109" s="7"/>
      <c r="R3109" s="1"/>
      <c r="S3109" s="1" t="str">
        <f>"N-6/19"</f>
        <v>N-6/19</v>
      </c>
      <c r="T3109" s="2" t="s">
        <v>538</v>
      </c>
    </row>
    <row r="3110" spans="1:20" ht="38.25" x14ac:dyDescent="0.25">
      <c r="A3110" s="1">
        <v>3106</v>
      </c>
      <c r="B3110" s="1" t="str">
        <f>"2019-2469"</f>
        <v>2019-2469</v>
      </c>
      <c r="C3110" s="2" t="s">
        <v>1859</v>
      </c>
      <c r="D3110" s="1" t="s">
        <v>1860</v>
      </c>
      <c r="E3110" s="3" t="str">
        <f>"2019/S 0F2-0011174"</f>
        <v>2019/S 0F2-0011174</v>
      </c>
      <c r="F3110" s="2" t="s">
        <v>23</v>
      </c>
      <c r="G3110" s="2" t="str">
        <f>CONCATENATE("IDEA PROJEKT D.O.O.,"," FLANATIČKA 25,"," 521000 PULA,"," OIB: 0225710134")</f>
        <v>IDEA PROJEKT D.O.O., FLANATIČKA 25, 521000 PULA, OIB: 0225710134</v>
      </c>
      <c r="H3110" s="4"/>
      <c r="I3110" s="1" t="s">
        <v>642</v>
      </c>
      <c r="J3110" s="1" t="s">
        <v>1838</v>
      </c>
      <c r="K3110" s="6" t="str">
        <f>"1.348.045,90"</f>
        <v>1.348.045,90</v>
      </c>
      <c r="L3110" s="6" t="str">
        <f>"337.011,48"</f>
        <v>337.011,48</v>
      </c>
      <c r="M3110" s="6" t="str">
        <f>"1.685.057,38"</f>
        <v>1.685.057,38</v>
      </c>
      <c r="N3110" s="5">
        <v>43630</v>
      </c>
      <c r="O3110" s="7"/>
      <c r="P3110" s="6" t="str">
        <f>"1.034.363,99"</f>
        <v>1.034.363,99</v>
      </c>
      <c r="Q3110" s="7"/>
      <c r="R3110" s="1"/>
      <c r="S3110" s="1" t="str">
        <f>"N-7/19"</f>
        <v>N-7/19</v>
      </c>
      <c r="T3110" s="2" t="s">
        <v>33</v>
      </c>
    </row>
    <row r="3111" spans="1:20" ht="51" x14ac:dyDescent="0.25">
      <c r="A3111" s="1">
        <v>3107</v>
      </c>
      <c r="B3111" s="1" t="str">
        <f>"2019-10"</f>
        <v>2019-10</v>
      </c>
      <c r="C3111" s="2" t="s">
        <v>1861</v>
      </c>
      <c r="D3111" s="1" t="s">
        <v>1325</v>
      </c>
      <c r="E3111" s="3" t="str">
        <f>"2019/S 0F2-0006453"</f>
        <v>2019/S 0F2-0006453</v>
      </c>
      <c r="F3111" s="2" t="s">
        <v>23</v>
      </c>
      <c r="G3111" s="2" t="str">
        <f>CONCATENATE("SEDRA CONSULTING D.O.O.,"," USKOPSKA 11,"," 10010 ZAGREB,"," OIB: 09177957072")</f>
        <v>SEDRA CONSULTING D.O.O., USKOPSKA 11, 10010 ZAGREB, OIB: 09177957072</v>
      </c>
      <c r="H3111" s="4"/>
      <c r="I3111" s="1" t="s">
        <v>628</v>
      </c>
      <c r="J3111" s="1" t="s">
        <v>1862</v>
      </c>
      <c r="K3111" s="6" t="str">
        <f>"105.000,00"</f>
        <v>105.000,00</v>
      </c>
      <c r="L3111" s="6" t="str">
        <f>"26.250,00"</f>
        <v>26.250,00</v>
      </c>
      <c r="M3111" s="6" t="str">
        <f>"131.250,00"</f>
        <v>131.250,00</v>
      </c>
      <c r="N3111" s="1" t="s">
        <v>117</v>
      </c>
      <c r="O3111" s="7"/>
      <c r="P3111" s="6" t="str">
        <f>""</f>
        <v/>
      </c>
      <c r="Q3111" s="7"/>
      <c r="R3111" s="1"/>
      <c r="S3111" s="1" t="str">
        <f>"N-8/19"</f>
        <v>N-8/19</v>
      </c>
      <c r="T3111" s="2" t="s">
        <v>33</v>
      </c>
    </row>
    <row r="3112" spans="1:20" ht="38.25" x14ac:dyDescent="0.25">
      <c r="A3112" s="1">
        <v>3108</v>
      </c>
      <c r="B3112" s="1" t="str">
        <f>"2019-1128"</f>
        <v>2019-1128</v>
      </c>
      <c r="C3112" s="2" t="s">
        <v>1863</v>
      </c>
      <c r="D3112" s="1" t="s">
        <v>1864</v>
      </c>
      <c r="E3112" s="3" t="str">
        <f>"2019/S 0F2-0015096"</f>
        <v>2019/S 0F2-0015096</v>
      </c>
      <c r="F3112" s="2" t="s">
        <v>23</v>
      </c>
      <c r="G3112" s="2" t="str">
        <f>CONCATENATE("N.O.K.O. D.O.O.,"," JABLANSKA 38,"," 10000 ZAGREB,"," OIB: 3925967868")</f>
        <v>N.O.K.O. D.O.O., JABLANSKA 38, 10000 ZAGREB, OIB: 3925967868</v>
      </c>
      <c r="H3112" s="4"/>
      <c r="I3112" s="1" t="s">
        <v>403</v>
      </c>
      <c r="J3112" s="1" t="s">
        <v>1001</v>
      </c>
      <c r="K3112" s="6" t="str">
        <f>"169.471,00"</f>
        <v>169.471,00</v>
      </c>
      <c r="L3112" s="6" t="str">
        <f>"42.367,75"</f>
        <v>42.367,75</v>
      </c>
      <c r="M3112" s="6" t="str">
        <f>"211.838,75"</f>
        <v>211.838,75</v>
      </c>
      <c r="N3112" s="1" t="s">
        <v>117</v>
      </c>
      <c r="O3112" s="7"/>
      <c r="P3112" s="6" t="str">
        <f>""</f>
        <v/>
      </c>
      <c r="Q3112" s="7"/>
      <c r="R3112" s="1"/>
      <c r="S3112" s="1" t="str">
        <f>"N-9/19"</f>
        <v>N-9/19</v>
      </c>
      <c r="T3112" s="2" t="s">
        <v>538</v>
      </c>
    </row>
    <row r="3113" spans="1:20" ht="38.25" x14ac:dyDescent="0.25">
      <c r="A3113" s="1">
        <v>3109</v>
      </c>
      <c r="B3113" s="1" t="str">
        <f>"2019-2569"</f>
        <v>2019-2569</v>
      </c>
      <c r="C3113" s="2" t="s">
        <v>1865</v>
      </c>
      <c r="D3113" s="1" t="s">
        <v>1866</v>
      </c>
      <c r="E3113" s="3" t="str">
        <f>"2019/S 0F2-0013404"</f>
        <v>2019/S 0F2-0013404</v>
      </c>
      <c r="F3113" s="2" t="s">
        <v>23</v>
      </c>
      <c r="G3113" s="2" t="str">
        <f>CONCATENATE("PERPETUUM MOBILE D.O.O.,"," ŠTRIGINA 4,"," 10000 ZAGREB,"," OIB: 67793850303")</f>
        <v>PERPETUUM MOBILE D.O.O., ŠTRIGINA 4, 10000 ZAGREB, OIB: 67793850303</v>
      </c>
      <c r="H3113" s="4"/>
      <c r="I3113" s="1" t="s">
        <v>628</v>
      </c>
      <c r="J3113" s="1" t="s">
        <v>1862</v>
      </c>
      <c r="K3113" s="6" t="str">
        <f>"494.000,00"</f>
        <v>494.000,00</v>
      </c>
      <c r="L3113" s="6" t="str">
        <f>"123.500,00"</f>
        <v>123.500,00</v>
      </c>
      <c r="M3113" s="6" t="str">
        <f>"617.500,00"</f>
        <v>617.500,00</v>
      </c>
      <c r="N3113" s="1" t="s">
        <v>117</v>
      </c>
      <c r="O3113" s="7"/>
      <c r="P3113" s="6" t="str">
        <f>""</f>
        <v/>
      </c>
      <c r="Q3113" s="7"/>
      <c r="R3113" s="1"/>
      <c r="S3113" s="1" t="str">
        <f>"N-11-ZGH/19"</f>
        <v>N-11-ZGH/19</v>
      </c>
      <c r="T3113" s="2" t="s">
        <v>33</v>
      </c>
    </row>
    <row r="3114" spans="1:20" ht="38.25" x14ac:dyDescent="0.25">
      <c r="A3114" s="1">
        <v>3110</v>
      </c>
      <c r="B3114" s="1" t="str">
        <f>"2015-2004"</f>
        <v>2015-2004</v>
      </c>
      <c r="C3114" s="2" t="s">
        <v>1867</v>
      </c>
      <c r="D3114" s="1" t="s">
        <v>922</v>
      </c>
      <c r="E3114" s="3" t="str">
        <f>""</f>
        <v/>
      </c>
      <c r="F3114" s="2" t="s">
        <v>23</v>
      </c>
      <c r="G3114" s="2" t="str">
        <f>CONCATENATE("GEORAD D.O.O.,"," KORNATSKA 1,"," 10000 ZAGREB,"," OIB: 49756748234")</f>
        <v>GEORAD D.O.O., KORNATSKA 1, 10000 ZAGREB, OIB: 49756748234</v>
      </c>
      <c r="H3114" s="4"/>
      <c r="I3114" s="1" t="s">
        <v>695</v>
      </c>
      <c r="J3114" s="1" t="s">
        <v>248</v>
      </c>
      <c r="K3114" s="6" t="str">
        <f>"98.965,96"</f>
        <v>98.965,96</v>
      </c>
      <c r="L3114" s="6" t="str">
        <f>"24.741,49"</f>
        <v>24.741,49</v>
      </c>
      <c r="M3114" s="6" t="str">
        <f>"123.707,45"</f>
        <v>123.707,45</v>
      </c>
      <c r="N3114" s="1" t="s">
        <v>117</v>
      </c>
      <c r="O3114" s="7"/>
      <c r="P3114" s="6" t="str">
        <f>""</f>
        <v/>
      </c>
      <c r="Q3114" s="7"/>
      <c r="R3114" s="1"/>
      <c r="S3114" s="1" t="str">
        <f>"N-65/15-3"</f>
        <v>N-65/15-3</v>
      </c>
      <c r="T3114" s="2" t="s">
        <v>29</v>
      </c>
    </row>
    <row r="3115" spans="1:20" ht="63.75" x14ac:dyDescent="0.25">
      <c r="A3115" s="1">
        <v>3111</v>
      </c>
      <c r="B3115" s="1" t="str">
        <f>"2015-2452"</f>
        <v>2015-2452</v>
      </c>
      <c r="C3115" s="2" t="s">
        <v>1402</v>
      </c>
      <c r="D3115" s="1" t="s">
        <v>1325</v>
      </c>
      <c r="E3115" s="3" t="str">
        <f>""</f>
        <v/>
      </c>
      <c r="F3115" s="2" t="s">
        <v>23</v>
      </c>
      <c r="G3115" s="2" t="str">
        <f>CONCATENATE("HIDROPROJEKT D.O.O.,"," IVANA PERGOŠIĆA 4,"," 10000 ZAGREB,"," OIB: 3091581719")</f>
        <v>HIDROPROJEKT D.O.O., IVANA PERGOŠIĆA 4, 10000 ZAGREB, OIB: 3091581719</v>
      </c>
      <c r="H3115" s="4"/>
      <c r="I3115" s="1" t="s">
        <v>423</v>
      </c>
      <c r="J3115" s="1" t="s">
        <v>1737</v>
      </c>
      <c r="K3115" s="6" t="str">
        <f>"72.124,70"</f>
        <v>72.124,70</v>
      </c>
      <c r="L3115" s="6" t="str">
        <f>"18.031,18"</f>
        <v>18.031,18</v>
      </c>
      <c r="M3115" s="6" t="str">
        <f>"90.155,88"</f>
        <v>90.155,88</v>
      </c>
      <c r="N3115" s="1" t="s">
        <v>117</v>
      </c>
      <c r="O3115" s="7"/>
      <c r="P3115" s="6" t="str">
        <f>""</f>
        <v/>
      </c>
      <c r="Q3115" s="7"/>
      <c r="R3115" s="1"/>
      <c r="S3115" s="1" t="str">
        <f>"N-94/15-2"</f>
        <v>N-94/15-2</v>
      </c>
      <c r="T3115" s="2" t="s">
        <v>29</v>
      </c>
    </row>
    <row r="3116" spans="1:20" ht="38.25" x14ac:dyDescent="0.25">
      <c r="A3116" s="1">
        <v>3112</v>
      </c>
      <c r="B3116" s="1" t="str">
        <f>"2016-2572"</f>
        <v>2016-2572</v>
      </c>
      <c r="C3116" s="2" t="s">
        <v>1418</v>
      </c>
      <c r="D3116" s="1" t="s">
        <v>1419</v>
      </c>
      <c r="E3116" s="3" t="str">
        <f>""</f>
        <v/>
      </c>
      <c r="F3116" s="2" t="s">
        <v>1088</v>
      </c>
      <c r="G3116" s="2" t="str">
        <f>CONCATENATE("COMBIS D.O.O.,"," BAŠTIJANOVA 52A,"," 10000 ZAGREB,"," OIB: 91678676896")</f>
        <v>COMBIS D.O.O., BAŠTIJANOVA 52A, 10000 ZAGREB, OIB: 91678676896</v>
      </c>
      <c r="H3116" s="4"/>
      <c r="I3116" s="1" t="s">
        <v>210</v>
      </c>
      <c r="J3116" s="1" t="s">
        <v>45</v>
      </c>
      <c r="K3116" s="6" t="str">
        <f>"104.839,20"</f>
        <v>104.839,20</v>
      </c>
      <c r="L3116" s="6" t="str">
        <f>"26.209,80"</f>
        <v>26.209,80</v>
      </c>
      <c r="M3116" s="6" t="str">
        <f>"131.049,00"</f>
        <v>131.049,00</v>
      </c>
      <c r="N3116" s="1" t="s">
        <v>117</v>
      </c>
      <c r="O3116" s="7"/>
      <c r="P3116" s="6" t="str">
        <f>""</f>
        <v/>
      </c>
      <c r="Q3116" s="7"/>
      <c r="R3116" s="1"/>
      <c r="S3116" s="1" t="str">
        <f>"N-100/16-1"</f>
        <v>N-100/16-1</v>
      </c>
      <c r="T3116" s="2" t="s">
        <v>538</v>
      </c>
    </row>
    <row r="3117" spans="1:20" ht="51" x14ac:dyDescent="0.25">
      <c r="A3117" s="1">
        <v>3113</v>
      </c>
      <c r="B3117" s="1" t="str">
        <f>"2016-1896"</f>
        <v>2016-1896</v>
      </c>
      <c r="C3117" s="2" t="s">
        <v>1868</v>
      </c>
      <c r="D3117" s="1" t="s">
        <v>119</v>
      </c>
      <c r="E3117" s="3" t="str">
        <f>""</f>
        <v/>
      </c>
      <c r="F3117" s="2" t="s">
        <v>23</v>
      </c>
      <c r="G3117" s="2" t="str">
        <f>CONCATENATE("PALIR D.O.O.,"," DANE DUIĆA 3,"," 10000 ZAGREB,"," OIB: 19383246503")</f>
        <v>PALIR D.O.O., DANE DUIĆA 3, 10000 ZAGREB, OIB: 19383246503</v>
      </c>
      <c r="H3117" s="4"/>
      <c r="I3117" s="1" t="s">
        <v>241</v>
      </c>
      <c r="J3117" s="1" t="s">
        <v>423</v>
      </c>
      <c r="K3117" s="6" t="str">
        <f>"114.205,00"</f>
        <v>114.205,00</v>
      </c>
      <c r="L3117" s="6" t="str">
        <f>"28.551,25"</f>
        <v>28.551,25</v>
      </c>
      <c r="M3117" s="6" t="str">
        <f>"142.756,25"</f>
        <v>142.756,25</v>
      </c>
      <c r="N3117" s="1" t="s">
        <v>117</v>
      </c>
      <c r="O3117" s="7"/>
      <c r="P3117" s="6" t="str">
        <f>""</f>
        <v/>
      </c>
      <c r="Q3117" s="7"/>
      <c r="R3117" s="1"/>
      <c r="S3117" s="1" t="str">
        <f>"N-138/16-3"</f>
        <v>N-138/16-3</v>
      </c>
      <c r="T3117" s="2" t="s">
        <v>29</v>
      </c>
    </row>
    <row r="3118" spans="1:20" ht="25.5" x14ac:dyDescent="0.25">
      <c r="A3118" s="1">
        <v>3114</v>
      </c>
      <c r="B3118" s="1" t="str">
        <f>"2016-3012"</f>
        <v>2016-3012</v>
      </c>
      <c r="C3118" s="2" t="s">
        <v>1869</v>
      </c>
      <c r="D3118" s="1" t="s">
        <v>119</v>
      </c>
      <c r="E3118" s="3" t="str">
        <f>""</f>
        <v/>
      </c>
      <c r="F3118" s="2" t="s">
        <v>23</v>
      </c>
      <c r="G3118" s="2" t="str">
        <f>CONCATENATE("PALIR D.O.O.,"," DANE DUIĆA 3,"," 10000 ZAGREB,"," OIB: 19383246503")</f>
        <v>PALIR D.O.O., DANE DUIĆA 3, 10000 ZAGREB, OIB: 19383246503</v>
      </c>
      <c r="H3118" s="4"/>
      <c r="I3118" s="1" t="s">
        <v>71</v>
      </c>
      <c r="J3118" s="1" t="s">
        <v>264</v>
      </c>
      <c r="K3118" s="6" t="str">
        <f>"201.050,00"</f>
        <v>201.050,00</v>
      </c>
      <c r="L3118" s="6" t="str">
        <f>"50.262,50"</f>
        <v>50.262,50</v>
      </c>
      <c r="M3118" s="6" t="str">
        <f>"251.312,50"</f>
        <v>251.312,50</v>
      </c>
      <c r="N3118" s="1" t="s">
        <v>117</v>
      </c>
      <c r="O3118" s="7"/>
      <c r="P3118" s="6" t="str">
        <f>""</f>
        <v/>
      </c>
      <c r="Q3118" s="7"/>
      <c r="R3118" s="1"/>
      <c r="S3118" s="1" t="str">
        <f>"N-141/16-5"</f>
        <v>N-141/16-5</v>
      </c>
      <c r="T3118" s="2" t="s">
        <v>29</v>
      </c>
    </row>
    <row r="3119" spans="1:20" ht="38.25" x14ac:dyDescent="0.25">
      <c r="A3119" s="1">
        <v>3115</v>
      </c>
      <c r="B3119" s="1" t="str">
        <f>"2016-1903"</f>
        <v>2016-1903</v>
      </c>
      <c r="C3119" s="2" t="s">
        <v>1870</v>
      </c>
      <c r="D3119" s="1" t="s">
        <v>119</v>
      </c>
      <c r="E3119" s="3" t="str">
        <f>""</f>
        <v/>
      </c>
      <c r="F3119" s="2" t="s">
        <v>23</v>
      </c>
      <c r="G3119" s="2" t="str">
        <f>CONCATENATE("VODOGRADNJA D.D.,"," MEĐIMURSKA 26/B,"," 42000 VARAŽDIN,"," OIB: 80297502945")</f>
        <v>VODOGRADNJA D.D., MEĐIMURSKA 26/B, 42000 VARAŽDIN, OIB: 80297502945</v>
      </c>
      <c r="H3119" s="4"/>
      <c r="I3119" s="1" t="s">
        <v>71</v>
      </c>
      <c r="J3119" s="1" t="s">
        <v>264</v>
      </c>
      <c r="K3119" s="6" t="str">
        <f>"97.818,50"</f>
        <v>97.818,50</v>
      </c>
      <c r="L3119" s="6" t="str">
        <f>"24.454,63"</f>
        <v>24.454,63</v>
      </c>
      <c r="M3119" s="6" t="str">
        <f>"122.273,13"</f>
        <v>122.273,13</v>
      </c>
      <c r="N3119" s="1" t="s">
        <v>117</v>
      </c>
      <c r="O3119" s="7"/>
      <c r="P3119" s="6" t="str">
        <f>""</f>
        <v/>
      </c>
      <c r="Q3119" s="7"/>
      <c r="R3119" s="1"/>
      <c r="S3119" s="1" t="str">
        <f>"N-142/16-5"</f>
        <v>N-142/16-5</v>
      </c>
      <c r="T3119" s="2" t="s">
        <v>29</v>
      </c>
    </row>
    <row r="3120" spans="1:20" ht="38.25" x14ac:dyDescent="0.25">
      <c r="A3120" s="1">
        <v>3116</v>
      </c>
      <c r="B3120" s="1" t="str">
        <f>"2016-3193"</f>
        <v>2016-3193</v>
      </c>
      <c r="C3120" s="2" t="s">
        <v>1443</v>
      </c>
      <c r="D3120" s="1" t="s">
        <v>1325</v>
      </c>
      <c r="E3120" s="3" t="str">
        <f>""</f>
        <v/>
      </c>
      <c r="F3120" s="2" t="s">
        <v>23</v>
      </c>
      <c r="G3120" s="2" t="str">
        <f>CONCATENATE("INTERKONZALTING D.O.O.,"," ULICA GRADA VUKOVARA 43/A,"," 10000 ZAGREB,"," OIB: 23141220773")</f>
        <v>INTERKONZALTING D.O.O., ULICA GRADA VUKOVARA 43/A, 10000 ZAGREB, OIB: 23141220773</v>
      </c>
      <c r="H3120" s="4"/>
      <c r="I3120" s="1" t="s">
        <v>402</v>
      </c>
      <c r="J3120" s="1" t="s">
        <v>1434</v>
      </c>
      <c r="K3120" s="6" t="str">
        <f>"243.000,00"</f>
        <v>243.000,00</v>
      </c>
      <c r="L3120" s="6" t="str">
        <f>"60.750,00"</f>
        <v>60.750,00</v>
      </c>
      <c r="M3120" s="6" t="str">
        <f>"303.750,00"</f>
        <v>303.750,00</v>
      </c>
      <c r="N3120" s="1" t="s">
        <v>117</v>
      </c>
      <c r="O3120" s="7"/>
      <c r="P3120" s="6" t="str">
        <f>""</f>
        <v/>
      </c>
      <c r="Q3120" s="7"/>
      <c r="R3120" s="1"/>
      <c r="S3120" s="1" t="str">
        <f>"N-163/16-1"</f>
        <v>N-163/16-1</v>
      </c>
      <c r="T3120" s="2" t="s">
        <v>33</v>
      </c>
    </row>
    <row r="3121" spans="1:20" ht="38.25" x14ac:dyDescent="0.25">
      <c r="A3121" s="1">
        <v>3117</v>
      </c>
      <c r="B3121" s="1" t="str">
        <f>"2016-3010"</f>
        <v>2016-3010</v>
      </c>
      <c r="C3121" s="2" t="s">
        <v>1447</v>
      </c>
      <c r="D3121" s="1" t="s">
        <v>119</v>
      </c>
      <c r="E3121" s="3" t="str">
        <f>""</f>
        <v/>
      </c>
      <c r="F3121" s="2" t="s">
        <v>23</v>
      </c>
      <c r="G3121" s="2" t="str">
        <f>CONCATENATE("BOLČEVIĆ-GRADNJA D.O.O.,"," DUGOSELSKA CESTA 56,"," 10361 SESVETSKI KRALJEVEC,"," OIB: 520986705")</f>
        <v>BOLČEVIĆ-GRADNJA D.O.O., DUGOSELSKA CESTA 56, 10361 SESVETSKI KRALJEVEC, OIB: 520986705</v>
      </c>
      <c r="H3121" s="4"/>
      <c r="I3121" s="1" t="s">
        <v>293</v>
      </c>
      <c r="J3121" s="1" t="s">
        <v>42</v>
      </c>
      <c r="K3121" s="6" t="str">
        <f>"1.146.700,00"</f>
        <v>1.146.700,00</v>
      </c>
      <c r="L3121" s="6" t="str">
        <f>"286.675,00"</f>
        <v>286.675,00</v>
      </c>
      <c r="M3121" s="6" t="str">
        <f>"1.433.375,00"</f>
        <v>1.433.375,00</v>
      </c>
      <c r="N3121" s="1" t="s">
        <v>117</v>
      </c>
      <c r="O3121" s="7"/>
      <c r="P3121" s="6" t="str">
        <f>""</f>
        <v/>
      </c>
      <c r="Q3121" s="7"/>
      <c r="R3121" s="1"/>
      <c r="S3121" s="1" t="str">
        <f>"N-172/16-4"</f>
        <v>N-172/16-4</v>
      </c>
      <c r="T3121" s="2" t="s">
        <v>29</v>
      </c>
    </row>
    <row r="3122" spans="1:20" ht="25.5" x14ac:dyDescent="0.25">
      <c r="A3122" s="1">
        <v>3118</v>
      </c>
      <c r="B3122" s="1" t="str">
        <f>"2017-292"</f>
        <v>2017-292</v>
      </c>
      <c r="C3122" s="2" t="s">
        <v>1871</v>
      </c>
      <c r="D3122" s="1" t="s">
        <v>1872</v>
      </c>
      <c r="E3122" s="3" t="str">
        <f>""</f>
        <v/>
      </c>
      <c r="F3122" s="2" t="s">
        <v>23</v>
      </c>
      <c r="G3122" s="2" t="str">
        <f>CONCATENATE("MEŠIĆ COM D.O.O.,"," STROJARSKA 22,"," 10 000 ZAGREB,"," OIB: 16308837296")</f>
        <v>MEŠIĆ COM D.O.O., STROJARSKA 22, 10 000 ZAGREB, OIB: 16308837296</v>
      </c>
      <c r="H3122" s="4"/>
      <c r="I3122" s="1" t="s">
        <v>46</v>
      </c>
      <c r="J3122" s="1" t="s">
        <v>46</v>
      </c>
      <c r="K3122" s="6" t="str">
        <f>"664.448,59"</f>
        <v>664.448,59</v>
      </c>
      <c r="L3122" s="6" t="str">
        <f>"166.112,15"</f>
        <v>166.112,15</v>
      </c>
      <c r="M3122" s="6" t="str">
        <f>"830.560,74"</f>
        <v>830.560,74</v>
      </c>
      <c r="N3122" s="1" t="s">
        <v>117</v>
      </c>
      <c r="O3122" s="7"/>
      <c r="P3122" s="6" t="str">
        <f>""</f>
        <v/>
      </c>
      <c r="Q3122" s="7"/>
      <c r="R3122" s="1"/>
      <c r="S3122" s="1" t="str">
        <f>"N-24/17-1"</f>
        <v>N-24/17-1</v>
      </c>
      <c r="T3122" s="2" t="s">
        <v>33</v>
      </c>
    </row>
    <row r="3123" spans="1:20" ht="38.25" x14ac:dyDescent="0.25">
      <c r="A3123" s="1">
        <v>3119</v>
      </c>
      <c r="B3123" s="1" t="str">
        <f>"2017-293"</f>
        <v>2017-293</v>
      </c>
      <c r="C3123" s="2" t="s">
        <v>1873</v>
      </c>
      <c r="D3123" s="1" t="s">
        <v>1322</v>
      </c>
      <c r="E3123" s="3" t="str">
        <f>""</f>
        <v/>
      </c>
      <c r="F3123" s="2" t="s">
        <v>23</v>
      </c>
      <c r="G3123" s="2" t="str">
        <f>CONCATENATE("EKONERG D.O.O.,"," KORANSKA ULICA 5,"," 10000 ZAGREB,"," OIB: 71690188016")</f>
        <v>EKONERG D.O.O., KORANSKA ULICA 5, 10000 ZAGREB, OIB: 71690188016</v>
      </c>
      <c r="H3123" s="4"/>
      <c r="I3123" s="1" t="s">
        <v>440</v>
      </c>
      <c r="J3123" s="1" t="s">
        <v>440</v>
      </c>
      <c r="K3123" s="6" t="str">
        <f>"43.024,19"</f>
        <v>43.024,19</v>
      </c>
      <c r="L3123" s="6" t="str">
        <f>"10.756,05"</f>
        <v>10.756,05</v>
      </c>
      <c r="M3123" s="6" t="str">
        <f>"53.780,24"</f>
        <v>53.780,24</v>
      </c>
      <c r="N3123" s="1" t="s">
        <v>117</v>
      </c>
      <c r="O3123" s="7"/>
      <c r="P3123" s="6" t="str">
        <f>""</f>
        <v/>
      </c>
      <c r="Q3123" s="7"/>
      <c r="R3123" s="1"/>
      <c r="S3123" s="1" t="str">
        <f>"N-32/17-1"</f>
        <v>N-32/17-1</v>
      </c>
      <c r="T3123" s="2" t="s">
        <v>33</v>
      </c>
    </row>
    <row r="3124" spans="1:20" ht="25.5" x14ac:dyDescent="0.25">
      <c r="A3124" s="1">
        <v>3120</v>
      </c>
      <c r="B3124" s="1" t="str">
        <f>"2017-46"</f>
        <v>2017-46</v>
      </c>
      <c r="C3124" s="2" t="s">
        <v>1474</v>
      </c>
      <c r="D3124" s="1" t="s">
        <v>119</v>
      </c>
      <c r="E3124" s="3" t="str">
        <f>""</f>
        <v/>
      </c>
      <c r="F3124" s="2" t="s">
        <v>23</v>
      </c>
      <c r="G3124" s="2" t="str">
        <f>CONCATENATE("VODOTEHNIKA D.D.,"," KOTURAŠKA CESTA 49,"," 10000 ZAGREB,"," OIB: 1763143132")</f>
        <v>VODOTEHNIKA D.D., KOTURAŠKA CESTA 49, 10000 ZAGREB, OIB: 1763143132</v>
      </c>
      <c r="H3124" s="4"/>
      <c r="I3124" s="1" t="s">
        <v>229</v>
      </c>
      <c r="J3124" s="1" t="s">
        <v>308</v>
      </c>
      <c r="K3124" s="6" t="str">
        <f>"71.931,87"</f>
        <v>71.931,87</v>
      </c>
      <c r="L3124" s="6" t="str">
        <f>"17.982,97"</f>
        <v>17.982,97</v>
      </c>
      <c r="M3124" s="6" t="str">
        <f>"89.914,84"</f>
        <v>89.914,84</v>
      </c>
      <c r="N3124" s="1" t="s">
        <v>117</v>
      </c>
      <c r="O3124" s="7"/>
      <c r="P3124" s="6" t="str">
        <f>""</f>
        <v/>
      </c>
      <c r="Q3124" s="7"/>
      <c r="R3124" s="1"/>
      <c r="S3124" s="1" t="str">
        <f>"N-42/17-3"</f>
        <v>N-42/17-3</v>
      </c>
      <c r="T3124" s="2" t="s">
        <v>29</v>
      </c>
    </row>
    <row r="3125" spans="1:20" ht="38.25" x14ac:dyDescent="0.25">
      <c r="A3125" s="1">
        <v>3121</v>
      </c>
      <c r="B3125" s="1" t="str">
        <f>"2017-45"</f>
        <v>2017-45</v>
      </c>
      <c r="C3125" s="2" t="s">
        <v>1476</v>
      </c>
      <c r="D3125" s="1" t="s">
        <v>119</v>
      </c>
      <c r="E3125" s="3" t="str">
        <f>""</f>
        <v/>
      </c>
      <c r="F3125" s="2" t="s">
        <v>23</v>
      </c>
      <c r="G3125" s="2" t="str">
        <f>CONCATENATE("IZGRADNJA FUTURA D.O.O.,"," LEDINSKA ULICA 35,"," 10255 DONJI STUPNIK,"," OIB: 14482540987")</f>
        <v>IZGRADNJA FUTURA D.O.O., LEDINSKA ULICA 35, 10255 DONJI STUPNIK, OIB: 14482540987</v>
      </c>
      <c r="H3125" s="4"/>
      <c r="I3125" s="1" t="s">
        <v>414</v>
      </c>
      <c r="J3125" s="1" t="s">
        <v>414</v>
      </c>
      <c r="K3125" s="6" t="str">
        <f>"174.220,13"</f>
        <v>174.220,13</v>
      </c>
      <c r="L3125" s="6" t="str">
        <f>"43.555,03"</f>
        <v>43.555,03</v>
      </c>
      <c r="M3125" s="6" t="str">
        <f>"217.775,16"</f>
        <v>217.775,16</v>
      </c>
      <c r="N3125" s="1" t="s">
        <v>117</v>
      </c>
      <c r="O3125" s="7"/>
      <c r="P3125" s="6" t="str">
        <f>""</f>
        <v/>
      </c>
      <c r="Q3125" s="7"/>
      <c r="R3125" s="1"/>
      <c r="S3125" s="1" t="str">
        <f>"N-43/17-5"</f>
        <v>N-43/17-5</v>
      </c>
      <c r="T3125" s="2" t="s">
        <v>29</v>
      </c>
    </row>
    <row r="3126" spans="1:20" ht="51" x14ac:dyDescent="0.25">
      <c r="A3126" s="1">
        <v>3122</v>
      </c>
      <c r="B3126" s="1" t="str">
        <f>"2017-2630"</f>
        <v>2017-2630</v>
      </c>
      <c r="C3126" s="2" t="s">
        <v>1874</v>
      </c>
      <c r="D3126" s="1" t="s">
        <v>1384</v>
      </c>
      <c r="E3126" s="3" t="str">
        <f>""</f>
        <v/>
      </c>
      <c r="F3126" s="2" t="s">
        <v>23</v>
      </c>
      <c r="G3126" s="2" t="str">
        <f>CONCATENATE("MAŠINOPROJEKT D.O.O.,"," BRAĆE DOMANY 8,"," 10000 ZAGREB,"," OIB: 673908426")</f>
        <v>MAŠINOPROJEKT D.O.O., BRAĆE DOMANY 8, 10000 ZAGREB, OIB: 673908426</v>
      </c>
      <c r="H3126" s="4"/>
      <c r="I3126" s="1" t="s">
        <v>340</v>
      </c>
      <c r="J3126" s="1" t="s">
        <v>340</v>
      </c>
      <c r="K3126" s="6" t="str">
        <f>"9.600,00"</f>
        <v>9.600,00</v>
      </c>
      <c r="L3126" s="6" t="str">
        <f>"2.400,00"</f>
        <v>2.400,00</v>
      </c>
      <c r="M3126" s="6" t="str">
        <f>"12.000,00"</f>
        <v>12.000,00</v>
      </c>
      <c r="N3126" s="1" t="s">
        <v>117</v>
      </c>
      <c r="O3126" s="7"/>
      <c r="P3126" s="6" t="str">
        <f>""</f>
        <v/>
      </c>
      <c r="Q3126" s="7"/>
      <c r="R3126" s="1"/>
      <c r="S3126" s="1" t="str">
        <f>"N-44/17-1"</f>
        <v>N-44/17-1</v>
      </c>
      <c r="T3126" s="2" t="s">
        <v>29</v>
      </c>
    </row>
    <row r="3127" spans="1:20" ht="38.25" x14ac:dyDescent="0.25">
      <c r="A3127" s="1">
        <v>3123</v>
      </c>
      <c r="B3127" s="1" t="str">
        <f>"2017-142"</f>
        <v>2017-142</v>
      </c>
      <c r="C3127" s="2" t="s">
        <v>1486</v>
      </c>
      <c r="D3127" s="1" t="s">
        <v>119</v>
      </c>
      <c r="E3127" s="3" t="str">
        <f>""</f>
        <v/>
      </c>
      <c r="F3127" s="2" t="s">
        <v>23</v>
      </c>
      <c r="G3127" s="2" t="str">
        <f>CONCATENATE("BOLČEVIĆ-GRADNJA D.O.O.,"," DUGOSELSKA CESTA 56,"," 10361 SESVETSKI KRALJEVEC,"," OIB: 520986705")</f>
        <v>BOLČEVIĆ-GRADNJA D.O.O., DUGOSELSKA CESTA 56, 10361 SESVETSKI KRALJEVEC, OIB: 520986705</v>
      </c>
      <c r="H3127" s="4"/>
      <c r="I3127" s="1" t="s">
        <v>1068</v>
      </c>
      <c r="J3127" s="1" t="s">
        <v>42</v>
      </c>
      <c r="K3127" s="6" t="str">
        <f>"290.070,00"</f>
        <v>290.070,00</v>
      </c>
      <c r="L3127" s="6" t="str">
        <f>"72.517,50"</f>
        <v>72.517,50</v>
      </c>
      <c r="M3127" s="6" t="str">
        <f>"362.587,50"</f>
        <v>362.587,50</v>
      </c>
      <c r="N3127" s="1" t="s">
        <v>117</v>
      </c>
      <c r="O3127" s="7"/>
      <c r="P3127" s="6" t="str">
        <f>""</f>
        <v/>
      </c>
      <c r="Q3127" s="7"/>
      <c r="R3127" s="1"/>
      <c r="S3127" s="1" t="str">
        <f>"N-80/17-3"</f>
        <v>N-80/17-3</v>
      </c>
      <c r="T3127" s="2" t="s">
        <v>29</v>
      </c>
    </row>
    <row r="3128" spans="1:20" ht="25.5" x14ac:dyDescent="0.25">
      <c r="A3128" s="1">
        <v>3124</v>
      </c>
      <c r="B3128" s="1" t="str">
        <f>"2017-67"</f>
        <v>2017-67</v>
      </c>
      <c r="C3128" s="2" t="s">
        <v>1502</v>
      </c>
      <c r="D3128" s="1" t="s">
        <v>1503</v>
      </c>
      <c r="E3128" s="3" t="str">
        <f>""</f>
        <v/>
      </c>
      <c r="F3128" s="2" t="s">
        <v>23</v>
      </c>
      <c r="G3128" s="2" t="str">
        <f>CONCATENATE("KONČAR - KET D.D.,"," FALLEROVO ŠETALIŠTE 22,"," 10000 ZAGREB,"," OIB: 29898970552")</f>
        <v>KONČAR - KET D.D., FALLEROVO ŠETALIŠTE 22, 10000 ZAGREB, OIB: 29898970552</v>
      </c>
      <c r="H3128" s="4"/>
      <c r="I3128" s="1" t="s">
        <v>254</v>
      </c>
      <c r="J3128" s="1" t="s">
        <v>1875</v>
      </c>
      <c r="K3128" s="6" t="str">
        <f>"940.432,54"</f>
        <v>940.432,54</v>
      </c>
      <c r="L3128" s="6" t="str">
        <f>"235.108,14"</f>
        <v>235.108,14</v>
      </c>
      <c r="M3128" s="6" t="str">
        <f>"1.175.540,68"</f>
        <v>1.175.540,68</v>
      </c>
      <c r="N3128" s="1" t="s">
        <v>117</v>
      </c>
      <c r="O3128" s="7"/>
      <c r="P3128" s="6" t="str">
        <f>""</f>
        <v/>
      </c>
      <c r="Q3128" s="7"/>
      <c r="R3128" s="1"/>
      <c r="S3128" s="1" t="str">
        <f>"N-93/17-1"</f>
        <v>N-93/17-1</v>
      </c>
      <c r="T3128" s="2" t="s">
        <v>29</v>
      </c>
    </row>
    <row r="3129" spans="1:20" ht="38.25" x14ac:dyDescent="0.25">
      <c r="A3129" s="1">
        <v>3125</v>
      </c>
      <c r="B3129" s="1" t="str">
        <f>"2018-1457"</f>
        <v>2018-1457</v>
      </c>
      <c r="C3129" s="2" t="s">
        <v>1650</v>
      </c>
      <c r="D3129" s="1" t="s">
        <v>119</v>
      </c>
      <c r="E3129" s="3" t="str">
        <f>""</f>
        <v/>
      </c>
      <c r="F3129" s="2" t="s">
        <v>23</v>
      </c>
      <c r="G3129" s="2" t="str">
        <f>CONCATENATE("MONTER-STROJARSKE MONTAŽE D.D.,"," VELIMIRA ŠKORPIKA 28,"," 10000 ZAGREB,"," OIB: 13887374452")</f>
        <v>MONTER-STROJARSKE MONTAŽE D.D., VELIMIRA ŠKORPIKA 28, 10000 ZAGREB, OIB: 13887374452</v>
      </c>
      <c r="H3129" s="4"/>
      <c r="I3129" s="1" t="s">
        <v>551</v>
      </c>
      <c r="J3129" s="1" t="s">
        <v>1652</v>
      </c>
      <c r="K3129" s="6" t="str">
        <f>"92.178,00"</f>
        <v>92.178,00</v>
      </c>
      <c r="L3129" s="6" t="str">
        <f>"23.044,50"</f>
        <v>23.044,50</v>
      </c>
      <c r="M3129" s="6" t="str">
        <f>"115.222,50"</f>
        <v>115.222,50</v>
      </c>
      <c r="N3129" s="1" t="s">
        <v>117</v>
      </c>
      <c r="O3129" s="7"/>
      <c r="P3129" s="6" t="str">
        <f>""</f>
        <v/>
      </c>
      <c r="Q3129" s="7"/>
      <c r="R3129" s="1"/>
      <c r="S3129" s="1" t="str">
        <f>"N-13/18-2"</f>
        <v>N-13/18-2</v>
      </c>
      <c r="T3129" s="2" t="s">
        <v>29</v>
      </c>
    </row>
    <row r="3130" spans="1:20" ht="25.5" x14ac:dyDescent="0.25">
      <c r="A3130" s="1">
        <v>3126</v>
      </c>
      <c r="B3130" s="1" t="str">
        <f>"2018-2989"</f>
        <v>2018-2989</v>
      </c>
      <c r="C3130" s="2" t="s">
        <v>1680</v>
      </c>
      <c r="D3130" s="1" t="s">
        <v>1519</v>
      </c>
      <c r="E3130" s="3" t="str">
        <f>""</f>
        <v/>
      </c>
      <c r="F3130" s="2" t="s">
        <v>23</v>
      </c>
      <c r="G3130" s="2" t="str">
        <f>CONCATENATE("TEH - GRADNJA D.O.O.,"," KSENIJE KANTOCI 3,"," 10000 ZAGREB,"," OIB: 13530191392")</f>
        <v>TEH - GRADNJA D.O.O., KSENIJE KANTOCI 3, 10000 ZAGREB, OIB: 13530191392</v>
      </c>
      <c r="H3130" s="4"/>
      <c r="I3130" s="1" t="s">
        <v>269</v>
      </c>
      <c r="J3130" s="1" t="s">
        <v>1678</v>
      </c>
      <c r="K3130" s="6" t="str">
        <f>"558.633,54"</f>
        <v>558.633,54</v>
      </c>
      <c r="L3130" s="6" t="str">
        <f>"139.658,39"</f>
        <v>139.658,39</v>
      </c>
      <c r="M3130" s="6" t="str">
        <f>"698.291,93"</f>
        <v>698.291,93</v>
      </c>
      <c r="N3130" s="5">
        <v>43651</v>
      </c>
      <c r="O3130" s="7"/>
      <c r="P3130" s="6" t="str">
        <f>"694.800,46"</f>
        <v>694.800,46</v>
      </c>
      <c r="Q3130" s="7"/>
      <c r="R3130" s="1"/>
      <c r="S3130" s="1" t="str">
        <f>"N-29/18-1"</f>
        <v>N-29/18-1</v>
      </c>
      <c r="T3130" s="2" t="s">
        <v>33</v>
      </c>
    </row>
    <row r="3131" spans="1:20" ht="25.5" x14ac:dyDescent="0.25">
      <c r="A3131" s="1">
        <v>3127</v>
      </c>
      <c r="B3131" s="1" t="str">
        <f>"2018-1871"</f>
        <v>2018-1871</v>
      </c>
      <c r="C3131" s="2" t="s">
        <v>1876</v>
      </c>
      <c r="D3131" s="1" t="s">
        <v>1322</v>
      </c>
      <c r="E3131" s="3" t="str">
        <f>""</f>
        <v/>
      </c>
      <c r="F3131" s="2" t="s">
        <v>1323</v>
      </c>
      <c r="G3131" s="2" t="str">
        <f>CONCATENATE("GEOEKSPERT D.O.O.,"," BREZOVIČKA CESTA 21,"," 10000 ZAGREB,"," OIB: 29212890252")</f>
        <v>GEOEKSPERT D.O.O., BREZOVIČKA CESTA 21, 10000 ZAGREB, OIB: 29212890252</v>
      </c>
      <c r="H3131" s="4"/>
      <c r="I3131" s="1" t="s">
        <v>1596</v>
      </c>
      <c r="J3131" s="5">
        <v>43722</v>
      </c>
      <c r="K3131" s="6" t="str">
        <f>"60.000,00"</f>
        <v>60.000,00</v>
      </c>
      <c r="L3131" s="6" t="str">
        <f>"15.000,00"</f>
        <v>15.000,00</v>
      </c>
      <c r="M3131" s="6" t="str">
        <f>"75.000,00"</f>
        <v>75.000,00</v>
      </c>
      <c r="N3131" s="1" t="s">
        <v>117</v>
      </c>
      <c r="O3131" s="7"/>
      <c r="P3131" s="6" t="str">
        <f>""</f>
        <v/>
      </c>
      <c r="Q3131" s="7"/>
      <c r="R3131" s="1"/>
      <c r="S3131" s="1" t="str">
        <f>"GZ-1036/2018"</f>
        <v>GZ-1036/2018</v>
      </c>
      <c r="T3131" s="2" t="s">
        <v>29</v>
      </c>
    </row>
    <row r="3132" spans="1:20" ht="25.5" x14ac:dyDescent="0.25">
      <c r="A3132" s="1">
        <v>3128</v>
      </c>
      <c r="B3132" s="1" t="str">
        <f>"2018-2750"</f>
        <v>2018-2750</v>
      </c>
      <c r="C3132" s="2" t="s">
        <v>1499</v>
      </c>
      <c r="D3132" s="1" t="s">
        <v>1500</v>
      </c>
      <c r="E3132" s="3" t="str">
        <f>""</f>
        <v/>
      </c>
      <c r="F3132" s="2" t="s">
        <v>1323</v>
      </c>
      <c r="G3132" s="2" t="str">
        <f>CONCATENATE("COMET D.O.O.,"," VARAŽDINSKA 40/C,"," 42220 NOVI MAROF,"," OIB: 48249084626")</f>
        <v>COMET D.O.O., VARAŽDINSKA 40/C, 42220 NOVI MAROF, OIB: 48249084626</v>
      </c>
      <c r="H3132" s="4"/>
      <c r="I3132" s="1" t="s">
        <v>315</v>
      </c>
      <c r="J3132" s="5">
        <v>43718</v>
      </c>
      <c r="K3132" s="6" t="str">
        <f>"171.889,00"</f>
        <v>171.889,00</v>
      </c>
      <c r="L3132" s="6" t="str">
        <f>"42.972,25"</f>
        <v>42.972,25</v>
      </c>
      <c r="M3132" s="6" t="str">
        <f>"214.861,25"</f>
        <v>214.861,25</v>
      </c>
      <c r="N3132" s="1" t="s">
        <v>117</v>
      </c>
      <c r="O3132" s="7"/>
      <c r="P3132" s="6" t="str">
        <f>""</f>
        <v/>
      </c>
      <c r="Q3132" s="7"/>
      <c r="R3132" s="1"/>
      <c r="S3132" s="1" t="str">
        <f>"GZ-1051/2018"</f>
        <v>GZ-1051/2018</v>
      </c>
      <c r="T3132" s="2" t="s">
        <v>538</v>
      </c>
    </row>
    <row r="3133" spans="1:20" ht="89.25" x14ac:dyDescent="0.25">
      <c r="A3133" s="1">
        <v>3129</v>
      </c>
      <c r="B3133" s="1" t="str">
        <f>"2018-633"</f>
        <v>2018-633</v>
      </c>
      <c r="C3133" s="2" t="s">
        <v>1877</v>
      </c>
      <c r="D3133" s="1" t="s">
        <v>1384</v>
      </c>
      <c r="E3133" s="3" t="str">
        <f>""</f>
        <v/>
      </c>
      <c r="F3133" s="2" t="s">
        <v>1323</v>
      </c>
      <c r="G3133" s="2" t="str">
        <f>CONCATENATE("HIDRO UNA D.O.O.,"," JOSIPA ANIĆA 14,"," 10000 ZAGREB,"," OIB: 60109409627")</f>
        <v>HIDRO UNA D.O.O., JOSIPA ANIĆA 14, 10000 ZAGREB, OIB: 60109409627</v>
      </c>
      <c r="H3133" s="1" t="str">
        <f>CONCATENATE("URED OVLAŠTENOG INŽENJERU GEODEZIJE MARKO BRCKOVIĆ,"," OIB: 28599647174")</f>
        <v>URED OVLAŠTENOG INŽENJERU GEODEZIJE MARKO BRCKOVIĆ, OIB: 28599647174</v>
      </c>
      <c r="I3133" s="1" t="s">
        <v>1878</v>
      </c>
      <c r="J3133" s="5">
        <v>43727</v>
      </c>
      <c r="K3133" s="6" t="str">
        <f>"45.110,00"</f>
        <v>45.110,00</v>
      </c>
      <c r="L3133" s="6" t="str">
        <f>"11.277,50"</f>
        <v>11.277,50</v>
      </c>
      <c r="M3133" s="6" t="str">
        <f>"56.387,50"</f>
        <v>56.387,50</v>
      </c>
      <c r="N3133" s="1" t="s">
        <v>117</v>
      </c>
      <c r="O3133" s="7"/>
      <c r="P3133" s="6" t="str">
        <f>""</f>
        <v/>
      </c>
      <c r="Q3133" s="7"/>
      <c r="R3133" s="1"/>
      <c r="S3133" s="1" t="str">
        <f>"GZ-1092/2018"</f>
        <v>GZ-1092/2018</v>
      </c>
      <c r="T3133" s="2" t="s">
        <v>29</v>
      </c>
    </row>
    <row r="3134" spans="1:20" ht="25.5" x14ac:dyDescent="0.25">
      <c r="A3134" s="1">
        <v>3130</v>
      </c>
      <c r="B3134" s="1" t="str">
        <f>"2018-1812"</f>
        <v>2018-1812</v>
      </c>
      <c r="C3134" s="2" t="s">
        <v>1879</v>
      </c>
      <c r="D3134" s="1" t="s">
        <v>119</v>
      </c>
      <c r="E3134" s="3" t="str">
        <f>""</f>
        <v/>
      </c>
      <c r="F3134" s="2" t="s">
        <v>1323</v>
      </c>
      <c r="G3134" s="2" t="str">
        <f>CONCATENATE("LEO GRAD D.O.O.,"," ZELINSKA 8,"," 10360 LUŽAN,"," OIB: 85068601099")</f>
        <v>LEO GRAD D.O.O., ZELINSKA 8, 10360 LUŽAN, OIB: 85068601099</v>
      </c>
      <c r="H3134" s="4"/>
      <c r="I3134" s="1" t="s">
        <v>500</v>
      </c>
      <c r="J3134" s="5">
        <v>43816</v>
      </c>
      <c r="K3134" s="6" t="str">
        <f>"349.900,00"</f>
        <v>349.900,00</v>
      </c>
      <c r="L3134" s="6" t="str">
        <f>"87.475,00"</f>
        <v>87.475,00</v>
      </c>
      <c r="M3134" s="6" t="str">
        <f>"437.375,00"</f>
        <v>437.375,00</v>
      </c>
      <c r="N3134" s="1" t="s">
        <v>117</v>
      </c>
      <c r="O3134" s="7"/>
      <c r="P3134" s="6" t="str">
        <f>""</f>
        <v/>
      </c>
      <c r="Q3134" s="7"/>
      <c r="R3134" s="1"/>
      <c r="S3134" s="1" t="str">
        <f>"GZ-1402/2018"</f>
        <v>GZ-1402/2018</v>
      </c>
      <c r="T3134" s="2" t="s">
        <v>538</v>
      </c>
    </row>
    <row r="3135" spans="1:20" ht="38.25" x14ac:dyDescent="0.25">
      <c r="A3135" s="1">
        <v>3131</v>
      </c>
      <c r="B3135" s="1" t="str">
        <f>"2018-1138"</f>
        <v>2018-1138</v>
      </c>
      <c r="C3135" s="2" t="s">
        <v>1206</v>
      </c>
      <c r="D3135" s="1" t="s">
        <v>502</v>
      </c>
      <c r="E3135" s="3" t="str">
        <f>""</f>
        <v/>
      </c>
      <c r="F3135" s="2" t="s">
        <v>1323</v>
      </c>
      <c r="G3135" s="2" t="str">
        <f>CONCATENATE("E.G.S.-ELEKTROGRADITELJSTVO D.O.O.,"," ALBERTA FORTISA 10,"," 10090 ZAGREB,"," OIB: 83439900916")</f>
        <v>E.G.S.-ELEKTROGRADITELJSTVO D.O.O., ALBERTA FORTISA 10, 10090 ZAGREB, OIB: 83439900916</v>
      </c>
      <c r="H3135" s="4"/>
      <c r="I3135" s="1" t="s">
        <v>398</v>
      </c>
      <c r="J3135" s="5">
        <v>43827</v>
      </c>
      <c r="K3135" s="6" t="str">
        <f>"93.390,00"</f>
        <v>93.390,00</v>
      </c>
      <c r="L3135" s="6" t="str">
        <f>"23.347,50"</f>
        <v>23.347,50</v>
      </c>
      <c r="M3135" s="6" t="str">
        <f>"116.737,50"</f>
        <v>116.737,50</v>
      </c>
      <c r="N3135" s="1" t="s">
        <v>117</v>
      </c>
      <c r="O3135" s="7"/>
      <c r="P3135" s="6" t="str">
        <f>""</f>
        <v/>
      </c>
      <c r="Q3135" s="7"/>
      <c r="R3135" s="1"/>
      <c r="S3135" s="1" t="str">
        <f>"GZ-1496/2018"</f>
        <v>GZ-1496/2018</v>
      </c>
      <c r="T3135" s="2" t="s">
        <v>29</v>
      </c>
    </row>
    <row r="3136" spans="1:20" ht="38.25" x14ac:dyDescent="0.25">
      <c r="A3136" s="1">
        <v>3132</v>
      </c>
      <c r="B3136" s="1" t="str">
        <f>"2018-3107"</f>
        <v>2018-3107</v>
      </c>
      <c r="C3136" s="2" t="s">
        <v>1880</v>
      </c>
      <c r="D3136" s="1" t="s">
        <v>681</v>
      </c>
      <c r="E3136" s="3" t="str">
        <f>""</f>
        <v/>
      </c>
      <c r="F3136" s="2" t="s">
        <v>1323</v>
      </c>
      <c r="G3136" s="2" t="str">
        <f>CONCATENATE("ELEKTROCENTAR PETEK D.O.O.,"," ETANSKA CESTA 8,"," 10310 IVANIĆ-GRAD,"," OIB: 17491977848")</f>
        <v>ELEKTROCENTAR PETEK D.O.O., ETANSKA CESTA 8, 10310 IVANIĆ-GRAD, OIB: 17491977848</v>
      </c>
      <c r="H3136" s="4"/>
      <c r="I3136" s="1" t="s">
        <v>172</v>
      </c>
      <c r="J3136" s="5">
        <v>43840</v>
      </c>
      <c r="K3136" s="6" t="str">
        <f>"112.082,42"</f>
        <v>112.082,42</v>
      </c>
      <c r="L3136" s="6" t="str">
        <f>"28.020,61"</f>
        <v>28.020,61</v>
      </c>
      <c r="M3136" s="6" t="str">
        <f>"140.103,03"</f>
        <v>140.103,03</v>
      </c>
      <c r="N3136" s="1" t="s">
        <v>117</v>
      </c>
      <c r="O3136" s="7"/>
      <c r="P3136" s="6" t="str">
        <f>""</f>
        <v/>
      </c>
      <c r="Q3136" s="7"/>
      <c r="R3136" s="1"/>
      <c r="S3136" s="1" t="str">
        <f>"GZ-1516/2018"</f>
        <v>GZ-1516/2018</v>
      </c>
      <c r="T3136" s="2" t="s">
        <v>538</v>
      </c>
    </row>
    <row r="3137" spans="1:20" ht="51" x14ac:dyDescent="0.25">
      <c r="A3137" s="1">
        <v>3133</v>
      </c>
      <c r="B3137" s="1" t="str">
        <f>"2018-3099"</f>
        <v>2018-3099</v>
      </c>
      <c r="C3137" s="2" t="s">
        <v>1881</v>
      </c>
      <c r="D3137" s="1" t="s">
        <v>1384</v>
      </c>
      <c r="E3137" s="3" t="str">
        <f>""</f>
        <v/>
      </c>
      <c r="F3137" s="2" t="s">
        <v>1323</v>
      </c>
      <c r="G3137" s="2" t="str">
        <f>CONCATENATE("PROJEKTNI BIRO NAGLIĆ D.O.O.,"," OLIBSKA 17,"," 10000 ZAGREB,"," OIB: 18216105743")</f>
        <v>PROJEKTNI BIRO NAGLIĆ D.O.O., OLIBSKA 17, 10000 ZAGREB, OIB: 18216105743</v>
      </c>
      <c r="H3137" s="1" t="str">
        <f>CONCATENATE("TIM STUDIO D.O.O.,"," OIB: 02466081574")</f>
        <v>TIM STUDIO D.O.O., OIB: 02466081574</v>
      </c>
      <c r="I3137" s="1" t="s">
        <v>1129</v>
      </c>
      <c r="J3137" s="5">
        <v>43847</v>
      </c>
      <c r="K3137" s="6" t="str">
        <f>"74.800,00"</f>
        <v>74.800,00</v>
      </c>
      <c r="L3137" s="6" t="str">
        <f>"18.700,00"</f>
        <v>18.700,00</v>
      </c>
      <c r="M3137" s="6" t="str">
        <f>"93.500,00"</f>
        <v>93.500,00</v>
      </c>
      <c r="N3137" s="1" t="s">
        <v>117</v>
      </c>
      <c r="O3137" s="7"/>
      <c r="P3137" s="6" t="str">
        <f>""</f>
        <v/>
      </c>
      <c r="Q3137" s="7"/>
      <c r="R3137" s="1"/>
      <c r="S3137" s="1" t="str">
        <f>"GZ-1650/2018"</f>
        <v>GZ-1650/2018</v>
      </c>
      <c r="T3137" s="2" t="s">
        <v>33</v>
      </c>
    </row>
    <row r="3138" spans="1:20" ht="25.5" x14ac:dyDescent="0.25">
      <c r="A3138" s="1">
        <v>3134</v>
      </c>
      <c r="B3138" s="1" t="str">
        <f>"2018-1195"</f>
        <v>2018-1195</v>
      </c>
      <c r="C3138" s="2" t="s">
        <v>1882</v>
      </c>
      <c r="D3138" s="1" t="s">
        <v>1195</v>
      </c>
      <c r="E3138" s="3" t="str">
        <f>""</f>
        <v/>
      </c>
      <c r="F3138" s="2" t="s">
        <v>1323</v>
      </c>
      <c r="G3138" s="2" t="str">
        <f>CONCATENATE("M. SOLDO D.O.O.,"," DEBANIĆEVA 39,"," 10090 ZAGREB-SUSEDGRAD,"," OIB: 58353605637")</f>
        <v>M. SOLDO D.O.O., DEBANIĆEVA 39, 10090 ZAGREB-SUSEDGRAD, OIB: 58353605637</v>
      </c>
      <c r="H3138" s="4"/>
      <c r="I3138" s="1" t="s">
        <v>451</v>
      </c>
      <c r="J3138" s="5">
        <v>43853</v>
      </c>
      <c r="K3138" s="6" t="str">
        <f>"278.225,00"</f>
        <v>278.225,00</v>
      </c>
      <c r="L3138" s="6" t="str">
        <f>"69.556,25"</f>
        <v>69.556,25</v>
      </c>
      <c r="M3138" s="6" t="str">
        <f>"347.781,25"</f>
        <v>347.781,25</v>
      </c>
      <c r="N3138" s="1" t="s">
        <v>117</v>
      </c>
      <c r="O3138" s="7"/>
      <c r="P3138" s="6" t="str">
        <f>""</f>
        <v/>
      </c>
      <c r="Q3138" s="7"/>
      <c r="R3138" s="1"/>
      <c r="S3138" s="1" t="str">
        <f>"GZ-1/2019"</f>
        <v>GZ-1/2019</v>
      </c>
      <c r="T3138" s="2" t="s">
        <v>29</v>
      </c>
    </row>
    <row r="3139" spans="1:20" ht="51" x14ac:dyDescent="0.25">
      <c r="A3139" s="1">
        <v>3135</v>
      </c>
      <c r="B3139" s="1" t="str">
        <f>"2018-2987"</f>
        <v>2018-2987</v>
      </c>
      <c r="C3139" s="2" t="s">
        <v>1883</v>
      </c>
      <c r="D3139" s="1" t="s">
        <v>1819</v>
      </c>
      <c r="E3139" s="3" t="str">
        <f>""</f>
        <v/>
      </c>
      <c r="F3139" s="2" t="s">
        <v>1323</v>
      </c>
      <c r="G3139" s="2" t="str">
        <f>CONCATENATE("DELOITTE SAVJETODAVNE USLUGE D.O.O.,"," RADNIČKA CESTA 80,"," 10000 ZAGREB,"," OIB: 69797026382")</f>
        <v>DELOITTE SAVJETODAVNE USLUGE D.O.O., RADNIČKA CESTA 80, 10000 ZAGREB, OIB: 69797026382</v>
      </c>
      <c r="H3139" s="4"/>
      <c r="I3139" s="1" t="s">
        <v>194</v>
      </c>
      <c r="J3139" s="5">
        <v>43875</v>
      </c>
      <c r="K3139" s="6" t="str">
        <f>"139.000,00"</f>
        <v>139.000,00</v>
      </c>
      <c r="L3139" s="6" t="str">
        <f>"34.750,00"</f>
        <v>34.750,00</v>
      </c>
      <c r="M3139" s="6" t="str">
        <f>"173.750,00"</f>
        <v>173.750,00</v>
      </c>
      <c r="N3139" s="1" t="s">
        <v>117</v>
      </c>
      <c r="O3139" s="7"/>
      <c r="P3139" s="6" t="str">
        <f>""</f>
        <v/>
      </c>
      <c r="Q3139" s="7"/>
      <c r="R3139" s="1"/>
      <c r="S3139" s="1" t="str">
        <f>"GZ-110/2019"</f>
        <v>GZ-110/2019</v>
      </c>
      <c r="T3139" s="2" t="s">
        <v>33</v>
      </c>
    </row>
    <row r="3140" spans="1:20" ht="25.5" x14ac:dyDescent="0.25">
      <c r="A3140" s="1">
        <v>3136</v>
      </c>
      <c r="B3140" s="1" t="str">
        <f>"2018-3140"</f>
        <v>2018-3140</v>
      </c>
      <c r="C3140" s="2" t="s">
        <v>1884</v>
      </c>
      <c r="D3140" s="1" t="s">
        <v>119</v>
      </c>
      <c r="E3140" s="3" t="str">
        <f>""</f>
        <v/>
      </c>
      <c r="F3140" s="2" t="s">
        <v>1323</v>
      </c>
      <c r="G3140" s="2" t="str">
        <f>CONCATENATE("CJEVOMONT D.O.O.,"," POSLOVNA ZONA I br.13,"," 44320 KUTINA,"," OIB: 94229229013")</f>
        <v>CJEVOMONT D.O.O., POSLOVNA ZONA I br.13, 44320 KUTINA, OIB: 94229229013</v>
      </c>
      <c r="H3140" s="4"/>
      <c r="I3140" s="1" t="s">
        <v>301</v>
      </c>
      <c r="J3140" s="5">
        <v>43917</v>
      </c>
      <c r="K3140" s="6" t="str">
        <f>"191.591,50"</f>
        <v>191.591,50</v>
      </c>
      <c r="L3140" s="6" t="str">
        <f>"47.897,88"</f>
        <v>47.897,88</v>
      </c>
      <c r="M3140" s="6" t="str">
        <f>"239.489,38"</f>
        <v>239.489,38</v>
      </c>
      <c r="N3140" s="1" t="s">
        <v>117</v>
      </c>
      <c r="O3140" s="7"/>
      <c r="P3140" s="6" t="str">
        <f>""</f>
        <v/>
      </c>
      <c r="Q3140" s="7"/>
      <c r="R3140" s="1"/>
      <c r="S3140" s="1" t="str">
        <f>"GZ-322/2019"</f>
        <v>GZ-322/2019</v>
      </c>
      <c r="T3140" s="2" t="s">
        <v>538</v>
      </c>
    </row>
    <row r="3141" spans="1:20" ht="38.25" x14ac:dyDescent="0.25">
      <c r="A3141" s="1">
        <v>3137</v>
      </c>
      <c r="B3141" s="1" t="str">
        <f>"2019-971"</f>
        <v>2019-971</v>
      </c>
      <c r="C3141" s="2" t="s">
        <v>1885</v>
      </c>
      <c r="D3141" s="1" t="s">
        <v>119</v>
      </c>
      <c r="E3141" s="3" t="str">
        <f>""</f>
        <v/>
      </c>
      <c r="F3141" s="2" t="s">
        <v>1323</v>
      </c>
      <c r="G3141" s="2" t="str">
        <f>CONCATENATE("KINDER GRADNJA OBRT ZA USLUGE,"," VL. IVICA KINDER,"," SELSKA 57,"," 10360 SESVETE,"," OIB: 94563534427")</f>
        <v>KINDER GRADNJA OBRT ZA USLUGE, VL. IVICA KINDER, SELSKA 57, 10360 SESVETE, OIB: 94563534427</v>
      </c>
      <c r="H3141" s="4"/>
      <c r="I3141" s="1" t="s">
        <v>308</v>
      </c>
      <c r="J3141" s="5">
        <v>43922</v>
      </c>
      <c r="K3141" s="6" t="str">
        <f>"498.295,00"</f>
        <v>498.295,00</v>
      </c>
      <c r="L3141" s="6" t="str">
        <f>"124.573,75"</f>
        <v>124.573,75</v>
      </c>
      <c r="M3141" s="6" t="str">
        <f>"622.868,75"</f>
        <v>622.868,75</v>
      </c>
      <c r="N3141" s="1" t="s">
        <v>117</v>
      </c>
      <c r="O3141" s="7"/>
      <c r="P3141" s="6" t="str">
        <f>""</f>
        <v/>
      </c>
      <c r="Q3141" s="7"/>
      <c r="R3141" s="1"/>
      <c r="S3141" s="1" t="str">
        <f>"GZ-374/2019"</f>
        <v>GZ-374/2019</v>
      </c>
      <c r="T3141" s="2" t="s">
        <v>29</v>
      </c>
    </row>
    <row r="3142" spans="1:20" ht="38.25" x14ac:dyDescent="0.25">
      <c r="A3142" s="1">
        <v>3138</v>
      </c>
      <c r="B3142" s="1" t="str">
        <f>"2019-2022"</f>
        <v>2019-2022</v>
      </c>
      <c r="C3142" s="2" t="s">
        <v>1886</v>
      </c>
      <c r="D3142" s="1" t="s">
        <v>119</v>
      </c>
      <c r="E3142" s="3" t="str">
        <f>""</f>
        <v/>
      </c>
      <c r="F3142" s="2" t="s">
        <v>1323</v>
      </c>
      <c r="G3142" s="2" t="str">
        <f>CONCATENATE("AMB GRADNJA D.O.O.,"," PRILAZ BARUNA FILIPOVIĆA 15,"," 10000 ZAGREB,"," OIB: 8527265147")</f>
        <v>AMB GRADNJA D.O.O., PRILAZ BARUNA FILIPOVIĆA 15, 10000 ZAGREB, OIB: 8527265147</v>
      </c>
      <c r="H3142" s="4"/>
      <c r="I3142" s="1" t="s">
        <v>463</v>
      </c>
      <c r="J3142" s="5">
        <v>43915</v>
      </c>
      <c r="K3142" s="6" t="str">
        <f>"498.800,00"</f>
        <v>498.800,00</v>
      </c>
      <c r="L3142" s="6" t="str">
        <f>"124.700,00"</f>
        <v>124.700,00</v>
      </c>
      <c r="M3142" s="6" t="str">
        <f>"623.500,00"</f>
        <v>623.500,00</v>
      </c>
      <c r="N3142" s="1" t="s">
        <v>117</v>
      </c>
      <c r="O3142" s="7"/>
      <c r="P3142" s="6" t="str">
        <f>""</f>
        <v/>
      </c>
      <c r="Q3142" s="7"/>
      <c r="R3142" s="1"/>
      <c r="S3142" s="1" t="str">
        <f>"GZ-375/2019"</f>
        <v>GZ-375/2019</v>
      </c>
      <c r="T3142" s="2" t="s">
        <v>29</v>
      </c>
    </row>
    <row r="3143" spans="1:20" ht="25.5" x14ac:dyDescent="0.25">
      <c r="A3143" s="1">
        <v>3139</v>
      </c>
      <c r="B3143" s="1" t="str">
        <f>"2019-1960"</f>
        <v>2019-1960</v>
      </c>
      <c r="C3143" s="2" t="s">
        <v>1887</v>
      </c>
      <c r="D3143" s="1" t="s">
        <v>119</v>
      </c>
      <c r="E3143" s="3" t="str">
        <f>""</f>
        <v/>
      </c>
      <c r="F3143" s="2" t="s">
        <v>1323</v>
      </c>
      <c r="G3143" s="2" t="str">
        <f>CONCATENATE("GEORAD D.O.O.,"," KORNATSKA 1,"," 10000 ZAGREB,"," OIB: 49756748234")</f>
        <v>GEORAD D.O.O., KORNATSKA 1, 10000 ZAGREB, OIB: 49756748234</v>
      </c>
      <c r="H3143" s="4"/>
      <c r="I3143" s="1" t="s">
        <v>297</v>
      </c>
      <c r="J3143" s="5">
        <v>43912</v>
      </c>
      <c r="K3143" s="6" t="str">
        <f>"498.500,00"</f>
        <v>498.500,00</v>
      </c>
      <c r="L3143" s="6" t="str">
        <f>"124.625,00"</f>
        <v>124.625,00</v>
      </c>
      <c r="M3143" s="6" t="str">
        <f>"623.125,00"</f>
        <v>623.125,00</v>
      </c>
      <c r="N3143" s="1" t="s">
        <v>117</v>
      </c>
      <c r="O3143" s="7"/>
      <c r="P3143" s="6" t="str">
        <f>""</f>
        <v/>
      </c>
      <c r="Q3143" s="7"/>
      <c r="R3143" s="1"/>
      <c r="S3143" s="1" t="str">
        <f>"GZ-376/2019"</f>
        <v>GZ-376/2019</v>
      </c>
      <c r="T3143" s="2" t="s">
        <v>29</v>
      </c>
    </row>
    <row r="3144" spans="1:20" ht="25.5" x14ac:dyDescent="0.25">
      <c r="A3144" s="1">
        <v>3140</v>
      </c>
      <c r="B3144" s="1" t="str">
        <f>"2019-1680"</f>
        <v>2019-1680</v>
      </c>
      <c r="C3144" s="2" t="s">
        <v>1888</v>
      </c>
      <c r="D3144" s="1" t="s">
        <v>119</v>
      </c>
      <c r="E3144" s="3" t="str">
        <f>""</f>
        <v/>
      </c>
      <c r="F3144" s="2" t="s">
        <v>1323</v>
      </c>
      <c r="G3144" s="2" t="str">
        <f>CONCATENATE("NERING D.O.O.,"," LIVADARSKI PUT 24,"," 10360 SESVETE,"," OIB: 85965934616")</f>
        <v>NERING D.O.O., LIVADARSKI PUT 24, 10360 SESVETE, OIB: 85965934616</v>
      </c>
      <c r="H3144" s="4"/>
      <c r="I3144" s="1" t="s">
        <v>301</v>
      </c>
      <c r="J3144" s="5">
        <v>43917</v>
      </c>
      <c r="K3144" s="6" t="str">
        <f>"498.985,00"</f>
        <v>498.985,00</v>
      </c>
      <c r="L3144" s="6" t="str">
        <f>"124.746,25"</f>
        <v>124.746,25</v>
      </c>
      <c r="M3144" s="6" t="str">
        <f>"623.731,25"</f>
        <v>623.731,25</v>
      </c>
      <c r="N3144" s="1" t="s">
        <v>117</v>
      </c>
      <c r="O3144" s="7"/>
      <c r="P3144" s="6" t="str">
        <f>""</f>
        <v/>
      </c>
      <c r="Q3144" s="7"/>
      <c r="R3144" s="1"/>
      <c r="S3144" s="1" t="str">
        <f>"GZ-398/2019"</f>
        <v>GZ-398/2019</v>
      </c>
      <c r="T3144" s="2" t="s">
        <v>29</v>
      </c>
    </row>
    <row r="3145" spans="1:20" ht="38.25" x14ac:dyDescent="0.25">
      <c r="A3145" s="1">
        <v>3141</v>
      </c>
      <c r="B3145" s="1" t="str">
        <f>"2019-855"</f>
        <v>2019-855</v>
      </c>
      <c r="C3145" s="2" t="s">
        <v>1889</v>
      </c>
      <c r="D3145" s="1" t="s">
        <v>119</v>
      </c>
      <c r="E3145" s="3" t="str">
        <f>""</f>
        <v/>
      </c>
      <c r="F3145" s="2" t="s">
        <v>1323</v>
      </c>
      <c r="G3145" s="2" t="str">
        <f>CONCATENATE("BK MONTAŽA D.O.O.,"," MEDARSKA 69,"," 10000 ZAGREB,"," OIB: 80580557122")</f>
        <v>BK MONTAŽA D.O.O., MEDARSKA 69, 10000 ZAGREB, OIB: 80580557122</v>
      </c>
      <c r="H3145" s="4"/>
      <c r="I3145" s="1" t="s">
        <v>44</v>
      </c>
      <c r="J3145" s="5">
        <v>43918</v>
      </c>
      <c r="K3145" s="6" t="str">
        <f>"498.924,00"</f>
        <v>498.924,00</v>
      </c>
      <c r="L3145" s="6" t="str">
        <f>"124.731,00"</f>
        <v>124.731,00</v>
      </c>
      <c r="M3145" s="6" t="str">
        <f>"623.655,00"</f>
        <v>623.655,00</v>
      </c>
      <c r="N3145" s="1" t="s">
        <v>117</v>
      </c>
      <c r="O3145" s="7"/>
      <c r="P3145" s="6" t="str">
        <f>""</f>
        <v/>
      </c>
      <c r="Q3145" s="7"/>
      <c r="R3145" s="1"/>
      <c r="S3145" s="1" t="str">
        <f>"GZ-425/2019"</f>
        <v>GZ-425/2019</v>
      </c>
      <c r="T3145" s="2" t="s">
        <v>29</v>
      </c>
    </row>
    <row r="3146" spans="1:20" ht="38.25" x14ac:dyDescent="0.25">
      <c r="A3146" s="1">
        <v>3142</v>
      </c>
      <c r="B3146" s="1" t="str">
        <f>"2019-2270"</f>
        <v>2019-2270</v>
      </c>
      <c r="C3146" s="2" t="s">
        <v>1890</v>
      </c>
      <c r="D3146" s="1" t="s">
        <v>119</v>
      </c>
      <c r="E3146" s="3" t="str">
        <f>""</f>
        <v/>
      </c>
      <c r="F3146" s="2" t="s">
        <v>1323</v>
      </c>
      <c r="G3146" s="2" t="str">
        <f>CONCATENATE("GUT D.O.O.,"," SISAČKA 37,"," 10000 ZAGREB,"," OIB: 9501710522")</f>
        <v>GUT D.O.O., SISAČKA 37, 10000 ZAGREB, OIB: 9501710522</v>
      </c>
      <c r="H3146" s="4"/>
      <c r="I3146" s="1" t="s">
        <v>220</v>
      </c>
      <c r="J3146" s="5">
        <v>43926</v>
      </c>
      <c r="K3146" s="6" t="str">
        <f>"498.409,00"</f>
        <v>498.409,00</v>
      </c>
      <c r="L3146" s="6" t="str">
        <f>"124.602,25"</f>
        <v>124.602,25</v>
      </c>
      <c r="M3146" s="6" t="str">
        <f>"623.011,25"</f>
        <v>623.011,25</v>
      </c>
      <c r="N3146" s="1" t="s">
        <v>117</v>
      </c>
      <c r="O3146" s="7"/>
      <c r="P3146" s="6" t="str">
        <f>""</f>
        <v/>
      </c>
      <c r="Q3146" s="7"/>
      <c r="R3146" s="1"/>
      <c r="S3146" s="1" t="str">
        <f>"GZ-433/2019"</f>
        <v>GZ-433/2019</v>
      </c>
      <c r="T3146" s="2" t="s">
        <v>29</v>
      </c>
    </row>
    <row r="3147" spans="1:20" ht="38.25" x14ac:dyDescent="0.25">
      <c r="A3147" s="1">
        <v>3143</v>
      </c>
      <c r="B3147" s="1" t="str">
        <f>"2019-2533"</f>
        <v>2019-2533</v>
      </c>
      <c r="C3147" s="2" t="s">
        <v>1891</v>
      </c>
      <c r="D3147" s="1" t="s">
        <v>364</v>
      </c>
      <c r="E3147" s="3" t="str">
        <f>""</f>
        <v/>
      </c>
      <c r="F3147" s="2" t="s">
        <v>1323</v>
      </c>
      <c r="G3147" s="2" t="str">
        <f>CONCATENATE("KINDER GRADNJA OBRT ZA USLUGE,"," VL. IVICA KINDER,"," SELSKA 57,"," 10360 SESVETE,"," OIB: 94563534427")</f>
        <v>KINDER GRADNJA OBRT ZA USLUGE, VL. IVICA KINDER, SELSKA 57, 10360 SESVETE, OIB: 94563534427</v>
      </c>
      <c r="H3147" s="4"/>
      <c r="I3147" s="1" t="s">
        <v>329</v>
      </c>
      <c r="J3147" s="5">
        <v>43939</v>
      </c>
      <c r="K3147" s="6" t="str">
        <f>"498.750,00"</f>
        <v>498.750,00</v>
      </c>
      <c r="L3147" s="6" t="str">
        <f>"124.687,50"</f>
        <v>124.687,50</v>
      </c>
      <c r="M3147" s="6" t="str">
        <f>"623.437,50"</f>
        <v>623.437,50</v>
      </c>
      <c r="N3147" s="1" t="s">
        <v>117</v>
      </c>
      <c r="O3147" s="7"/>
      <c r="P3147" s="6" t="str">
        <f>""</f>
        <v/>
      </c>
      <c r="Q3147" s="7"/>
      <c r="R3147" s="1"/>
      <c r="S3147" s="1" t="str">
        <f>"GZ-488/2019"</f>
        <v>GZ-488/2019</v>
      </c>
      <c r="T3147" s="2" t="s">
        <v>29</v>
      </c>
    </row>
    <row r="3148" spans="1:20" ht="76.5" x14ac:dyDescent="0.25">
      <c r="A3148" s="1">
        <v>3144</v>
      </c>
      <c r="B3148" s="1" t="str">
        <f>"2019-2534"</f>
        <v>2019-2534</v>
      </c>
      <c r="C3148" s="2" t="s">
        <v>1892</v>
      </c>
      <c r="D3148" s="1" t="s">
        <v>364</v>
      </c>
      <c r="E3148" s="3" t="str">
        <f>""</f>
        <v/>
      </c>
      <c r="F3148" s="2" t="s">
        <v>1323</v>
      </c>
      <c r="G3148" s="2" t="str">
        <f>CONCATENATE("KINDER GRADNJA OBRT ZA USLUGE,"," VL. IVICA KINDER,"," SELSKA 57,"," 10360 SESVETE,"," OIB: 94563534427")</f>
        <v>KINDER GRADNJA OBRT ZA USLUGE, VL. IVICA KINDER, SELSKA 57, 10360 SESVETE, OIB: 94563534427</v>
      </c>
      <c r="H3148" s="1" t="str">
        <f>CONCATENATE("KINDER OBRT ZA GRADNJU I USLUGE VL. TOMISLAV KINDER,"," OIB: 36605135183")</f>
        <v>KINDER OBRT ZA GRADNJU I USLUGE VL. TOMISLAV KINDER, OIB: 36605135183</v>
      </c>
      <c r="I3148" s="1" t="s">
        <v>329</v>
      </c>
      <c r="J3148" s="5">
        <v>43939</v>
      </c>
      <c r="K3148" s="6" t="str">
        <f>"498.750,00"</f>
        <v>498.750,00</v>
      </c>
      <c r="L3148" s="6" t="str">
        <f>"124.687,50"</f>
        <v>124.687,50</v>
      </c>
      <c r="M3148" s="6" t="str">
        <f>"623.437,50"</f>
        <v>623.437,50</v>
      </c>
      <c r="N3148" s="1" t="s">
        <v>117</v>
      </c>
      <c r="O3148" s="7"/>
      <c r="P3148" s="6" t="str">
        <f>""</f>
        <v/>
      </c>
      <c r="Q3148" s="7"/>
      <c r="R3148" s="1"/>
      <c r="S3148" s="1" t="str">
        <f>"GZ-510/2019"</f>
        <v>GZ-510/2019</v>
      </c>
      <c r="T3148" s="2" t="s">
        <v>29</v>
      </c>
    </row>
    <row r="3149" spans="1:20" ht="38.25" x14ac:dyDescent="0.25">
      <c r="A3149" s="1">
        <v>3145</v>
      </c>
      <c r="B3149" s="1" t="str">
        <f>"2019-2372"</f>
        <v>2019-2372</v>
      </c>
      <c r="C3149" s="2" t="s">
        <v>1893</v>
      </c>
      <c r="D3149" s="1" t="s">
        <v>1026</v>
      </c>
      <c r="E3149" s="3" t="str">
        <f>""</f>
        <v/>
      </c>
      <c r="F3149" s="2" t="s">
        <v>1323</v>
      </c>
      <c r="G3149" s="2" t="str">
        <f>CONCATENATE("THYSSENKRUPP DIZALA D.O.O.,"," FALLEROVO ŠETALIŠTE 22,"," 10000 ZAGREB,"," OIB: 03861531654")</f>
        <v>THYSSENKRUPP DIZALA D.O.O., FALLEROVO ŠETALIŠTE 22, 10000 ZAGREB, OIB: 03861531654</v>
      </c>
      <c r="H3149" s="4"/>
      <c r="I3149" s="1" t="s">
        <v>329</v>
      </c>
      <c r="J3149" s="5">
        <v>43939</v>
      </c>
      <c r="K3149" s="6" t="str">
        <f>"69.372,00"</f>
        <v>69.372,00</v>
      </c>
      <c r="L3149" s="6" t="str">
        <f>"17.343,00"</f>
        <v>17.343,00</v>
      </c>
      <c r="M3149" s="6" t="str">
        <f>"86.715,00"</f>
        <v>86.715,00</v>
      </c>
      <c r="N3149" s="5">
        <v>43637</v>
      </c>
      <c r="O3149" s="7"/>
      <c r="P3149" s="6" t="str">
        <f>"25.234,38"</f>
        <v>25.234,38</v>
      </c>
      <c r="Q3149" s="7"/>
      <c r="R3149" s="1"/>
      <c r="S3149" s="1" t="str">
        <f>"GZ-519/2019"</f>
        <v>GZ-519/2019</v>
      </c>
      <c r="T3149" s="2" t="s">
        <v>65</v>
      </c>
    </row>
    <row r="3150" spans="1:20" ht="38.25" x14ac:dyDescent="0.25">
      <c r="A3150" s="1">
        <v>3146</v>
      </c>
      <c r="B3150" s="1" t="str">
        <f>"2019-2463"</f>
        <v>2019-2463</v>
      </c>
      <c r="C3150" s="2" t="s">
        <v>1894</v>
      </c>
      <c r="D3150" s="1" t="s">
        <v>359</v>
      </c>
      <c r="E3150" s="3" t="str">
        <f>""</f>
        <v/>
      </c>
      <c r="F3150" s="2" t="s">
        <v>1323</v>
      </c>
      <c r="G3150" s="2" t="str">
        <f>CONCATENATE("HVAR D.O.O.,"," NIKOLE ŠUBIĆA ZRINSKOG 16/A,"," 10430 SAMOBOR,"," OIB: 5671017787")</f>
        <v>HVAR D.O.O., NIKOLE ŠUBIĆA ZRINSKOG 16/A, 10430 SAMOBOR, OIB: 5671017787</v>
      </c>
      <c r="H3150" s="4"/>
      <c r="I3150" s="1" t="s">
        <v>641</v>
      </c>
      <c r="J3150" s="5">
        <v>43965</v>
      </c>
      <c r="K3150" s="6" t="str">
        <f>"106.400,00"</f>
        <v>106.400,00</v>
      </c>
      <c r="L3150" s="6" t="str">
        <f>"26.600,00"</f>
        <v>26.600,00</v>
      </c>
      <c r="M3150" s="6" t="str">
        <f>"133.000,00"</f>
        <v>133.000,00</v>
      </c>
      <c r="N3150" s="1" t="s">
        <v>117</v>
      </c>
      <c r="O3150" s="7"/>
      <c r="P3150" s="6" t="str">
        <f>""</f>
        <v/>
      </c>
      <c r="Q3150" s="7"/>
      <c r="R3150" s="1"/>
      <c r="S3150" s="1" t="str">
        <f>"GZ-528/2019"</f>
        <v>GZ-528/2019</v>
      </c>
      <c r="T3150" s="2" t="s">
        <v>29</v>
      </c>
    </row>
    <row r="3151" spans="1:20" ht="38.25" x14ac:dyDescent="0.25">
      <c r="A3151" s="1">
        <v>3147</v>
      </c>
      <c r="B3151" s="1" t="str">
        <f>"2019-255"</f>
        <v>2019-255</v>
      </c>
      <c r="C3151" s="2" t="s">
        <v>1895</v>
      </c>
      <c r="D3151" s="1" t="s">
        <v>119</v>
      </c>
      <c r="E3151" s="3" t="str">
        <f>""</f>
        <v/>
      </c>
      <c r="F3151" s="2" t="s">
        <v>1323</v>
      </c>
      <c r="G3151" s="2" t="str">
        <f>CONCATENATE("AMB GRADNJA D.O.O.,"," PRILAZ BARUNA FILIPOVIĆA 15,"," 10000 ZAGREB,"," OIB: 8527265147")</f>
        <v>AMB GRADNJA D.O.O., PRILAZ BARUNA FILIPOVIĆA 15, 10000 ZAGREB, OIB: 8527265147</v>
      </c>
      <c r="H3151" s="4"/>
      <c r="I3151" s="1" t="s">
        <v>590</v>
      </c>
      <c r="J3151" s="5">
        <v>43964</v>
      </c>
      <c r="K3151" s="6" t="str">
        <f>"423.950,00"</f>
        <v>423.950,00</v>
      </c>
      <c r="L3151" s="6" t="str">
        <f>"105.987,50"</f>
        <v>105.987,50</v>
      </c>
      <c r="M3151" s="6" t="str">
        <f>"529.937,50"</f>
        <v>529.937,50</v>
      </c>
      <c r="N3151" s="1" t="s">
        <v>117</v>
      </c>
      <c r="O3151" s="7"/>
      <c r="P3151" s="6" t="str">
        <f>""</f>
        <v/>
      </c>
      <c r="Q3151" s="7"/>
      <c r="R3151" s="1"/>
      <c r="S3151" s="1" t="str">
        <f>"GZ-554/2019"</f>
        <v>GZ-554/2019</v>
      </c>
      <c r="T3151" s="2" t="s">
        <v>29</v>
      </c>
    </row>
    <row r="3152" spans="1:20" ht="51" x14ac:dyDescent="0.25">
      <c r="A3152" s="1">
        <v>3148</v>
      </c>
      <c r="B3152" s="1" t="str">
        <f>"2019-1323"</f>
        <v>2019-1323</v>
      </c>
      <c r="C3152" s="2" t="s">
        <v>1896</v>
      </c>
      <c r="D3152" s="1" t="s">
        <v>786</v>
      </c>
      <c r="E3152" s="3" t="str">
        <f>""</f>
        <v/>
      </c>
      <c r="F3152" s="2" t="s">
        <v>1323</v>
      </c>
      <c r="G3152" s="2" t="str">
        <f>CONCATENATE("GTM D.O.O.,"," JURAJA HABDELIĆA 14,"," 10410 VELIKA GORICA,"," OIB: 42349541784")</f>
        <v>GTM D.O.O., JURAJA HABDELIĆA 14, 10410 VELIKA GORICA, OIB: 42349541784</v>
      </c>
      <c r="H3152" s="4"/>
      <c r="I3152" s="1" t="s">
        <v>320</v>
      </c>
      <c r="J3152" s="5">
        <v>43985</v>
      </c>
      <c r="K3152" s="6" t="str">
        <f>"170.300,00"</f>
        <v>170.300,00</v>
      </c>
      <c r="L3152" s="6" t="str">
        <f>"42.575,00"</f>
        <v>42.575,00</v>
      </c>
      <c r="M3152" s="6" t="str">
        <f>"212.875,00"</f>
        <v>212.875,00</v>
      </c>
      <c r="N3152" s="1" t="s">
        <v>117</v>
      </c>
      <c r="O3152" s="7"/>
      <c r="P3152" s="6" t="str">
        <f>""</f>
        <v/>
      </c>
      <c r="Q3152" s="7"/>
      <c r="R3152" s="1"/>
      <c r="S3152" s="1" t="str">
        <f>"GZ-608/2019"</f>
        <v>GZ-608/2019</v>
      </c>
      <c r="T3152" s="2" t="s">
        <v>29</v>
      </c>
    </row>
    <row r="3153" spans="1:20" ht="153" x14ac:dyDescent="0.25">
      <c r="A3153" s="1">
        <v>3149</v>
      </c>
      <c r="B3153" s="1" t="str">
        <f>"2019-2540"</f>
        <v>2019-2540</v>
      </c>
      <c r="C3153" s="2" t="s">
        <v>1897</v>
      </c>
      <c r="D3153" s="1" t="s">
        <v>119</v>
      </c>
      <c r="E3153" s="3" t="str">
        <f>""</f>
        <v/>
      </c>
      <c r="F3153" s="2" t="s">
        <v>1323</v>
      </c>
      <c r="G3153" s="2" t="str">
        <f>CONCATENATE("KINDER OBRT ZA GRADNJU I USLUGE VL. TOMISLAV KINDER,"," VINKA KINDERA 10,"," 10361 SESVETE-KRALJEVEC,"," OIB: 36605135183")</f>
        <v>KINDER OBRT ZA GRADNJU I USLUGE VL. TOMISLAV KINDER, VINKA KINDERA 10, 10361 SESVETE-KRALJEVEC, OIB: 36605135183</v>
      </c>
      <c r="H3153" s="1" t="str">
        <f>CONCATENATE("KINDER GRADNJA OBRT ZA USLUGE,"," VL. IVICA KINDER,"," OIB: 94563534427",CHAR(10),"ENERGOATEST D.O.O.,"," OIB: 63759424811",CHAR(10),"M G V D.O.O.,"," OIB: 72602155595")</f>
        <v>KINDER GRADNJA OBRT ZA USLUGE, VL. IVICA KINDER, OIB: 94563534427
ENERGOATEST D.O.O., OIB: 63759424811
M G V D.O.O., OIB: 72602155595</v>
      </c>
      <c r="I3153" s="1" t="s">
        <v>320</v>
      </c>
      <c r="J3153" s="5">
        <v>43985</v>
      </c>
      <c r="K3153" s="6" t="str">
        <f>"241.161,50"</f>
        <v>241.161,50</v>
      </c>
      <c r="L3153" s="6" t="str">
        <f>"60.290,38"</f>
        <v>60.290,38</v>
      </c>
      <c r="M3153" s="6" t="str">
        <f>"301.451,88"</f>
        <v>301.451,88</v>
      </c>
      <c r="N3153" s="1" t="s">
        <v>117</v>
      </c>
      <c r="O3153" s="7"/>
      <c r="P3153" s="6" t="str">
        <f>""</f>
        <v/>
      </c>
      <c r="Q3153" s="7"/>
      <c r="R3153" s="1"/>
      <c r="S3153" s="1" t="str">
        <f>"GZ-665/2019"</f>
        <v>GZ-665/2019</v>
      </c>
      <c r="T3153" s="2" t="s">
        <v>538</v>
      </c>
    </row>
    <row r="3154" spans="1:20" ht="25.5" x14ac:dyDescent="0.25">
      <c r="A3154" s="1">
        <v>3150</v>
      </c>
      <c r="B3154" s="1" t="str">
        <f>"2019-228"</f>
        <v>2019-228</v>
      </c>
      <c r="C3154" s="2" t="s">
        <v>1898</v>
      </c>
      <c r="D3154" s="1" t="s">
        <v>1579</v>
      </c>
      <c r="E3154" s="3" t="str">
        <f>""</f>
        <v/>
      </c>
      <c r="F3154" s="2" t="s">
        <v>1323</v>
      </c>
      <c r="G3154" s="2" t="str">
        <f>CONCATENATE("HENNLICH D.O.O.,"," STUPNIČKOOBREŠKA 17,"," 10255 GORNJI STUPNIK,"," OIB: 44725135398")</f>
        <v>HENNLICH D.O.O., STUPNIČKOOBREŠKA 17, 10255 GORNJI STUPNIK, OIB: 44725135398</v>
      </c>
      <c r="H3154" s="4"/>
      <c r="I3154" s="1" t="s">
        <v>930</v>
      </c>
      <c r="J3154" s="5">
        <v>44003</v>
      </c>
      <c r="K3154" s="6" t="str">
        <f>"115.850,00"</f>
        <v>115.850,00</v>
      </c>
      <c r="L3154" s="6" t="str">
        <f>"28.962,50"</f>
        <v>28.962,50</v>
      </c>
      <c r="M3154" s="6" t="str">
        <f>"144.812,50"</f>
        <v>144.812,50</v>
      </c>
      <c r="N3154" s="1" t="s">
        <v>117</v>
      </c>
      <c r="O3154" s="7"/>
      <c r="P3154" s="6" t="str">
        <f>""</f>
        <v/>
      </c>
      <c r="Q3154" s="7"/>
      <c r="R3154" s="1"/>
      <c r="S3154" s="1" t="str">
        <f>"GZ-675/2019"</f>
        <v>GZ-675/2019</v>
      </c>
      <c r="T3154" s="2" t="s">
        <v>29</v>
      </c>
    </row>
    <row r="3155" spans="1:20" ht="63.75" x14ac:dyDescent="0.25">
      <c r="A3155" s="1">
        <v>3151</v>
      </c>
      <c r="B3155" s="1" t="str">
        <f>"2019-1282"</f>
        <v>2019-1282</v>
      </c>
      <c r="C3155" s="2" t="s">
        <v>1899</v>
      </c>
      <c r="D3155" s="1" t="s">
        <v>1384</v>
      </c>
      <c r="E3155" s="3" t="str">
        <f>""</f>
        <v/>
      </c>
      <c r="F3155" s="2" t="s">
        <v>1323</v>
      </c>
      <c r="G3155" s="2" t="str">
        <f>CONCATENATE("HIDRO UNA D.O.O.,"," JOSIPA ANIĆA 14,"," 10000 ZAGREB,"," OIB: 60109409627")</f>
        <v>HIDRO UNA D.O.O., JOSIPA ANIĆA 14, 10000 ZAGREB, OIB: 60109409627</v>
      </c>
      <c r="H3155" s="4"/>
      <c r="I3155" s="1" t="s">
        <v>639</v>
      </c>
      <c r="J3155" s="5">
        <v>43986</v>
      </c>
      <c r="K3155" s="6" t="str">
        <f>"32.750,00"</f>
        <v>32.750,00</v>
      </c>
      <c r="L3155" s="6" t="str">
        <f>"8.187,50"</f>
        <v>8.187,50</v>
      </c>
      <c r="M3155" s="6" t="str">
        <f>"40.937,50"</f>
        <v>40.937,50</v>
      </c>
      <c r="N3155" s="1" t="s">
        <v>117</v>
      </c>
      <c r="O3155" s="7"/>
      <c r="P3155" s="6" t="str">
        <f>""</f>
        <v/>
      </c>
      <c r="Q3155" s="7"/>
      <c r="R3155" s="1"/>
      <c r="S3155" s="1" t="str">
        <f>"GZ-677/2019"</f>
        <v>GZ-677/2019</v>
      </c>
      <c r="T3155" s="2" t="s">
        <v>29</v>
      </c>
    </row>
    <row r="3156" spans="1:20" ht="25.5" x14ac:dyDescent="0.25">
      <c r="A3156" s="1">
        <v>3152</v>
      </c>
      <c r="B3156" s="1" t="str">
        <f>"2019-884"</f>
        <v>2019-884</v>
      </c>
      <c r="C3156" s="2" t="s">
        <v>1900</v>
      </c>
      <c r="D3156" s="1" t="s">
        <v>1901</v>
      </c>
      <c r="E3156" s="3" t="str">
        <f>""</f>
        <v/>
      </c>
      <c r="F3156" s="2" t="s">
        <v>1323</v>
      </c>
      <c r="G3156" s="2" t="str">
        <f>CONCATENATE("LOVE CARPE DIEM D.O.O.,"," OIB: 01291821944")</f>
        <v>LOVE CARPE DIEM D.O.O., OIB: 01291821944</v>
      </c>
      <c r="H3156" s="4"/>
      <c r="I3156" s="1" t="s">
        <v>440</v>
      </c>
      <c r="J3156" s="5">
        <v>44001</v>
      </c>
      <c r="K3156" s="6" t="str">
        <f>"95.000,00"</f>
        <v>95.000,00</v>
      </c>
      <c r="L3156" s="6" t="str">
        <f>"23.750,00"</f>
        <v>23.750,00</v>
      </c>
      <c r="M3156" s="6" t="str">
        <f>"118.750,00"</f>
        <v>118.750,00</v>
      </c>
      <c r="N3156" s="1" t="s">
        <v>117</v>
      </c>
      <c r="O3156" s="7"/>
      <c r="P3156" s="6" t="str">
        <f>""</f>
        <v/>
      </c>
      <c r="Q3156" s="7"/>
      <c r="R3156" s="1"/>
      <c r="S3156" s="1" t="str">
        <f>"GZ-725/2019"</f>
        <v>GZ-725/2019</v>
      </c>
      <c r="T3156" s="2" t="s">
        <v>33</v>
      </c>
    </row>
    <row r="3157" spans="1:20" ht="25.5" x14ac:dyDescent="0.25">
      <c r="A3157" s="1">
        <v>3153</v>
      </c>
      <c r="B3157" s="1" t="str">
        <f>"2019-883"</f>
        <v>2019-883</v>
      </c>
      <c r="C3157" s="2" t="s">
        <v>1902</v>
      </c>
      <c r="D3157" s="1" t="s">
        <v>1903</v>
      </c>
      <c r="E3157" s="3" t="str">
        <f>""</f>
        <v/>
      </c>
      <c r="F3157" s="2" t="s">
        <v>1323</v>
      </c>
      <c r="G3157" s="2" t="str">
        <f>CONCATENATE("NEMO-ADRIA D.O.O.,"," OKIĆKA 36,"," 10436 RAKOV POTOK,"," OIB: 80528785622")</f>
        <v>NEMO-ADRIA D.O.O., OKIĆKA 36, 10436 RAKOV POTOK, OIB: 80528785622</v>
      </c>
      <c r="H3157" s="4"/>
      <c r="I3157" s="1" t="s">
        <v>628</v>
      </c>
      <c r="J3157" s="5">
        <v>43992</v>
      </c>
      <c r="K3157" s="6" t="str">
        <f>"198.485,00"</f>
        <v>198.485,00</v>
      </c>
      <c r="L3157" s="6" t="str">
        <f>"49.621,25"</f>
        <v>49.621,25</v>
      </c>
      <c r="M3157" s="6" t="str">
        <f>"248.106,25"</f>
        <v>248.106,25</v>
      </c>
      <c r="N3157" s="5">
        <v>43656</v>
      </c>
      <c r="O3157" s="7"/>
      <c r="P3157" s="6" t="str">
        <f>"141.775,00"</f>
        <v>141.775,00</v>
      </c>
      <c r="Q3157" s="7"/>
      <c r="R3157" s="1"/>
      <c r="S3157" s="1" t="str">
        <f>"GZ-727/2019"</f>
        <v>GZ-727/2019</v>
      </c>
      <c r="T3157" s="2" t="s">
        <v>33</v>
      </c>
    </row>
    <row r="3158" spans="1:20" ht="38.25" x14ac:dyDescent="0.25">
      <c r="A3158" s="1">
        <v>3154</v>
      </c>
      <c r="B3158" s="1" t="str">
        <f>"2017-2095"</f>
        <v>2017-2095</v>
      </c>
      <c r="C3158" s="2" t="s">
        <v>1904</v>
      </c>
      <c r="D3158" s="1" t="s">
        <v>1905</v>
      </c>
      <c r="E3158" s="3" t="str">
        <f>""</f>
        <v/>
      </c>
      <c r="F3158" s="2" t="s">
        <v>1323</v>
      </c>
      <c r="G3158" s="2" t="str">
        <f>CONCATENATE("TUV CROATIA D.O.O.,"," OIB: 64520989853")</f>
        <v>TUV CROATIA D.O.O., OIB: 64520989853</v>
      </c>
      <c r="H3158" s="4"/>
      <c r="I3158" s="1" t="s">
        <v>1906</v>
      </c>
      <c r="J3158" s="5">
        <v>43975</v>
      </c>
      <c r="K3158" s="6" t="str">
        <f>"50.000,00"</f>
        <v>50.000,00</v>
      </c>
      <c r="L3158" s="6" t="str">
        <f>"12.500,00"</f>
        <v>12.500,00</v>
      </c>
      <c r="M3158" s="6" t="str">
        <f>"62.500,00"</f>
        <v>62.500,00</v>
      </c>
      <c r="N3158" s="1" t="s">
        <v>117</v>
      </c>
      <c r="O3158" s="7"/>
      <c r="P3158" s="6" t="str">
        <f>""</f>
        <v/>
      </c>
      <c r="Q3158" s="7"/>
      <c r="R3158" s="1"/>
      <c r="S3158" s="1" t="str">
        <f>"J-N-760/17"</f>
        <v>J-N-760/17</v>
      </c>
      <c r="T3158" s="2" t="s">
        <v>29</v>
      </c>
    </row>
    <row r="3159" spans="1:20" ht="114.75" x14ac:dyDescent="0.25">
      <c r="A3159" s="1">
        <v>3155</v>
      </c>
      <c r="B3159" s="1" t="str">
        <f>"2017-136"</f>
        <v>2017-136</v>
      </c>
      <c r="C3159" s="2" t="s">
        <v>1907</v>
      </c>
      <c r="D3159" s="1" t="s">
        <v>625</v>
      </c>
      <c r="E3159" s="3" t="str">
        <f>""</f>
        <v/>
      </c>
      <c r="F3159" s="2" t="s">
        <v>1323</v>
      </c>
      <c r="G3159" s="2" t="str">
        <f>CONCATENATE("ZIK D.O.O.,"," LJUDEVITA GAJA 17/III,"," 10000 ZAGREB,"," OIB: 74121470605")</f>
        <v>ZIK D.O.O., LJUDEVITA GAJA 17/III, 10000 ZAGREB, OIB: 74121470605</v>
      </c>
      <c r="H3159" s="4"/>
      <c r="I3159" s="1" t="s">
        <v>1908</v>
      </c>
      <c r="J3159" s="5">
        <v>43649</v>
      </c>
      <c r="K3159" s="6" t="str">
        <f>"128.000,00"</f>
        <v>128.000,00</v>
      </c>
      <c r="L3159" s="6" t="str">
        <f>"32.000,00"</f>
        <v>32.000,00</v>
      </c>
      <c r="M3159" s="6" t="str">
        <f>"160.000,00"</f>
        <v>160.000,00</v>
      </c>
      <c r="N3159" s="1" t="s">
        <v>117</v>
      </c>
      <c r="O3159" s="7"/>
      <c r="P3159" s="6" t="str">
        <f>""</f>
        <v/>
      </c>
      <c r="Q3159" s="7"/>
      <c r="R3159" s="1"/>
      <c r="S3159" s="1" t="str">
        <f>"J-N-1061/17"</f>
        <v>J-N-1061/17</v>
      </c>
      <c r="T3159" s="2" t="s">
        <v>29</v>
      </c>
    </row>
    <row r="3160" spans="1:20" ht="38.25" x14ac:dyDescent="0.25">
      <c r="A3160" s="1">
        <v>3156</v>
      </c>
      <c r="B3160" s="1" t="str">
        <f>"2017-272"</f>
        <v>2017-272</v>
      </c>
      <c r="C3160" s="2" t="s">
        <v>1909</v>
      </c>
      <c r="D3160" s="1" t="s">
        <v>1325</v>
      </c>
      <c r="E3160" s="3" t="str">
        <f>""</f>
        <v/>
      </c>
      <c r="F3160" s="2" t="s">
        <v>1323</v>
      </c>
      <c r="G3160" s="2" t="str">
        <f>CONCATENATE("KOPIMA D.O.O.,"," VRBIK 8B,"," 10000 ZAGREB,"," OIB: 04662252043")</f>
        <v>KOPIMA D.O.O., VRBIK 8B, 10000 ZAGREB, OIB: 04662252043</v>
      </c>
      <c r="H3160" s="4"/>
      <c r="I3160" s="1" t="s">
        <v>541</v>
      </c>
      <c r="J3160" s="5">
        <v>43347</v>
      </c>
      <c r="K3160" s="6" t="str">
        <f>"44.800,00"</f>
        <v>44.800,00</v>
      </c>
      <c r="L3160" s="6" t="str">
        <f>"11.200,00"</f>
        <v>11.200,00</v>
      </c>
      <c r="M3160" s="6" t="str">
        <f>"56.000,00"</f>
        <v>56.000,00</v>
      </c>
      <c r="N3160" s="1" t="s">
        <v>117</v>
      </c>
      <c r="O3160" s="7"/>
      <c r="P3160" s="6" t="str">
        <f>""</f>
        <v/>
      </c>
      <c r="Q3160" s="7"/>
      <c r="R3160" s="1"/>
      <c r="S3160" s="1" t="str">
        <f>"J-N-1557/17"</f>
        <v>J-N-1557/17</v>
      </c>
      <c r="T3160" s="2" t="s">
        <v>29</v>
      </c>
    </row>
    <row r="3161" spans="1:20" ht="38.25" x14ac:dyDescent="0.25">
      <c r="A3161" s="1">
        <v>3157</v>
      </c>
      <c r="B3161" s="1" t="str">
        <f>"2017-272"</f>
        <v>2017-272</v>
      </c>
      <c r="C3161" s="2" t="s">
        <v>1909</v>
      </c>
      <c r="D3161" s="1" t="s">
        <v>1325</v>
      </c>
      <c r="E3161" s="3" t="str">
        <f>""</f>
        <v/>
      </c>
      <c r="F3161" s="2" t="s">
        <v>1372</v>
      </c>
      <c r="G3161" s="2" t="str">
        <f>CONCATENATE("KOPIMA D.O.O.,"," VRBIK 8B,"," 10000 ZAGREB,"," OIB: 04662252043")</f>
        <v>KOPIMA D.O.O., VRBIK 8B, 10000 ZAGREB, OIB: 04662252043</v>
      </c>
      <c r="H3161" s="4"/>
      <c r="I3161" s="1" t="s">
        <v>139</v>
      </c>
      <c r="J3161" s="5">
        <v>43458</v>
      </c>
      <c r="K3161" s="6" t="str">
        <f>""</f>
        <v/>
      </c>
      <c r="L3161" s="6" t="str">
        <f>"0,00"</f>
        <v>0,00</v>
      </c>
      <c r="M3161" s="6" t="str">
        <f>"0,00"</f>
        <v>0,00</v>
      </c>
      <c r="N3161" s="1" t="s">
        <v>117</v>
      </c>
      <c r="O3161" s="7"/>
      <c r="P3161" s="6" t="str">
        <f>""</f>
        <v/>
      </c>
      <c r="Q3161" s="7"/>
      <c r="R3161" s="1"/>
      <c r="S3161" s="1" t="str">
        <f>"J-N-1557/17-1"</f>
        <v>J-N-1557/17-1</v>
      </c>
      <c r="T3161" s="2" t="s">
        <v>29</v>
      </c>
    </row>
    <row r="3162" spans="1:20" ht="38.25" x14ac:dyDescent="0.25">
      <c r="A3162" s="1">
        <v>3158</v>
      </c>
      <c r="B3162" s="1" t="str">
        <f>"2017-272"</f>
        <v>2017-272</v>
      </c>
      <c r="C3162" s="2" t="s">
        <v>1909</v>
      </c>
      <c r="D3162" s="1" t="s">
        <v>1325</v>
      </c>
      <c r="E3162" s="3" t="str">
        <f>""</f>
        <v/>
      </c>
      <c r="F3162" s="2" t="s">
        <v>1372</v>
      </c>
      <c r="G3162" s="2" t="str">
        <f>CONCATENATE("KOPIMA D.O.O.,"," VRBIK 8B,"," 10000 ZAGREB,"," OIB: 04662252043")</f>
        <v>KOPIMA D.O.O., VRBIK 8B, 10000 ZAGREB, OIB: 04662252043</v>
      </c>
      <c r="H3162" s="4"/>
      <c r="I3162" s="1" t="s">
        <v>1144</v>
      </c>
      <c r="J3162" s="5">
        <v>43555</v>
      </c>
      <c r="K3162" s="6" t="str">
        <f>""</f>
        <v/>
      </c>
      <c r="L3162" s="6" t="str">
        <f>"0,00"</f>
        <v>0,00</v>
      </c>
      <c r="M3162" s="6" t="str">
        <f>"0,00"</f>
        <v>0,00</v>
      </c>
      <c r="N3162" s="1" t="s">
        <v>117</v>
      </c>
      <c r="O3162" s="7"/>
      <c r="P3162" s="6" t="str">
        <f>""</f>
        <v/>
      </c>
      <c r="Q3162" s="7"/>
      <c r="R3162" s="1"/>
      <c r="S3162" s="1" t="str">
        <f>"J-N-1557/17-2"</f>
        <v>J-N-1557/17-2</v>
      </c>
      <c r="T3162" s="2" t="s">
        <v>29</v>
      </c>
    </row>
    <row r="3163" spans="1:20" ht="51" x14ac:dyDescent="0.25">
      <c r="A3163" s="1">
        <v>3159</v>
      </c>
      <c r="B3163" s="1" t="str">
        <f>"2017-274"</f>
        <v>2017-274</v>
      </c>
      <c r="C3163" s="2" t="s">
        <v>1910</v>
      </c>
      <c r="D3163" s="1" t="s">
        <v>1325</v>
      </c>
      <c r="E3163" s="3" t="str">
        <f>""</f>
        <v/>
      </c>
      <c r="F3163" s="2" t="s">
        <v>1323</v>
      </c>
      <c r="G3163" s="2" t="str">
        <f>CONCATENATE("KOPIMA D.O.O.,"," VRBIK 8B,"," 10000 ZAGREB,"," OIB: 04662252043")</f>
        <v>KOPIMA D.O.O., VRBIK 8B, 10000 ZAGREB, OIB: 04662252043</v>
      </c>
      <c r="H3163" s="4"/>
      <c r="I3163" s="1" t="s">
        <v>583</v>
      </c>
      <c r="J3163" s="5">
        <v>43355</v>
      </c>
      <c r="K3163" s="6" t="str">
        <f>"42.800,00"</f>
        <v>42.800,00</v>
      </c>
      <c r="L3163" s="6" t="str">
        <f>"10.700,00"</f>
        <v>10.700,00</v>
      </c>
      <c r="M3163" s="6" t="str">
        <f>"53.500,00"</f>
        <v>53.500,00</v>
      </c>
      <c r="N3163" s="1" t="s">
        <v>117</v>
      </c>
      <c r="O3163" s="7"/>
      <c r="P3163" s="6" t="str">
        <f>""</f>
        <v/>
      </c>
      <c r="Q3163" s="7"/>
      <c r="R3163" s="1"/>
      <c r="S3163" s="1" t="str">
        <f>"J-N-1613/17"</f>
        <v>J-N-1613/17</v>
      </c>
      <c r="T3163" s="2" t="s">
        <v>29</v>
      </c>
    </row>
    <row r="3164" spans="1:20" ht="51" x14ac:dyDescent="0.25">
      <c r="A3164" s="1">
        <v>3160</v>
      </c>
      <c r="B3164" s="1" t="str">
        <f>"2017-274"</f>
        <v>2017-274</v>
      </c>
      <c r="C3164" s="2" t="s">
        <v>1910</v>
      </c>
      <c r="D3164" s="1" t="s">
        <v>1325</v>
      </c>
      <c r="E3164" s="3" t="str">
        <f>""</f>
        <v/>
      </c>
      <c r="F3164" s="2" t="s">
        <v>1372</v>
      </c>
      <c r="G3164" s="2" t="str">
        <f>CONCATENATE("KOPIMA D.O.O.,"," VRBIK 8B,"," 10000 ZAGREB,"," OIB: 04662252043")</f>
        <v>KOPIMA D.O.O., VRBIK 8B, 10000 ZAGREB, OIB: 04662252043</v>
      </c>
      <c r="H3164" s="4"/>
      <c r="I3164" s="1" t="s">
        <v>1220</v>
      </c>
      <c r="J3164" s="5">
        <v>43494</v>
      </c>
      <c r="K3164" s="6" t="str">
        <f>""</f>
        <v/>
      </c>
      <c r="L3164" s="6" t="str">
        <f>"0,00"</f>
        <v>0,00</v>
      </c>
      <c r="M3164" s="6" t="str">
        <f>"0,00"</f>
        <v>0,00</v>
      </c>
      <c r="N3164" s="1" t="s">
        <v>117</v>
      </c>
      <c r="O3164" s="7"/>
      <c r="P3164" s="6" t="str">
        <f>""</f>
        <v/>
      </c>
      <c r="Q3164" s="7"/>
      <c r="R3164" s="1"/>
      <c r="S3164" s="1" t="str">
        <f>"J-N-1613/17-1"</f>
        <v>J-N-1613/17-1</v>
      </c>
      <c r="T3164" s="2" t="s">
        <v>29</v>
      </c>
    </row>
    <row r="3165" spans="1:20" ht="38.25" x14ac:dyDescent="0.25">
      <c r="A3165" s="1">
        <v>3161</v>
      </c>
      <c r="B3165" s="1" t="str">
        <f>"2017-2738"</f>
        <v>2017-2738</v>
      </c>
      <c r="C3165" s="2" t="s">
        <v>1911</v>
      </c>
      <c r="D3165" s="1" t="s">
        <v>1384</v>
      </c>
      <c r="E3165" s="3" t="str">
        <f>""</f>
        <v/>
      </c>
      <c r="F3165" s="2" t="s">
        <v>1323</v>
      </c>
      <c r="G3165" s="2" t="str">
        <f>CONCATENATE("PROMPT PROJEKTIRANJE D.O.O.,"," TOMISLAVOVA 9,"," 10000 ZAGREB,"," OIB: 30094396634")</f>
        <v>PROMPT PROJEKTIRANJE D.O.O., TOMISLAVOVA 9, 10000 ZAGREB, OIB: 30094396634</v>
      </c>
      <c r="H3165" s="4"/>
      <c r="I3165" s="1" t="s">
        <v>1912</v>
      </c>
      <c r="J3165" s="5">
        <v>43418</v>
      </c>
      <c r="K3165" s="6" t="str">
        <f>"63.080,00"</f>
        <v>63.080,00</v>
      </c>
      <c r="L3165" s="6" t="str">
        <f>"15.770,00"</f>
        <v>15.770,00</v>
      </c>
      <c r="M3165" s="6" t="str">
        <f>"78.850,00"</f>
        <v>78.850,00</v>
      </c>
      <c r="N3165" s="1" t="s">
        <v>117</v>
      </c>
      <c r="O3165" s="7"/>
      <c r="P3165" s="6" t="str">
        <f>""</f>
        <v/>
      </c>
      <c r="Q3165" s="7"/>
      <c r="R3165" s="1"/>
      <c r="S3165" s="1" t="str">
        <f>"J-N-1686/17"</f>
        <v>J-N-1686/17</v>
      </c>
      <c r="T3165" s="2" t="s">
        <v>29</v>
      </c>
    </row>
    <row r="3166" spans="1:20" ht="165.75" x14ac:dyDescent="0.25">
      <c r="A3166" s="1">
        <v>3162</v>
      </c>
      <c r="B3166" s="1" t="str">
        <f>"2017-2037"</f>
        <v>2017-2037</v>
      </c>
      <c r="C3166" s="2" t="s">
        <v>1913</v>
      </c>
      <c r="D3166" s="1" t="s">
        <v>1914</v>
      </c>
      <c r="E3166" s="3" t="str">
        <f>""</f>
        <v/>
      </c>
      <c r="F3166" s="2" t="s">
        <v>1323</v>
      </c>
      <c r="G3166" s="2" t="str">
        <f>CONCATENATE("ENERGOREMONT D.D.,"," MALA ŠVARČA 155,"," 47000 KARLOVAC,"," OIB: 85895363172")</f>
        <v>ENERGOREMONT D.D., MALA ŠVARČA 155, 47000 KARLOVAC, OIB: 85895363172</v>
      </c>
      <c r="H3166" s="4"/>
      <c r="I3166" s="1" t="s">
        <v>1915</v>
      </c>
      <c r="J3166" s="5">
        <v>43476</v>
      </c>
      <c r="K3166" s="6" t="str">
        <f>"49.850,00"</f>
        <v>49.850,00</v>
      </c>
      <c r="L3166" s="6" t="str">
        <f>"12.462,50"</f>
        <v>12.462,50</v>
      </c>
      <c r="M3166" s="6" t="str">
        <f>"62.312,50"</f>
        <v>62.312,50</v>
      </c>
      <c r="N3166" s="1" t="s">
        <v>117</v>
      </c>
      <c r="O3166" s="7"/>
      <c r="P3166" s="6" t="str">
        <f>""</f>
        <v/>
      </c>
      <c r="Q3166" s="7"/>
      <c r="R3166" s="20" t="s">
        <v>2391</v>
      </c>
      <c r="S3166" s="1" t="str">
        <f>"J-N-1696/17"</f>
        <v>J-N-1696/17</v>
      </c>
      <c r="T3166" s="2" t="s">
        <v>33</v>
      </c>
    </row>
    <row r="3167" spans="1:20" ht="51" x14ac:dyDescent="0.25">
      <c r="A3167" s="1">
        <v>3163</v>
      </c>
      <c r="B3167" s="1" t="str">
        <f>"2017-1966"</f>
        <v>2017-1966</v>
      </c>
      <c r="C3167" s="2" t="s">
        <v>1916</v>
      </c>
      <c r="D3167" s="1" t="s">
        <v>223</v>
      </c>
      <c r="E3167" s="3" t="str">
        <f>""</f>
        <v/>
      </c>
      <c r="F3167" s="2" t="s">
        <v>1323</v>
      </c>
      <c r="G3167" s="2" t="str">
        <f>CONCATENATE("CONSCIUS D.O.O.,"," KUTNJAČKI PUT 9,"," 10000 ZAGREB,"," OIB: 33925981016")</f>
        <v>CONSCIUS D.O.O., KUTNJAČKI PUT 9, 10000 ZAGREB, OIB: 33925981016</v>
      </c>
      <c r="H3167" s="4"/>
      <c r="I3167" s="1" t="s">
        <v>1917</v>
      </c>
      <c r="J3167" s="5">
        <v>43481</v>
      </c>
      <c r="K3167" s="6" t="str">
        <f>"118.800,00"</f>
        <v>118.800,00</v>
      </c>
      <c r="L3167" s="6" t="str">
        <f>"29.700,00"</f>
        <v>29.700,00</v>
      </c>
      <c r="M3167" s="6" t="str">
        <f>"148.500,00"</f>
        <v>148.500,00</v>
      </c>
      <c r="N3167" s="5">
        <v>43465</v>
      </c>
      <c r="O3167" s="7"/>
      <c r="P3167" s="6" t="str">
        <f>"96.000,00"</f>
        <v>96.000,00</v>
      </c>
      <c r="Q3167" s="7"/>
      <c r="R3167" s="1"/>
      <c r="S3167" s="1" t="str">
        <f>"J-N-1697/17"</f>
        <v>J-N-1697/17</v>
      </c>
      <c r="T3167" s="2" t="s">
        <v>33</v>
      </c>
    </row>
    <row r="3168" spans="1:20" ht="25.5" x14ac:dyDescent="0.25">
      <c r="A3168" s="1">
        <v>3164</v>
      </c>
      <c r="B3168" s="1" t="str">
        <f>"2017-2927"</f>
        <v>2017-2927</v>
      </c>
      <c r="C3168" s="2" t="s">
        <v>1918</v>
      </c>
      <c r="D3168" s="1" t="s">
        <v>1919</v>
      </c>
      <c r="E3168" s="3" t="str">
        <f>""</f>
        <v/>
      </c>
      <c r="F3168" s="2" t="s">
        <v>1323</v>
      </c>
      <c r="G3168" s="2" t="str">
        <f>CONCATENATE("LEO GRAD D.O.O.,"," ZELINSKA 8,"," 10360 LUŽAN,"," OIB: 85068601099")</f>
        <v>LEO GRAD D.O.O., ZELINSKA 8, 10360 LUŽAN, OIB: 85068601099</v>
      </c>
      <c r="H3168" s="4"/>
      <c r="I3168" s="1" t="s">
        <v>1920</v>
      </c>
      <c r="J3168" s="5">
        <v>43477</v>
      </c>
      <c r="K3168" s="6" t="str">
        <f>"300.000,00"</f>
        <v>300.000,00</v>
      </c>
      <c r="L3168" s="6" t="str">
        <f>"75.000,00"</f>
        <v>75.000,00</v>
      </c>
      <c r="M3168" s="6" t="str">
        <f>"375.000,00"</f>
        <v>375.000,00</v>
      </c>
      <c r="N3168" s="1" t="s">
        <v>117</v>
      </c>
      <c r="O3168" s="7"/>
      <c r="P3168" s="6" t="str">
        <f>""</f>
        <v/>
      </c>
      <c r="Q3168" s="7"/>
      <c r="R3168" s="1"/>
      <c r="S3168" s="1" t="str">
        <f>"J-N-1699/17"</f>
        <v>J-N-1699/17</v>
      </c>
      <c r="T3168" s="2" t="s">
        <v>538</v>
      </c>
    </row>
    <row r="3169" spans="1:20" ht="51" x14ac:dyDescent="0.25">
      <c r="A3169" s="1">
        <v>3165</v>
      </c>
      <c r="B3169" s="1" t="str">
        <f>"2017-2617"</f>
        <v>2017-2617</v>
      </c>
      <c r="C3169" s="2" t="s">
        <v>1921</v>
      </c>
      <c r="D3169" s="1" t="s">
        <v>1325</v>
      </c>
      <c r="E3169" s="3" t="str">
        <f>""</f>
        <v/>
      </c>
      <c r="F3169" s="2" t="s">
        <v>1323</v>
      </c>
      <c r="G3169" s="2" t="str">
        <f>CONCATENATE("URED OVLAŠTENOG INŽENJERA GRAĐEVINARSTVA GORDANA BRAJE,"," NOVA CESTA 152,"," 10000 ZAGREB,"," OIB: 25092213322")</f>
        <v>URED OVLAŠTENOG INŽENJERA GRAĐEVINARSTVA GORDANA BRAJE, NOVA CESTA 152, 10000 ZAGREB, OIB: 25092213322</v>
      </c>
      <c r="H3169" s="1" t="str">
        <f>CONCATENATE("EHO-COENG D.O.O.,"," OIB: 52184999125")</f>
        <v>EHO-COENG D.O.O., OIB: 52184999125</v>
      </c>
      <c r="I3169" s="1" t="s">
        <v>1922</v>
      </c>
      <c r="J3169" s="5">
        <v>43475</v>
      </c>
      <c r="K3169" s="6" t="str">
        <f>"10.600,00"</f>
        <v>10.600,00</v>
      </c>
      <c r="L3169" s="6" t="str">
        <f>"2.650,00"</f>
        <v>2.650,00</v>
      </c>
      <c r="M3169" s="6" t="str">
        <f>"13.250,00"</f>
        <v>13.250,00</v>
      </c>
      <c r="N3169" s="1" t="s">
        <v>117</v>
      </c>
      <c r="O3169" s="7"/>
      <c r="P3169" s="6" t="str">
        <f>""</f>
        <v/>
      </c>
      <c r="Q3169" s="7"/>
      <c r="R3169" s="1"/>
      <c r="S3169" s="1" t="str">
        <f>"J-N-1700/17"</f>
        <v>J-N-1700/17</v>
      </c>
      <c r="T3169" s="2" t="s">
        <v>33</v>
      </c>
    </row>
    <row r="3170" spans="1:20" ht="63.75" x14ac:dyDescent="0.25">
      <c r="A3170" s="1">
        <v>3166</v>
      </c>
      <c r="B3170" s="1" t="str">
        <f>"2017-2924"</f>
        <v>2017-2924</v>
      </c>
      <c r="C3170" s="2" t="s">
        <v>1923</v>
      </c>
      <c r="D3170" s="1" t="s">
        <v>1924</v>
      </c>
      <c r="E3170" s="3" t="str">
        <f>""</f>
        <v/>
      </c>
      <c r="F3170" s="2" t="s">
        <v>1323</v>
      </c>
      <c r="G3170" s="2" t="str">
        <f>CONCATENATE("TERMOINŽENJERING-MONTAŽA D.D.,"," BUKOVJE BISTRANSKO,"," STUBIČKA 358,"," 10298 DONJA BISTRA,"," OIB: 72469078487")</f>
        <v>TERMOINŽENJERING-MONTAŽA D.D., BUKOVJE BISTRANSKO, STUBIČKA 358, 10298 DONJA BISTRA, OIB: 72469078487</v>
      </c>
      <c r="H3170" s="4"/>
      <c r="I3170" s="1" t="s">
        <v>1925</v>
      </c>
      <c r="J3170" s="5">
        <v>43474</v>
      </c>
      <c r="K3170" s="6" t="str">
        <f>"238.623,00"</f>
        <v>238.623,00</v>
      </c>
      <c r="L3170" s="6" t="str">
        <f>"59.655,75"</f>
        <v>59.655,75</v>
      </c>
      <c r="M3170" s="6" t="str">
        <f>"298.278,75"</f>
        <v>298.278,75</v>
      </c>
      <c r="N3170" s="5">
        <v>43465</v>
      </c>
      <c r="O3170" s="7"/>
      <c r="P3170" s="6" t="str">
        <f>"297.969,16"</f>
        <v>297.969,16</v>
      </c>
      <c r="Q3170" s="7"/>
      <c r="R3170" s="1"/>
      <c r="S3170" s="1" t="str">
        <f>"J-N-1701/17"</f>
        <v>J-N-1701/17</v>
      </c>
      <c r="T3170" s="2" t="s">
        <v>33</v>
      </c>
    </row>
    <row r="3171" spans="1:20" ht="25.5" x14ac:dyDescent="0.25">
      <c r="A3171" s="1">
        <v>3167</v>
      </c>
      <c r="B3171" s="1" t="str">
        <f>"2017-2891"</f>
        <v>2017-2891</v>
      </c>
      <c r="C3171" s="2" t="s">
        <v>1926</v>
      </c>
      <c r="D3171" s="1" t="s">
        <v>1519</v>
      </c>
      <c r="E3171" s="3" t="str">
        <f>""</f>
        <v/>
      </c>
      <c r="F3171" s="2" t="s">
        <v>1323</v>
      </c>
      <c r="G3171" s="2" t="str">
        <f>CONCATENATE("MONTEL D.O.O.,"," HORVATOVA 48/B,"," 10000 ZAGREB,"," OIB: 12595351308")</f>
        <v>MONTEL D.O.O., HORVATOVA 48/B, 10000 ZAGREB, OIB: 12595351308</v>
      </c>
      <c r="H3171" s="4"/>
      <c r="I3171" s="1" t="s">
        <v>1920</v>
      </c>
      <c r="J3171" s="5">
        <v>43477</v>
      </c>
      <c r="K3171" s="6" t="str">
        <f>"271.669,50"</f>
        <v>271.669,50</v>
      </c>
      <c r="L3171" s="6" t="str">
        <f>"67.917,38"</f>
        <v>67.917,38</v>
      </c>
      <c r="M3171" s="6" t="str">
        <f>"339.586,88"</f>
        <v>339.586,88</v>
      </c>
      <c r="N3171" s="1" t="s">
        <v>117</v>
      </c>
      <c r="O3171" s="7"/>
      <c r="P3171" s="6" t="str">
        <f>""</f>
        <v/>
      </c>
      <c r="Q3171" s="7"/>
      <c r="R3171" s="1"/>
      <c r="S3171" s="1" t="str">
        <f>"J-N-1702/17"</f>
        <v>J-N-1702/17</v>
      </c>
      <c r="T3171" s="2" t="s">
        <v>538</v>
      </c>
    </row>
    <row r="3172" spans="1:20" ht="38.25" x14ac:dyDescent="0.25">
      <c r="A3172" s="1">
        <v>3168</v>
      </c>
      <c r="B3172" s="1" t="str">
        <f>"2017-2962"</f>
        <v>2017-2962</v>
      </c>
      <c r="C3172" s="2" t="s">
        <v>1927</v>
      </c>
      <c r="D3172" s="1" t="s">
        <v>1384</v>
      </c>
      <c r="E3172" s="3" t="str">
        <f>""</f>
        <v/>
      </c>
      <c r="F3172" s="2" t="s">
        <v>1323</v>
      </c>
      <c r="G3172" s="2" t="str">
        <f>CONCATENATE("KOPIMA D.O.O.,"," VRBIK 8B,"," 10000 ZAGREB,"," OIB: 04662252043")</f>
        <v>KOPIMA D.O.O., VRBIK 8B, 10000 ZAGREB, OIB: 04662252043</v>
      </c>
      <c r="H3172" s="4"/>
      <c r="I3172" s="1" t="s">
        <v>1928</v>
      </c>
      <c r="J3172" s="5">
        <v>43483</v>
      </c>
      <c r="K3172" s="6" t="str">
        <f>"174.000,00"</f>
        <v>174.000,00</v>
      </c>
      <c r="L3172" s="6" t="str">
        <f>"43.500,00"</f>
        <v>43.500,00</v>
      </c>
      <c r="M3172" s="6" t="str">
        <f>"217.500,00"</f>
        <v>217.500,00</v>
      </c>
      <c r="N3172" s="1" t="s">
        <v>117</v>
      </c>
      <c r="O3172" s="7"/>
      <c r="P3172" s="6" t="str">
        <f>""</f>
        <v/>
      </c>
      <c r="Q3172" s="7"/>
      <c r="R3172" s="1"/>
      <c r="S3172" s="1" t="str">
        <f>"J-N-1704/17"</f>
        <v>J-N-1704/17</v>
      </c>
      <c r="T3172" s="2" t="s">
        <v>29</v>
      </c>
    </row>
    <row r="3173" spans="1:20" ht="38.25" x14ac:dyDescent="0.25">
      <c r="A3173" s="1">
        <v>3169</v>
      </c>
      <c r="B3173" s="1" t="str">
        <f>"2017-624"</f>
        <v>2017-624</v>
      </c>
      <c r="C3173" s="2" t="s">
        <v>1929</v>
      </c>
      <c r="D3173" s="1" t="s">
        <v>1930</v>
      </c>
      <c r="E3173" s="3" t="str">
        <f>""</f>
        <v/>
      </c>
      <c r="F3173" s="2" t="s">
        <v>1323</v>
      </c>
      <c r="G3173" s="2" t="str">
        <f>CONCATENATE("E.G.S.-ELEKTROGRADITELJSTVO D.O.O.,"," ALBERTA FORTISA 10,"," 10090 ZAGREB,"," OIB: 83439900916")</f>
        <v>E.G.S.-ELEKTROGRADITELJSTVO D.O.O., ALBERTA FORTISA 10, 10090 ZAGREB, OIB: 83439900916</v>
      </c>
      <c r="H3173" s="4"/>
      <c r="I3173" s="1" t="s">
        <v>1928</v>
      </c>
      <c r="J3173" s="5">
        <v>43483</v>
      </c>
      <c r="K3173" s="6" t="str">
        <f>"42.228,00"</f>
        <v>42.228,00</v>
      </c>
      <c r="L3173" s="6" t="str">
        <f>"10.557,00"</f>
        <v>10.557,00</v>
      </c>
      <c r="M3173" s="6" t="str">
        <f>"52.785,00"</f>
        <v>52.785,00</v>
      </c>
      <c r="N3173" s="5">
        <v>43441</v>
      </c>
      <c r="O3173" s="7"/>
      <c r="P3173" s="6" t="str">
        <f>"17.223,75"</f>
        <v>17.223,75</v>
      </c>
      <c r="Q3173" s="7"/>
      <c r="R3173" s="1"/>
      <c r="S3173" s="1" t="str">
        <f>"J-N-1705/17"</f>
        <v>J-N-1705/17</v>
      </c>
      <c r="T3173" s="2" t="s">
        <v>29</v>
      </c>
    </row>
    <row r="3174" spans="1:20" ht="38.25" x14ac:dyDescent="0.25">
      <c r="A3174" s="1">
        <v>3170</v>
      </c>
      <c r="B3174" s="1" t="str">
        <f>"2017-2638"</f>
        <v>2017-2638</v>
      </c>
      <c r="C3174" s="2" t="s">
        <v>1931</v>
      </c>
      <c r="D3174" s="1" t="s">
        <v>364</v>
      </c>
      <c r="E3174" s="3" t="str">
        <f>""</f>
        <v/>
      </c>
      <c r="F3174" s="2" t="s">
        <v>1323</v>
      </c>
      <c r="G3174" s="2" t="str">
        <f>CONCATENATE("RANUS D.O.O.,"," STUBIČKA 44,"," 10000 ZAGREB,"," OIB: 65348127386")</f>
        <v>RANUS D.O.O., STUBIČKA 44, 10000 ZAGREB, OIB: 65348127386</v>
      </c>
      <c r="H3174" s="1" t="str">
        <f>CONCATENATE("C.I.A.K. D.O.O.,"," OIB: 47428597158")</f>
        <v>C.I.A.K. D.O.O., OIB: 47428597158</v>
      </c>
      <c r="I3174" s="1" t="s">
        <v>1932</v>
      </c>
      <c r="J3174" s="5">
        <v>43487</v>
      </c>
      <c r="K3174" s="6" t="str">
        <f>"257.295,50"</f>
        <v>257.295,50</v>
      </c>
      <c r="L3174" s="6" t="str">
        <f>"64.323,88"</f>
        <v>64.323,88</v>
      </c>
      <c r="M3174" s="6" t="str">
        <f>"321.619,38"</f>
        <v>321.619,38</v>
      </c>
      <c r="N3174" s="5">
        <v>43284</v>
      </c>
      <c r="O3174" s="7"/>
      <c r="P3174" s="6" t="str">
        <f>"320.724,20"</f>
        <v>320.724,20</v>
      </c>
      <c r="Q3174" s="7"/>
      <c r="R3174" s="1"/>
      <c r="S3174" s="1" t="str">
        <f>"J-N-1706/17"</f>
        <v>J-N-1706/17</v>
      </c>
      <c r="T3174" s="2" t="s">
        <v>33</v>
      </c>
    </row>
    <row r="3175" spans="1:20" ht="25.5" x14ac:dyDescent="0.25">
      <c r="A3175" s="1">
        <v>3171</v>
      </c>
      <c r="B3175" s="1" t="str">
        <f>"2017-2704"</f>
        <v>2017-2704</v>
      </c>
      <c r="C3175" s="2" t="s">
        <v>1933</v>
      </c>
      <c r="D3175" s="1" t="s">
        <v>1500</v>
      </c>
      <c r="E3175" s="3" t="str">
        <f>""</f>
        <v/>
      </c>
      <c r="F3175" s="2" t="s">
        <v>1323</v>
      </c>
      <c r="G3175" s="2" t="str">
        <f>CONCATENATE("COMET D.O.O.,"," VARAŽDINSKA 40/C,"," 42220 NOVI MAROF,"," OIB: 48249084626")</f>
        <v>COMET D.O.O., VARAŽDINSKA 40/C, 42220 NOVI MAROF, OIB: 48249084626</v>
      </c>
      <c r="H3175" s="4"/>
      <c r="I3175" s="1" t="s">
        <v>839</v>
      </c>
      <c r="J3175" s="5">
        <v>43496</v>
      </c>
      <c r="K3175" s="6" t="str">
        <f>"36.470,00"</f>
        <v>36.470,00</v>
      </c>
      <c r="L3175" s="6" t="str">
        <f>"9.117,50"</f>
        <v>9.117,50</v>
      </c>
      <c r="M3175" s="6" t="str">
        <f>"45.587,50"</f>
        <v>45.587,50</v>
      </c>
      <c r="N3175" s="5">
        <v>43169</v>
      </c>
      <c r="O3175" s="7"/>
      <c r="P3175" s="6" t="str">
        <f>"45.587,50"</f>
        <v>45.587,50</v>
      </c>
      <c r="Q3175" s="7"/>
      <c r="R3175" s="1"/>
      <c r="S3175" s="1" t="str">
        <f>"J-N-1707/17"</f>
        <v>J-N-1707/17</v>
      </c>
      <c r="T3175" s="2" t="s">
        <v>33</v>
      </c>
    </row>
    <row r="3176" spans="1:20" ht="165.75" x14ac:dyDescent="0.25">
      <c r="A3176" s="1">
        <v>3172</v>
      </c>
      <c r="B3176" s="1" t="str">
        <f>"2017-883"</f>
        <v>2017-883</v>
      </c>
      <c r="C3176" s="2" t="s">
        <v>1934</v>
      </c>
      <c r="D3176" s="1" t="s">
        <v>1534</v>
      </c>
      <c r="E3176" s="3" t="str">
        <f>""</f>
        <v/>
      </c>
      <c r="F3176" s="2" t="s">
        <v>1323</v>
      </c>
      <c r="G3176" s="2" t="str">
        <f>CONCATENATE("ABSOLUTE D.O.O.,"," STORŽIČKA 21,"," 10000 ZAGREB,"," OIB: 97586475497")</f>
        <v>ABSOLUTE D.O.O., STORŽIČKA 21, 10000 ZAGREB, OIB: 97586475497</v>
      </c>
      <c r="H3176" s="4"/>
      <c r="I3176" s="1" t="s">
        <v>872</v>
      </c>
      <c r="J3176" s="5">
        <v>43502</v>
      </c>
      <c r="K3176" s="6" t="str">
        <f>"75.379,00"</f>
        <v>75.379,00</v>
      </c>
      <c r="L3176" s="6" t="str">
        <f>"18.844,75"</f>
        <v>18.844,75</v>
      </c>
      <c r="M3176" s="6" t="str">
        <f>"94.223,75"</f>
        <v>94.223,75</v>
      </c>
      <c r="N3176" s="1" t="s">
        <v>117</v>
      </c>
      <c r="O3176" s="7"/>
      <c r="P3176" s="6" t="str">
        <f>""</f>
        <v/>
      </c>
      <c r="Q3176" s="7"/>
      <c r="R3176" s="20" t="s">
        <v>2391</v>
      </c>
      <c r="S3176" s="1" t="str">
        <f>"J-N-1708/17"</f>
        <v>J-N-1708/17</v>
      </c>
      <c r="T3176" s="2" t="s">
        <v>33</v>
      </c>
    </row>
    <row r="3177" spans="1:20" ht="165.75" x14ac:dyDescent="0.25">
      <c r="A3177" s="1">
        <v>3173</v>
      </c>
      <c r="B3177" s="1" t="str">
        <f>"2017-2066"</f>
        <v>2017-2066</v>
      </c>
      <c r="C3177" s="2" t="s">
        <v>1935</v>
      </c>
      <c r="D3177" s="1" t="s">
        <v>502</v>
      </c>
      <c r="E3177" s="3" t="str">
        <f>""</f>
        <v/>
      </c>
      <c r="F3177" s="2" t="s">
        <v>1323</v>
      </c>
      <c r="G3177" s="2" t="str">
        <f>CONCATENATE("ENERGOREMONT D.D.,"," MALA ŠVARČA 155,"," 47000 KARLOVAC,"," OIB: 85895363172")</f>
        <v>ENERGOREMONT D.D., MALA ŠVARČA 155, 47000 KARLOVAC, OIB: 85895363172</v>
      </c>
      <c r="H3177" s="4"/>
      <c r="I3177" s="1" t="s">
        <v>1936</v>
      </c>
      <c r="J3177" s="5">
        <v>43491</v>
      </c>
      <c r="K3177" s="6" t="str">
        <f>"24.550,00"</f>
        <v>24.550,00</v>
      </c>
      <c r="L3177" s="6" t="str">
        <f>"6.137,50"</f>
        <v>6.137,50</v>
      </c>
      <c r="M3177" s="6" t="str">
        <f>"30.687,50"</f>
        <v>30.687,50</v>
      </c>
      <c r="N3177" s="1" t="s">
        <v>117</v>
      </c>
      <c r="O3177" s="7"/>
      <c r="P3177" s="6" t="str">
        <f>""</f>
        <v/>
      </c>
      <c r="Q3177" s="7"/>
      <c r="R3177" s="20" t="s">
        <v>2391</v>
      </c>
      <c r="S3177" s="1" t="str">
        <f>"J-N-1709/17"</f>
        <v>J-N-1709/17</v>
      </c>
      <c r="T3177" s="2" t="s">
        <v>33</v>
      </c>
    </row>
    <row r="3178" spans="1:20" ht="63.75" x14ac:dyDescent="0.25">
      <c r="A3178" s="1">
        <v>3174</v>
      </c>
      <c r="B3178" s="1" t="str">
        <f>"2017-18"</f>
        <v>2017-18</v>
      </c>
      <c r="C3178" s="2" t="s">
        <v>1937</v>
      </c>
      <c r="D3178" s="1" t="s">
        <v>762</v>
      </c>
      <c r="E3178" s="3" t="str">
        <f>""</f>
        <v/>
      </c>
      <c r="F3178" s="2" t="s">
        <v>1323</v>
      </c>
      <c r="G3178" s="2" t="str">
        <f>CONCATENATE("TOMISLAV VITKOVIĆ D.O.O.,"," GOSPOČAK 102,"," 10000 ZAGREB,"," OIB: 77808965838")</f>
        <v>TOMISLAV VITKOVIĆ D.O.O., GOSPOČAK 102, 10000 ZAGREB, OIB: 77808965838</v>
      </c>
      <c r="H3178" s="4"/>
      <c r="I3178" s="1" t="s">
        <v>876</v>
      </c>
      <c r="J3178" s="5">
        <v>43519</v>
      </c>
      <c r="K3178" s="6" t="str">
        <f>"121.500,00"</f>
        <v>121.500,00</v>
      </c>
      <c r="L3178" s="6" t="str">
        <f>"30.375,00"</f>
        <v>30.375,00</v>
      </c>
      <c r="M3178" s="6" t="str">
        <f>"151.875,00"</f>
        <v>151.875,00</v>
      </c>
      <c r="N3178" s="1" t="s">
        <v>117</v>
      </c>
      <c r="O3178" s="7"/>
      <c r="P3178" s="6" t="str">
        <f>""</f>
        <v/>
      </c>
      <c r="Q3178" s="7"/>
      <c r="R3178" s="1"/>
      <c r="S3178" s="1" t="str">
        <f>"J-N-1710/17"</f>
        <v>J-N-1710/17</v>
      </c>
      <c r="T3178" s="2" t="s">
        <v>29</v>
      </c>
    </row>
    <row r="3179" spans="1:20" ht="51" x14ac:dyDescent="0.25">
      <c r="A3179" s="1">
        <v>3175</v>
      </c>
      <c r="B3179" s="1" t="str">
        <f>"2018-5"</f>
        <v>2018-5</v>
      </c>
      <c r="C3179" s="2" t="s">
        <v>1938</v>
      </c>
      <c r="D3179" s="1" t="s">
        <v>1384</v>
      </c>
      <c r="E3179" s="3" t="str">
        <f>""</f>
        <v/>
      </c>
      <c r="F3179" s="2" t="s">
        <v>1323</v>
      </c>
      <c r="G3179" s="2" t="str">
        <f>CONCATENATE("EKO-PLAN D.O.O.,"," 2. JAZBINSKI GAJ 1A,"," 10000 ZAGREB,"," OIB: 55034160084")</f>
        <v>EKO-PLAN D.O.O., 2. JAZBINSKI GAJ 1A, 10000 ZAGREB, OIB: 55034160084</v>
      </c>
      <c r="H3179" s="4"/>
      <c r="I3179" s="1" t="s">
        <v>1438</v>
      </c>
      <c r="J3179" s="5">
        <v>43551</v>
      </c>
      <c r="K3179" s="6" t="str">
        <f>"192.000,00"</f>
        <v>192.000,00</v>
      </c>
      <c r="L3179" s="6" t="str">
        <f>"48.000,00"</f>
        <v>48.000,00</v>
      </c>
      <c r="M3179" s="6" t="str">
        <f>"240.000,00"</f>
        <v>240.000,00</v>
      </c>
      <c r="N3179" s="1" t="s">
        <v>117</v>
      </c>
      <c r="O3179" s="7"/>
      <c r="P3179" s="6" t="str">
        <f>""</f>
        <v/>
      </c>
      <c r="Q3179" s="7"/>
      <c r="R3179" s="1"/>
      <c r="S3179" s="1" t="str">
        <f>"J-N-2/18"</f>
        <v>J-N-2/18</v>
      </c>
      <c r="T3179" s="2" t="s">
        <v>29</v>
      </c>
    </row>
    <row r="3180" spans="1:20" ht="51" x14ac:dyDescent="0.25">
      <c r="A3180" s="1">
        <v>3176</v>
      </c>
      <c r="B3180" s="1" t="str">
        <f>"2018-6"</f>
        <v>2018-6</v>
      </c>
      <c r="C3180" s="2" t="s">
        <v>1939</v>
      </c>
      <c r="D3180" s="1" t="s">
        <v>1384</v>
      </c>
      <c r="E3180" s="3" t="str">
        <f>""</f>
        <v/>
      </c>
      <c r="F3180" s="2" t="s">
        <v>1323</v>
      </c>
      <c r="G3180" s="2" t="str">
        <f>CONCATENATE("KOPIMA D.O.O.,"," VRBIK 8B,"," 10000 ZAGREB,"," OIB: 04662252043")</f>
        <v>KOPIMA D.O.O., VRBIK 8B, 10000 ZAGREB, OIB: 04662252043</v>
      </c>
      <c r="H3180" s="4"/>
      <c r="I3180" s="1" t="s">
        <v>1577</v>
      </c>
      <c r="J3180" s="5">
        <v>43565</v>
      </c>
      <c r="K3180" s="6" t="str">
        <f>"64.600,00"</f>
        <v>64.600,00</v>
      </c>
      <c r="L3180" s="6" t="str">
        <f>"16.150,00"</f>
        <v>16.150,00</v>
      </c>
      <c r="M3180" s="6" t="str">
        <f>"80.750,00"</f>
        <v>80.750,00</v>
      </c>
      <c r="N3180" s="1" t="s">
        <v>117</v>
      </c>
      <c r="O3180" s="7"/>
      <c r="P3180" s="6" t="str">
        <f>""</f>
        <v/>
      </c>
      <c r="Q3180" s="7"/>
      <c r="R3180" s="1"/>
      <c r="S3180" s="1" t="str">
        <f>"J-N-4/18"</f>
        <v>J-N-4/18</v>
      </c>
      <c r="T3180" s="2" t="s">
        <v>29</v>
      </c>
    </row>
    <row r="3181" spans="1:20" ht="38.25" x14ac:dyDescent="0.25">
      <c r="A3181" s="1">
        <v>3177</v>
      </c>
      <c r="B3181" s="1" t="str">
        <f>"2018-1102"</f>
        <v>2018-1102</v>
      </c>
      <c r="C3181" s="2" t="s">
        <v>1940</v>
      </c>
      <c r="D3181" s="1" t="s">
        <v>1384</v>
      </c>
      <c r="E3181" s="3" t="str">
        <f>""</f>
        <v/>
      </c>
      <c r="F3181" s="2" t="s">
        <v>1323</v>
      </c>
      <c r="G3181" s="2" t="str">
        <f>CONCATENATE("HIDRO UNA D.O.O.,"," JOSIPA ANIĆA 14,"," 10000 ZAGREB,"," OIB: 60109409627")</f>
        <v>HIDRO UNA D.O.O., JOSIPA ANIĆA 14, 10000 ZAGREB, OIB: 60109409627</v>
      </c>
      <c r="H3181" s="4"/>
      <c r="I3181" s="1" t="s">
        <v>82</v>
      </c>
      <c r="J3181" s="5">
        <v>43571</v>
      </c>
      <c r="K3181" s="6" t="str">
        <f>"87.650,00"</f>
        <v>87.650,00</v>
      </c>
      <c r="L3181" s="6" t="str">
        <f>"21.912,50"</f>
        <v>21.912,50</v>
      </c>
      <c r="M3181" s="6" t="str">
        <f>"109.562,50"</f>
        <v>109.562,50</v>
      </c>
      <c r="N3181" s="1" t="s">
        <v>117</v>
      </c>
      <c r="O3181" s="7"/>
      <c r="P3181" s="6" t="str">
        <f>""</f>
        <v/>
      </c>
      <c r="Q3181" s="7"/>
      <c r="R3181" s="1"/>
      <c r="S3181" s="1" t="str">
        <f>"J-N-5/18"</f>
        <v>J-N-5/18</v>
      </c>
      <c r="T3181" s="2" t="s">
        <v>29</v>
      </c>
    </row>
    <row r="3182" spans="1:20" ht="76.5" x14ac:dyDescent="0.25">
      <c r="A3182" s="1">
        <v>3178</v>
      </c>
      <c r="B3182" s="1" t="str">
        <f>"2018-1996"</f>
        <v>2018-1996</v>
      </c>
      <c r="C3182" s="2" t="s">
        <v>1941</v>
      </c>
      <c r="D3182" s="1" t="s">
        <v>922</v>
      </c>
      <c r="E3182" s="3" t="str">
        <f>""</f>
        <v/>
      </c>
      <c r="F3182" s="2" t="s">
        <v>1323</v>
      </c>
      <c r="G3182" s="2" t="str">
        <f>CONCATENATE("TEMPORIUM GRADNJA D.O.O.,"," LJUTOMERSKA ULICA 33A,"," 10000 ZAGREB,"," OIB: 6285048268")</f>
        <v>TEMPORIUM GRADNJA D.O.O., LJUTOMERSKA ULICA 33A, 10000 ZAGREB, OIB: 6285048268</v>
      </c>
      <c r="H3182" s="1" t="str">
        <f>CONCATENATE("INSTAL-PROM D.O.O.,"," OIB: 21231984689",CHAR(10),"GEO 6 D.O.O.,"," OIB: 56516261347")</f>
        <v>INSTAL-PROM D.O.O., OIB: 21231984689
GEO 6 D.O.O., OIB: 56516261347</v>
      </c>
      <c r="I3182" s="1" t="s">
        <v>1942</v>
      </c>
      <c r="J3182" s="5">
        <v>43596</v>
      </c>
      <c r="K3182" s="6" t="str">
        <f>"364.272,30"</f>
        <v>364.272,30</v>
      </c>
      <c r="L3182" s="6" t="str">
        <f>"91.068,08"</f>
        <v>91.068,08</v>
      </c>
      <c r="M3182" s="6" t="str">
        <f>"455.340,38"</f>
        <v>455.340,38</v>
      </c>
      <c r="N3182" s="1" t="s">
        <v>117</v>
      </c>
      <c r="O3182" s="7"/>
      <c r="P3182" s="6" t="str">
        <f>""</f>
        <v/>
      </c>
      <c r="Q3182" s="7"/>
      <c r="R3182" s="1"/>
      <c r="S3182" s="1" t="str">
        <f>"J-N-6/18"</f>
        <v>J-N-6/18</v>
      </c>
      <c r="T3182" s="2" t="s">
        <v>29</v>
      </c>
    </row>
    <row r="3183" spans="1:20" ht="38.25" x14ac:dyDescent="0.25">
      <c r="A3183" s="1">
        <v>3179</v>
      </c>
      <c r="B3183" s="1" t="str">
        <f>"2018-2059"</f>
        <v>2018-2059</v>
      </c>
      <c r="C3183" s="2" t="s">
        <v>1943</v>
      </c>
      <c r="D3183" s="1" t="s">
        <v>1384</v>
      </c>
      <c r="E3183" s="3" t="str">
        <f>""</f>
        <v/>
      </c>
      <c r="F3183" s="2" t="s">
        <v>1323</v>
      </c>
      <c r="G3183" s="2" t="str">
        <f>CONCATENATE("HIDRO UNA D.O.O.,"," JOSIPA ANIĆA 14,"," 10000 ZAGREB,"," OIB: 60109409627")</f>
        <v>HIDRO UNA D.O.O., JOSIPA ANIĆA 14, 10000 ZAGREB, OIB: 60109409627</v>
      </c>
      <c r="H3183" s="1" t="str">
        <f>CONCATENATE("AQUA . OMEGA D.O.O.,"," OIB: 76884978496")</f>
        <v>AQUA . OMEGA D.O.O., OIB: 76884978496</v>
      </c>
      <c r="I3183" s="1" t="s">
        <v>1944</v>
      </c>
      <c r="J3183" s="5">
        <v>43595</v>
      </c>
      <c r="K3183" s="6" t="str">
        <f>"38.360,00"</f>
        <v>38.360,00</v>
      </c>
      <c r="L3183" s="6" t="str">
        <f>"9.590,00"</f>
        <v>9.590,00</v>
      </c>
      <c r="M3183" s="6" t="str">
        <f>"47.950,00"</f>
        <v>47.950,00</v>
      </c>
      <c r="N3183" s="1" t="s">
        <v>117</v>
      </c>
      <c r="O3183" s="7"/>
      <c r="P3183" s="6" t="str">
        <f>""</f>
        <v/>
      </c>
      <c r="Q3183" s="7"/>
      <c r="R3183" s="1"/>
      <c r="S3183" s="1" t="str">
        <f>"J-N-8/18"</f>
        <v>J-N-8/18</v>
      </c>
      <c r="T3183" s="2" t="s">
        <v>29</v>
      </c>
    </row>
    <row r="3184" spans="1:20" ht="25.5" x14ac:dyDescent="0.25">
      <c r="A3184" s="1">
        <v>3180</v>
      </c>
      <c r="B3184" s="1" t="str">
        <f>"2018-852"</f>
        <v>2018-852</v>
      </c>
      <c r="C3184" s="2" t="s">
        <v>1268</v>
      </c>
      <c r="D3184" s="1" t="s">
        <v>502</v>
      </c>
      <c r="E3184" s="3" t="str">
        <f>""</f>
        <v/>
      </c>
      <c r="F3184" s="2" t="s">
        <v>1323</v>
      </c>
      <c r="G3184" s="2" t="str">
        <f>CONCATENATE("ELEX D.O.O.,"," SVIBJE,"," SAVSKA 70,"," 10361 SESVETSKI KRALJEVEC,"," OIB: 34421776805")</f>
        <v>ELEX D.O.O., SVIBJE, SAVSKA 70, 10361 SESVETSKI KRALJEVEC, OIB: 34421776805</v>
      </c>
      <c r="H3184" s="4"/>
      <c r="I3184" s="1" t="s">
        <v>515</v>
      </c>
      <c r="J3184" s="5">
        <v>43593</v>
      </c>
      <c r="K3184" s="6" t="str">
        <f>"50.115,00"</f>
        <v>50.115,00</v>
      </c>
      <c r="L3184" s="6" t="str">
        <f>"12.528,75"</f>
        <v>12.528,75</v>
      </c>
      <c r="M3184" s="6" t="str">
        <f>"62.643,75"</f>
        <v>62.643,75</v>
      </c>
      <c r="N3184" s="5">
        <v>43349</v>
      </c>
      <c r="O3184" s="7"/>
      <c r="P3184" s="6" t="str">
        <f>"62.643,75"</f>
        <v>62.643,75</v>
      </c>
      <c r="Q3184" s="7"/>
      <c r="R3184" s="1"/>
      <c r="S3184" s="1" t="str">
        <f>"J-N-9/18"</f>
        <v>J-N-9/18</v>
      </c>
      <c r="T3184" s="2" t="s">
        <v>29</v>
      </c>
    </row>
    <row r="3185" spans="1:20" ht="38.25" x14ac:dyDescent="0.25">
      <c r="A3185" s="1">
        <v>3181</v>
      </c>
      <c r="B3185" s="1" t="str">
        <f>"2018-1618"</f>
        <v>2018-1618</v>
      </c>
      <c r="C3185" s="2" t="s">
        <v>1945</v>
      </c>
      <c r="D3185" s="1" t="s">
        <v>1026</v>
      </c>
      <c r="E3185" s="3" t="str">
        <f>""</f>
        <v/>
      </c>
      <c r="F3185" s="2" t="s">
        <v>1323</v>
      </c>
      <c r="G3185" s="2" t="str">
        <f>CONCATENATE("SIGET DIZALA D.O.O.,"," OIB: 19841995263")</f>
        <v>SIGET DIZALA D.O.O., OIB: 19841995263</v>
      </c>
      <c r="H3185" s="4"/>
      <c r="I3185" s="1" t="s">
        <v>1944</v>
      </c>
      <c r="J3185" s="5">
        <v>43595</v>
      </c>
      <c r="K3185" s="6" t="str">
        <f>"17.622,00"</f>
        <v>17.622,00</v>
      </c>
      <c r="L3185" s="6" t="str">
        <f>"4.405,50"</f>
        <v>4.405,50</v>
      </c>
      <c r="M3185" s="6" t="str">
        <f>"22.027,50"</f>
        <v>22.027,50</v>
      </c>
      <c r="N3185" s="5">
        <v>43584</v>
      </c>
      <c r="O3185" s="7"/>
      <c r="P3185" s="6" t="str">
        <f>"29.370,00"</f>
        <v>29.370,00</v>
      </c>
      <c r="Q3185" s="8" t="s">
        <v>2390</v>
      </c>
      <c r="R3185" s="1"/>
      <c r="S3185" s="1" t="str">
        <f>"J-N-12/18"</f>
        <v>J-N-12/18</v>
      </c>
      <c r="T3185" s="2" t="s">
        <v>65</v>
      </c>
    </row>
    <row r="3186" spans="1:20" ht="51" x14ac:dyDescent="0.25">
      <c r="A3186" s="1">
        <v>3182</v>
      </c>
      <c r="B3186" s="1" t="str">
        <f>"2018-2165"</f>
        <v>2018-2165</v>
      </c>
      <c r="C3186" s="2" t="s">
        <v>1946</v>
      </c>
      <c r="D3186" s="1" t="s">
        <v>1384</v>
      </c>
      <c r="E3186" s="3" t="str">
        <f>""</f>
        <v/>
      </c>
      <c r="F3186" s="2" t="s">
        <v>1323</v>
      </c>
      <c r="G3186" s="2" t="str">
        <f>CONCATENATE("KAPROJEKT D.O.O.,"," M. VRHOVCA 3,"," 47000 KARLOVAC,"," OIB: 42714818335")</f>
        <v>KAPROJEKT D.O.O., M. VRHOVCA 3, 47000 KARLOVAC, OIB: 42714818335</v>
      </c>
      <c r="H3186" s="1" t="str">
        <f>CONCATENATE("GEOASPEKT D.O.O.,"," OIB: 65266041437")</f>
        <v>GEOASPEKT D.O.O., OIB: 65266041437</v>
      </c>
      <c r="I3186" s="1" t="s">
        <v>1947</v>
      </c>
      <c r="J3186" s="5">
        <v>43602</v>
      </c>
      <c r="K3186" s="6" t="str">
        <f>"40.500,00"</f>
        <v>40.500,00</v>
      </c>
      <c r="L3186" s="6" t="str">
        <f>"10.125,00"</f>
        <v>10.125,00</v>
      </c>
      <c r="M3186" s="6" t="str">
        <f>"50.625,00"</f>
        <v>50.625,00</v>
      </c>
      <c r="N3186" s="1" t="s">
        <v>117</v>
      </c>
      <c r="O3186" s="7"/>
      <c r="P3186" s="6" t="str">
        <f>""</f>
        <v/>
      </c>
      <c r="Q3186" s="7"/>
      <c r="R3186" s="1"/>
      <c r="S3186" s="1" t="str">
        <f>"J-N-15/18"</f>
        <v>J-N-15/18</v>
      </c>
      <c r="T3186" s="2" t="s">
        <v>29</v>
      </c>
    </row>
    <row r="3187" spans="1:20" ht="25.5" x14ac:dyDescent="0.25">
      <c r="A3187" s="1">
        <v>3183</v>
      </c>
      <c r="B3187" s="1" t="str">
        <f>"2018-1244"</f>
        <v>2018-1244</v>
      </c>
      <c r="C3187" s="2" t="s">
        <v>1948</v>
      </c>
      <c r="D3187" s="1" t="s">
        <v>119</v>
      </c>
      <c r="E3187" s="3" t="str">
        <f>""</f>
        <v/>
      </c>
      <c r="F3187" s="2" t="s">
        <v>1323</v>
      </c>
      <c r="G3187" s="2" t="str">
        <f>CONCATENATE("GEORAD D.O.O.,"," KORNATSKA 1,"," 10000 ZAGREB,"," OIB: 49756748234")</f>
        <v>GEORAD D.O.O., KORNATSKA 1, 10000 ZAGREB, OIB: 49756748234</v>
      </c>
      <c r="H3187" s="4"/>
      <c r="I3187" s="1" t="s">
        <v>1449</v>
      </c>
      <c r="J3187" s="5">
        <v>43601</v>
      </c>
      <c r="K3187" s="6" t="str">
        <f>"315.872,00"</f>
        <v>315.872,00</v>
      </c>
      <c r="L3187" s="6" t="str">
        <f>"78.968,00"</f>
        <v>78.968,00</v>
      </c>
      <c r="M3187" s="6" t="str">
        <f>"394.840,00"</f>
        <v>394.840,00</v>
      </c>
      <c r="N3187" s="1" t="s">
        <v>117</v>
      </c>
      <c r="O3187" s="7"/>
      <c r="P3187" s="6" t="str">
        <f>""</f>
        <v/>
      </c>
      <c r="Q3187" s="7"/>
      <c r="R3187" s="1"/>
      <c r="S3187" s="1" t="str">
        <f>"J-N-16/18"</f>
        <v>J-N-16/18</v>
      </c>
      <c r="T3187" s="2" t="s">
        <v>29</v>
      </c>
    </row>
    <row r="3188" spans="1:20" ht="25.5" x14ac:dyDescent="0.25">
      <c r="A3188" s="1">
        <v>3184</v>
      </c>
      <c r="B3188" s="1" t="str">
        <f>"2018-2491"</f>
        <v>2018-2491</v>
      </c>
      <c r="C3188" s="2" t="s">
        <v>1949</v>
      </c>
      <c r="D3188" s="1" t="s">
        <v>1950</v>
      </c>
      <c r="E3188" s="3" t="str">
        <f>""</f>
        <v/>
      </c>
      <c r="F3188" s="2" t="s">
        <v>1323</v>
      </c>
      <c r="G3188" s="2" t="str">
        <f>CONCATENATE("HM PATRIA D.O.O.,"," OBOJ 47,"," 10000 ZAGREB,"," OIB: 89124687679")</f>
        <v>HM PATRIA D.O.O., OBOJ 47, 10000 ZAGREB, OIB: 89124687679</v>
      </c>
      <c r="H3188" s="4"/>
      <c r="I3188" s="1" t="s">
        <v>996</v>
      </c>
      <c r="J3188" s="5">
        <v>43613</v>
      </c>
      <c r="K3188" s="6" t="str">
        <f>"77.470,00"</f>
        <v>77.470,00</v>
      </c>
      <c r="L3188" s="6" t="str">
        <f>"19.367,50"</f>
        <v>19.367,50</v>
      </c>
      <c r="M3188" s="6" t="str">
        <f>"96.837,50"</f>
        <v>96.837,50</v>
      </c>
      <c r="N3188" s="5">
        <v>43403</v>
      </c>
      <c r="O3188" s="7"/>
      <c r="P3188" s="6" t="str">
        <f>"70.112,50"</f>
        <v>70.112,50</v>
      </c>
      <c r="Q3188" s="7"/>
      <c r="R3188" s="1"/>
      <c r="S3188" s="1" t="str">
        <f>"J-N-17/18"</f>
        <v>J-N-17/18</v>
      </c>
      <c r="T3188" s="2" t="s">
        <v>29</v>
      </c>
    </row>
    <row r="3189" spans="1:20" ht="51" x14ac:dyDescent="0.25">
      <c r="A3189" s="1">
        <v>3185</v>
      </c>
      <c r="B3189" s="1" t="str">
        <f>"2018-2693"</f>
        <v>2018-2693</v>
      </c>
      <c r="C3189" s="2" t="s">
        <v>1951</v>
      </c>
      <c r="D3189" s="1" t="s">
        <v>1384</v>
      </c>
      <c r="E3189" s="3" t="str">
        <f>""</f>
        <v/>
      </c>
      <c r="F3189" s="2" t="s">
        <v>1323</v>
      </c>
      <c r="G3189" s="2" t="str">
        <f>CONCATENATE("HIDRO PLUS D.O.O.,"," REISNEROVA 115,"," 31000 OSIJEK,"," OIB: 33089184428")</f>
        <v>HIDRO PLUS D.O.O., REISNEROVA 115, 31000 OSIJEK, OIB: 33089184428</v>
      </c>
      <c r="H3189" s="4"/>
      <c r="I3189" s="1" t="s">
        <v>1017</v>
      </c>
      <c r="J3189" s="5">
        <v>43635</v>
      </c>
      <c r="K3189" s="6" t="str">
        <f>"34.200,00"</f>
        <v>34.200,00</v>
      </c>
      <c r="L3189" s="6" t="str">
        <f>"8.550,00"</f>
        <v>8.550,00</v>
      </c>
      <c r="M3189" s="6" t="str">
        <f>"42.750,00"</f>
        <v>42.750,00</v>
      </c>
      <c r="N3189" s="1" t="s">
        <v>117</v>
      </c>
      <c r="O3189" s="7"/>
      <c r="P3189" s="6" t="str">
        <f>""</f>
        <v/>
      </c>
      <c r="Q3189" s="7"/>
      <c r="R3189" s="1"/>
      <c r="S3189" s="1" t="str">
        <f>"J-N-19/18"</f>
        <v>J-N-19/18</v>
      </c>
      <c r="T3189" s="2" t="s">
        <v>29</v>
      </c>
    </row>
    <row r="3190" spans="1:20" ht="89.25" x14ac:dyDescent="0.25">
      <c r="A3190" s="1">
        <v>3186</v>
      </c>
      <c r="B3190" s="1" t="str">
        <f>"2018-2290"</f>
        <v>2018-2290</v>
      </c>
      <c r="C3190" s="2" t="s">
        <v>1952</v>
      </c>
      <c r="D3190" s="1" t="s">
        <v>1384</v>
      </c>
      <c r="E3190" s="3" t="str">
        <f>""</f>
        <v/>
      </c>
      <c r="F3190" s="2" t="s">
        <v>1323</v>
      </c>
      <c r="G3190" s="2" t="str">
        <f>CONCATENATE("HIDRO PLUS D.O.O.,"," REISNEROVA 115,"," 31000 OSIJEK,"," OIB: 33089184428")</f>
        <v>HIDRO PLUS D.O.O., REISNEROVA 115, 31000 OSIJEK, OIB: 33089184428</v>
      </c>
      <c r="H3190" s="1" t="str">
        <f>CONCATENATE("URED OVLAŠTENOG INŽENJERA GEODEZIJE FRANJO MIJAKOVIĆ,"," OIB: 34353658529")</f>
        <v>URED OVLAŠTENOG INŽENJERA GEODEZIJE FRANJO MIJAKOVIĆ, OIB: 34353658529</v>
      </c>
      <c r="I3190" s="1" t="s">
        <v>1017</v>
      </c>
      <c r="J3190" s="5">
        <v>43635</v>
      </c>
      <c r="K3190" s="6" t="str">
        <f>"48.400,00"</f>
        <v>48.400,00</v>
      </c>
      <c r="L3190" s="6" t="str">
        <f>"12.100,00"</f>
        <v>12.100,00</v>
      </c>
      <c r="M3190" s="6" t="str">
        <f>"60.500,00"</f>
        <v>60.500,00</v>
      </c>
      <c r="N3190" s="1" t="s">
        <v>117</v>
      </c>
      <c r="O3190" s="7"/>
      <c r="P3190" s="6" t="str">
        <f>""</f>
        <v/>
      </c>
      <c r="Q3190" s="7"/>
      <c r="R3190" s="1"/>
      <c r="S3190" s="1" t="str">
        <f>"J-N-20/18"</f>
        <v>J-N-20/18</v>
      </c>
      <c r="T3190" s="2" t="s">
        <v>29</v>
      </c>
    </row>
    <row r="3191" spans="1:20" ht="51" x14ac:dyDescent="0.25">
      <c r="A3191" s="1">
        <v>3187</v>
      </c>
      <c r="B3191" s="1" t="str">
        <f>"2018-2017"</f>
        <v>2018-2017</v>
      </c>
      <c r="C3191" s="2" t="s">
        <v>1953</v>
      </c>
      <c r="D3191" s="1" t="s">
        <v>1384</v>
      </c>
      <c r="E3191" s="3" t="str">
        <f>""</f>
        <v/>
      </c>
      <c r="F3191" s="2" t="s">
        <v>1323</v>
      </c>
      <c r="G3191" s="2" t="str">
        <f>CONCATENATE("SEDRA CONSULTING D.O.O.,"," USKOPSKA 11,"," 10010 ZAGREB,"," OIB: 09177957072")</f>
        <v>SEDRA CONSULTING D.O.O., USKOPSKA 11, 10010 ZAGREB, OIB: 09177957072</v>
      </c>
      <c r="H3191" s="4"/>
      <c r="I3191" s="1" t="s">
        <v>505</v>
      </c>
      <c r="J3191" s="5">
        <v>43634</v>
      </c>
      <c r="K3191" s="6" t="str">
        <f>"68.000,00"</f>
        <v>68.000,00</v>
      </c>
      <c r="L3191" s="6" t="str">
        <f>"17.000,00"</f>
        <v>17.000,00</v>
      </c>
      <c r="M3191" s="6" t="str">
        <f>"85.000,00"</f>
        <v>85.000,00</v>
      </c>
      <c r="N3191" s="1" t="s">
        <v>117</v>
      </c>
      <c r="O3191" s="7"/>
      <c r="P3191" s="6" t="str">
        <f>""</f>
        <v/>
      </c>
      <c r="Q3191" s="7"/>
      <c r="R3191" s="1"/>
      <c r="S3191" s="1" t="str">
        <f>"J-N-21/18"</f>
        <v>J-N-21/18</v>
      </c>
      <c r="T3191" s="2" t="s">
        <v>29</v>
      </c>
    </row>
    <row r="3192" spans="1:20" ht="76.5" x14ac:dyDescent="0.25">
      <c r="A3192" s="1">
        <v>3188</v>
      </c>
      <c r="B3192" s="1" t="str">
        <f>"2018-2314"</f>
        <v>2018-2314</v>
      </c>
      <c r="C3192" s="2" t="s">
        <v>1954</v>
      </c>
      <c r="D3192" s="1" t="s">
        <v>119</v>
      </c>
      <c r="E3192" s="3" t="str">
        <f>""</f>
        <v/>
      </c>
      <c r="F3192" s="2" t="s">
        <v>1323</v>
      </c>
      <c r="G3192" s="2" t="str">
        <f>CONCATENATE("NEVING D.O.O.,"," PAVLA RADIĆA 3,"," 10000 ZAGREB,"," OIB: 70989676533")</f>
        <v>NEVING D.O.O., PAVLA RADIĆA 3, 10000 ZAGREB, OIB: 70989676533</v>
      </c>
      <c r="H3192" s="1" t="str">
        <f>CONCATENATE("AKSIJAL D.O.O.,"," OIB: 73216285877",CHAR(10),"GEO GRUPA D.O.O.,"," OIB: 56055678342")</f>
        <v>AKSIJAL D.O.O., OIB: 73216285877
GEO GRUPA D.O.O., OIB: 56055678342</v>
      </c>
      <c r="I3192" s="1" t="s">
        <v>1955</v>
      </c>
      <c r="J3192" s="5">
        <v>43637</v>
      </c>
      <c r="K3192" s="6" t="str">
        <f>"255.815,00"</f>
        <v>255.815,00</v>
      </c>
      <c r="L3192" s="6" t="str">
        <f>"63.953,75"</f>
        <v>63.953,75</v>
      </c>
      <c r="M3192" s="6" t="str">
        <f>"319.768,75"</f>
        <v>319.768,75</v>
      </c>
      <c r="N3192" s="1" t="s">
        <v>117</v>
      </c>
      <c r="O3192" s="7"/>
      <c r="P3192" s="6" t="str">
        <f>""</f>
        <v/>
      </c>
      <c r="Q3192" s="7"/>
      <c r="R3192" s="1"/>
      <c r="S3192" s="1" t="str">
        <f>"J-N-22/18"</f>
        <v>J-N-22/18</v>
      </c>
      <c r="T3192" s="2" t="s">
        <v>29</v>
      </c>
    </row>
    <row r="3193" spans="1:20" ht="51" x14ac:dyDescent="0.25">
      <c r="A3193" s="1">
        <v>3189</v>
      </c>
      <c r="B3193" s="1" t="str">
        <f>"2018-1791"</f>
        <v>2018-1791</v>
      </c>
      <c r="C3193" s="2" t="s">
        <v>1956</v>
      </c>
      <c r="D3193" s="1" t="s">
        <v>1384</v>
      </c>
      <c r="E3193" s="3" t="str">
        <f>""</f>
        <v/>
      </c>
      <c r="F3193" s="2" t="s">
        <v>1323</v>
      </c>
      <c r="G3193" s="2" t="str">
        <f>CONCATENATE("ARHINGTRADE D.O.O.,"," GAJEVA 47,"," 10000 ZAGREB,"," OIB: 19240285746")</f>
        <v>ARHINGTRADE D.O.O., GAJEVA 47, 10000 ZAGREB, OIB: 19240285746</v>
      </c>
      <c r="H3193" s="4"/>
      <c r="I3193" s="1" t="s">
        <v>1004</v>
      </c>
      <c r="J3193" s="5">
        <v>43658</v>
      </c>
      <c r="K3193" s="6" t="str">
        <f>"87.000,00"</f>
        <v>87.000,00</v>
      </c>
      <c r="L3193" s="6" t="str">
        <f>"21.750,00"</f>
        <v>21.750,00</v>
      </c>
      <c r="M3193" s="6" t="str">
        <f>"108.750,00"</f>
        <v>108.750,00</v>
      </c>
      <c r="N3193" s="1" t="s">
        <v>117</v>
      </c>
      <c r="O3193" s="7"/>
      <c r="P3193" s="6" t="str">
        <f>""</f>
        <v/>
      </c>
      <c r="Q3193" s="7"/>
      <c r="R3193" s="1"/>
      <c r="S3193" s="1" t="str">
        <f>"J-N-24/18"</f>
        <v>J-N-24/18</v>
      </c>
      <c r="T3193" s="2" t="s">
        <v>29</v>
      </c>
    </row>
    <row r="3194" spans="1:20" ht="38.25" x14ac:dyDescent="0.25">
      <c r="A3194" s="1">
        <v>3190</v>
      </c>
      <c r="B3194" s="1" t="str">
        <f>"2018-2437"</f>
        <v>2018-2437</v>
      </c>
      <c r="C3194" s="2" t="s">
        <v>1957</v>
      </c>
      <c r="D3194" s="1" t="s">
        <v>1384</v>
      </c>
      <c r="E3194" s="3" t="str">
        <f>""</f>
        <v/>
      </c>
      <c r="F3194" s="2" t="s">
        <v>1323</v>
      </c>
      <c r="G3194" s="2" t="str">
        <f>CONCATENATE("IGR D.O.O.,"," AUGUSTA ŠENOE 9,"," 10000 ZAGREB,"," OIB: 00000519429")</f>
        <v>IGR D.O.O., AUGUSTA ŠENOE 9, 10000 ZAGREB, OIB: 00000519429</v>
      </c>
      <c r="H3194" s="4"/>
      <c r="I3194" s="1" t="s">
        <v>586</v>
      </c>
      <c r="J3194" s="5">
        <v>43644</v>
      </c>
      <c r="K3194" s="6" t="str">
        <f>"45.000,00"</f>
        <v>45.000,00</v>
      </c>
      <c r="L3194" s="6" t="str">
        <f>"11.250,00"</f>
        <v>11.250,00</v>
      </c>
      <c r="M3194" s="6" t="str">
        <f>"56.250,00"</f>
        <v>56.250,00</v>
      </c>
      <c r="N3194" s="1" t="s">
        <v>117</v>
      </c>
      <c r="O3194" s="7"/>
      <c r="P3194" s="6" t="str">
        <f>""</f>
        <v/>
      </c>
      <c r="Q3194" s="7"/>
      <c r="R3194" s="1"/>
      <c r="S3194" s="1" t="str">
        <f>"J-N-25/18"</f>
        <v>J-N-25/18</v>
      </c>
      <c r="T3194" s="2" t="s">
        <v>29</v>
      </c>
    </row>
    <row r="3195" spans="1:20" ht="76.5" x14ac:dyDescent="0.25">
      <c r="A3195" s="1">
        <v>3191</v>
      </c>
      <c r="B3195" s="1" t="str">
        <f>"2018-368"</f>
        <v>2018-368</v>
      </c>
      <c r="C3195" s="2" t="s">
        <v>1958</v>
      </c>
      <c r="D3195" s="1" t="s">
        <v>119</v>
      </c>
      <c r="E3195" s="3" t="str">
        <f>""</f>
        <v/>
      </c>
      <c r="F3195" s="2" t="s">
        <v>1323</v>
      </c>
      <c r="G3195" s="2" t="str">
        <f>CONCATENATE("HIDRO GRAD D.O.O.,"," GUSTAVA KRKLECA,"," RAKITJE 6,"," 10437 BESTOVJE,"," OIB: 49528301725")</f>
        <v>HIDRO GRAD D.O.O., GUSTAVA KRKLECA, RAKITJE 6, 10437 BESTOVJE, OIB: 49528301725</v>
      </c>
      <c r="H3195" s="1" t="str">
        <f>CONCATENATE("PATRLJI D.O.O.,"," OIB: 11170922230",CHAR(10),"GEO MEDIA D.O.O.,"," OIB: 63264844366")</f>
        <v>PATRLJI D.O.O., OIB: 11170922230
GEO MEDIA D.O.O., OIB: 63264844366</v>
      </c>
      <c r="I3195" s="1" t="s">
        <v>1000</v>
      </c>
      <c r="J3195" s="5">
        <v>43643</v>
      </c>
      <c r="K3195" s="6" t="str">
        <f>"177.887,43"</f>
        <v>177.887,43</v>
      </c>
      <c r="L3195" s="6" t="str">
        <f>"44.471,86"</f>
        <v>44.471,86</v>
      </c>
      <c r="M3195" s="6" t="str">
        <f>"222.359,29"</f>
        <v>222.359,29</v>
      </c>
      <c r="N3195" s="1" t="s">
        <v>117</v>
      </c>
      <c r="O3195" s="7"/>
      <c r="P3195" s="6" t="str">
        <f>""</f>
        <v/>
      </c>
      <c r="Q3195" s="7"/>
      <c r="R3195" s="1"/>
      <c r="S3195" s="1" t="str">
        <f>"J-N-26/18"</f>
        <v>J-N-26/18</v>
      </c>
      <c r="T3195" s="2" t="s">
        <v>29</v>
      </c>
    </row>
    <row r="3196" spans="1:20" ht="63.75" x14ac:dyDescent="0.25">
      <c r="A3196" s="1">
        <v>3192</v>
      </c>
      <c r="B3196" s="1" t="str">
        <f>"2018-2268"</f>
        <v>2018-2268</v>
      </c>
      <c r="C3196" s="2" t="s">
        <v>1959</v>
      </c>
      <c r="D3196" s="1" t="s">
        <v>1322</v>
      </c>
      <c r="E3196" s="3" t="str">
        <f>""</f>
        <v/>
      </c>
      <c r="F3196" s="2" t="s">
        <v>1323</v>
      </c>
      <c r="G3196" s="2" t="str">
        <f>CONCATENATE("FIDON D.O.O.,"," TRPINJSKA ULICA 5,"," 10000 ZAGREB,"," OIB: 61198189867")</f>
        <v>FIDON D.O.O., TRPINJSKA ULICA 5, 10000 ZAGREB, OIB: 61198189867</v>
      </c>
      <c r="H3196" s="4"/>
      <c r="I3196" s="1" t="s">
        <v>897</v>
      </c>
      <c r="J3196" s="5">
        <v>43630</v>
      </c>
      <c r="K3196" s="6" t="str">
        <f>"196.800,00"</f>
        <v>196.800,00</v>
      </c>
      <c r="L3196" s="6" t="str">
        <f>"49.200,00"</f>
        <v>49.200,00</v>
      </c>
      <c r="M3196" s="6" t="str">
        <f>"246.000,00"</f>
        <v>246.000,00</v>
      </c>
      <c r="N3196" s="1" t="s">
        <v>117</v>
      </c>
      <c r="O3196" s="7"/>
      <c r="P3196" s="6" t="str">
        <f>""</f>
        <v/>
      </c>
      <c r="Q3196" s="7"/>
      <c r="R3196" s="1"/>
      <c r="S3196" s="1" t="str">
        <f>"J-N-27/18"</f>
        <v>J-N-27/18</v>
      </c>
      <c r="T3196" s="2" t="s">
        <v>29</v>
      </c>
    </row>
    <row r="3197" spans="1:20" ht="38.25" x14ac:dyDescent="0.25">
      <c r="A3197" s="1">
        <v>3193</v>
      </c>
      <c r="B3197" s="1" t="str">
        <f>"2018-949"</f>
        <v>2018-949</v>
      </c>
      <c r="C3197" s="2" t="s">
        <v>1960</v>
      </c>
      <c r="D3197" s="1" t="s">
        <v>1384</v>
      </c>
      <c r="E3197" s="3" t="str">
        <f>""</f>
        <v/>
      </c>
      <c r="F3197" s="2" t="s">
        <v>1323</v>
      </c>
      <c r="G3197" s="2" t="str">
        <f>CONCATENATE("IGR D.O.O.,"," AUGUSTA ŠENOE 9,"," 10000 ZAGREB,"," OIB: 00000519429")</f>
        <v>IGR D.O.O., AUGUSTA ŠENOE 9, 10000 ZAGREB, OIB: 00000519429</v>
      </c>
      <c r="H3197" s="4"/>
      <c r="I3197" s="1" t="s">
        <v>1000</v>
      </c>
      <c r="J3197" s="5">
        <v>43643</v>
      </c>
      <c r="K3197" s="6" t="str">
        <f>"45.000,00"</f>
        <v>45.000,00</v>
      </c>
      <c r="L3197" s="6" t="str">
        <f>"11.250,00"</f>
        <v>11.250,00</v>
      </c>
      <c r="M3197" s="6" t="str">
        <f>"56.250,00"</f>
        <v>56.250,00</v>
      </c>
      <c r="N3197" s="1" t="s">
        <v>117</v>
      </c>
      <c r="O3197" s="7"/>
      <c r="P3197" s="6" t="str">
        <f>""</f>
        <v/>
      </c>
      <c r="Q3197" s="7"/>
      <c r="R3197" s="1"/>
      <c r="S3197" s="1" t="str">
        <f>"J-N-29/18"</f>
        <v>J-N-29/18</v>
      </c>
      <c r="T3197" s="2" t="s">
        <v>29</v>
      </c>
    </row>
    <row r="3198" spans="1:20" ht="25.5" x14ac:dyDescent="0.25">
      <c r="A3198" s="1">
        <v>3194</v>
      </c>
      <c r="B3198" s="1" t="str">
        <f>"2018-1868"</f>
        <v>2018-1868</v>
      </c>
      <c r="C3198" s="2" t="s">
        <v>1961</v>
      </c>
      <c r="D3198" s="1" t="s">
        <v>223</v>
      </c>
      <c r="E3198" s="3" t="str">
        <f>""</f>
        <v/>
      </c>
      <c r="F3198" s="2" t="s">
        <v>1323</v>
      </c>
      <c r="G3198" s="2" t="str">
        <f>CONCATENATE("ZAGREB DATA D.O.O.,"," HRVATSKOG PROLJEĆA 28,"," 10000 ZAGREB,"," OIB: 27712717103")</f>
        <v>ZAGREB DATA D.O.O., HRVATSKOG PROLJEĆA 28, 10000 ZAGREB, OIB: 27712717103</v>
      </c>
      <c r="H3198" s="4"/>
      <c r="I3198" s="1" t="s">
        <v>1017</v>
      </c>
      <c r="J3198" s="5">
        <v>43635</v>
      </c>
      <c r="K3198" s="6" t="str">
        <f>"194.200,00"</f>
        <v>194.200,00</v>
      </c>
      <c r="L3198" s="6" t="str">
        <f>"48.550,00"</f>
        <v>48.550,00</v>
      </c>
      <c r="M3198" s="6" t="str">
        <f>"242.750,00"</f>
        <v>242.750,00</v>
      </c>
      <c r="N3198" s="5">
        <v>43616</v>
      </c>
      <c r="O3198" s="7"/>
      <c r="P3198" s="6" t="str">
        <f>"242.750,00"</f>
        <v>242.750,00</v>
      </c>
      <c r="Q3198" s="7"/>
      <c r="R3198" s="1"/>
      <c r="S3198" s="1" t="str">
        <f>"J-N-31/18"</f>
        <v>J-N-31/18</v>
      </c>
      <c r="T3198" s="2" t="s">
        <v>112</v>
      </c>
    </row>
    <row r="3199" spans="1:20" ht="63.75" x14ac:dyDescent="0.25">
      <c r="A3199" s="1">
        <v>3195</v>
      </c>
      <c r="B3199" s="1" t="str">
        <f>"2018-1455"</f>
        <v>2018-1455</v>
      </c>
      <c r="C3199" s="2" t="s">
        <v>1962</v>
      </c>
      <c r="D3199" s="1" t="s">
        <v>1384</v>
      </c>
      <c r="E3199" s="3" t="str">
        <f>""</f>
        <v/>
      </c>
      <c r="F3199" s="2" t="s">
        <v>1323</v>
      </c>
      <c r="G3199" s="2" t="str">
        <f>CONCATENATE("IGR D.O.O.,"," AUGUSTA ŠENOE 9,"," 10000 ZAGREB,"," OIB: 00000519429")</f>
        <v>IGR D.O.O., AUGUSTA ŠENOE 9, 10000 ZAGREB, OIB: 00000519429</v>
      </c>
      <c r="H3199" s="4"/>
      <c r="I3199" s="1" t="s">
        <v>902</v>
      </c>
      <c r="J3199" s="5">
        <v>43657</v>
      </c>
      <c r="K3199" s="6" t="str">
        <f>"32.500,00"</f>
        <v>32.500,00</v>
      </c>
      <c r="L3199" s="6" t="str">
        <f>"8.125,00"</f>
        <v>8.125,00</v>
      </c>
      <c r="M3199" s="6" t="str">
        <f>"40.625,00"</f>
        <v>40.625,00</v>
      </c>
      <c r="N3199" s="1" t="s">
        <v>117</v>
      </c>
      <c r="O3199" s="7"/>
      <c r="P3199" s="6" t="str">
        <f>""</f>
        <v/>
      </c>
      <c r="Q3199" s="7"/>
      <c r="R3199" s="1"/>
      <c r="S3199" s="1" t="str">
        <f>"J-N-33/18"</f>
        <v>J-N-33/18</v>
      </c>
      <c r="T3199" s="2" t="s">
        <v>29</v>
      </c>
    </row>
    <row r="3200" spans="1:20" ht="51" x14ac:dyDescent="0.25">
      <c r="A3200" s="1">
        <v>3196</v>
      </c>
      <c r="B3200" s="1" t="str">
        <f>"2018-2077"</f>
        <v>2018-2077</v>
      </c>
      <c r="C3200" s="2" t="s">
        <v>1963</v>
      </c>
      <c r="D3200" s="1" t="s">
        <v>1384</v>
      </c>
      <c r="E3200" s="3" t="str">
        <f>""</f>
        <v/>
      </c>
      <c r="F3200" s="2" t="s">
        <v>1323</v>
      </c>
      <c r="G3200" s="2" t="str">
        <f>CONCATENATE("PROJEKTNI BIRO NAGLIĆ D.O.O.,"," OLIBSKA 17,"," 10000 ZAGREB,"," OIB: 18216105743")</f>
        <v>PROJEKTNI BIRO NAGLIĆ D.O.O., OLIBSKA 17, 10000 ZAGREB, OIB: 18216105743</v>
      </c>
      <c r="H3200" s="4"/>
      <c r="I3200" s="1" t="s">
        <v>1964</v>
      </c>
      <c r="J3200" s="5">
        <v>43680</v>
      </c>
      <c r="K3200" s="6" t="str">
        <f>"58.500,00"</f>
        <v>58.500,00</v>
      </c>
      <c r="L3200" s="6" t="str">
        <f>"14.625,00"</f>
        <v>14.625,00</v>
      </c>
      <c r="M3200" s="6" t="str">
        <f>"73.125,00"</f>
        <v>73.125,00</v>
      </c>
      <c r="N3200" s="1" t="s">
        <v>117</v>
      </c>
      <c r="O3200" s="7"/>
      <c r="P3200" s="6" t="str">
        <f>""</f>
        <v/>
      </c>
      <c r="Q3200" s="7"/>
      <c r="R3200" s="1"/>
      <c r="S3200" s="1" t="str">
        <f>"J-N-34/18"</f>
        <v>J-N-34/18</v>
      </c>
      <c r="T3200" s="2" t="s">
        <v>29</v>
      </c>
    </row>
    <row r="3201" spans="1:20" ht="63.75" x14ac:dyDescent="0.25">
      <c r="A3201" s="1">
        <v>3197</v>
      </c>
      <c r="B3201" s="1" t="str">
        <f>"2018-1124"</f>
        <v>2018-1124</v>
      </c>
      <c r="C3201" s="2" t="s">
        <v>1965</v>
      </c>
      <c r="D3201" s="1" t="s">
        <v>1384</v>
      </c>
      <c r="E3201" s="3" t="str">
        <f>""</f>
        <v/>
      </c>
      <c r="F3201" s="2" t="s">
        <v>1323</v>
      </c>
      <c r="G3201" s="2" t="str">
        <f>CONCATENATE("KAPROJEKT D.O.O.,"," M. VRHOVCA 3,"," 47000 KARLOVAC,"," OIB: 42714818335")</f>
        <v>KAPROJEKT D.O.O., M. VRHOVCA 3, 47000 KARLOVAC, OIB: 42714818335</v>
      </c>
      <c r="H3201" s="1" t="str">
        <f>CONCATENATE("GEOASPEKT D.O.O.,"," OIB: 65266041437")</f>
        <v>GEOASPEKT D.O.O., OIB: 65266041437</v>
      </c>
      <c r="I3201" s="1" t="s">
        <v>111</v>
      </c>
      <c r="J3201" s="5">
        <v>43666</v>
      </c>
      <c r="K3201" s="6" t="str">
        <f>"78.600,00"</f>
        <v>78.600,00</v>
      </c>
      <c r="L3201" s="6" t="str">
        <f>"19.650,00"</f>
        <v>19.650,00</v>
      </c>
      <c r="M3201" s="6" t="str">
        <f>"98.250,00"</f>
        <v>98.250,00</v>
      </c>
      <c r="N3201" s="1" t="s">
        <v>117</v>
      </c>
      <c r="O3201" s="7"/>
      <c r="P3201" s="6" t="str">
        <f>""</f>
        <v/>
      </c>
      <c r="Q3201" s="7"/>
      <c r="R3201" s="1"/>
      <c r="S3201" s="1" t="str">
        <f>"J-N-35/18"</f>
        <v>J-N-35/18</v>
      </c>
      <c r="T3201" s="2" t="s">
        <v>29</v>
      </c>
    </row>
    <row r="3202" spans="1:20" ht="51" x14ac:dyDescent="0.25">
      <c r="A3202" s="1">
        <v>3198</v>
      </c>
      <c r="B3202" s="1" t="str">
        <f>"2018-1142"</f>
        <v>2018-1142</v>
      </c>
      <c r="C3202" s="2" t="s">
        <v>1966</v>
      </c>
      <c r="D3202" s="1" t="s">
        <v>1384</v>
      </c>
      <c r="E3202" s="3" t="str">
        <f>""</f>
        <v/>
      </c>
      <c r="F3202" s="2" t="s">
        <v>1323</v>
      </c>
      <c r="G3202" s="2" t="str">
        <f>CONCATENATE("SEDRA CONSULTING D.O.O.,"," USKOPSKA 11,"," 10010 ZAGREB,"," OIB: 09177957072")</f>
        <v>SEDRA CONSULTING D.O.O., USKOPSKA 11, 10010 ZAGREB, OIB: 09177957072</v>
      </c>
      <c r="H3202" s="4"/>
      <c r="I3202" s="1" t="s">
        <v>1055</v>
      </c>
      <c r="J3202" s="5">
        <v>43684</v>
      </c>
      <c r="K3202" s="6" t="str">
        <f>"24.400,00"</f>
        <v>24.400,00</v>
      </c>
      <c r="L3202" s="6" t="str">
        <f>"6.100,00"</f>
        <v>6.100,00</v>
      </c>
      <c r="M3202" s="6" t="str">
        <f>"30.500,00"</f>
        <v>30.500,00</v>
      </c>
      <c r="N3202" s="1" t="s">
        <v>117</v>
      </c>
      <c r="O3202" s="7"/>
      <c r="P3202" s="6" t="str">
        <f>""</f>
        <v/>
      </c>
      <c r="Q3202" s="7"/>
      <c r="R3202" s="1"/>
      <c r="S3202" s="1" t="str">
        <f>"J-N-36/18"</f>
        <v>J-N-36/18</v>
      </c>
      <c r="T3202" s="2" t="s">
        <v>29</v>
      </c>
    </row>
    <row r="3203" spans="1:20" ht="51" x14ac:dyDescent="0.25">
      <c r="A3203" s="1">
        <v>3199</v>
      </c>
      <c r="B3203" s="1" t="str">
        <f>"2018-747"</f>
        <v>2018-747</v>
      </c>
      <c r="C3203" s="2" t="s">
        <v>1967</v>
      </c>
      <c r="D3203" s="1" t="s">
        <v>1384</v>
      </c>
      <c r="E3203" s="3" t="str">
        <f>""</f>
        <v/>
      </c>
      <c r="F3203" s="2" t="s">
        <v>1323</v>
      </c>
      <c r="G3203" s="2" t="str">
        <f>CONCATENATE("PROJEKTNI BIRO NAGLIĆ D.O.O.,"," OLIBSKA 17,"," 10000 ZAGREB,"," OIB: 18216105743")</f>
        <v>PROJEKTNI BIRO NAGLIĆ D.O.O., OLIBSKA 17, 10000 ZAGREB, OIB: 18216105743</v>
      </c>
      <c r="H3203" s="4"/>
      <c r="I3203" s="1" t="s">
        <v>1059</v>
      </c>
      <c r="J3203" s="5">
        <v>43690</v>
      </c>
      <c r="K3203" s="6" t="str">
        <f>"58.500,00"</f>
        <v>58.500,00</v>
      </c>
      <c r="L3203" s="6" t="str">
        <f>"14.625,00"</f>
        <v>14.625,00</v>
      </c>
      <c r="M3203" s="6" t="str">
        <f>"73.125,00"</f>
        <v>73.125,00</v>
      </c>
      <c r="N3203" s="1" t="s">
        <v>117</v>
      </c>
      <c r="O3203" s="7"/>
      <c r="P3203" s="6" t="str">
        <f>""</f>
        <v/>
      </c>
      <c r="Q3203" s="7"/>
      <c r="R3203" s="1"/>
      <c r="S3203" s="1" t="str">
        <f>"J-N-37/18"</f>
        <v>J-N-37/18</v>
      </c>
      <c r="T3203" s="2" t="s">
        <v>29</v>
      </c>
    </row>
    <row r="3204" spans="1:20" ht="25.5" x14ac:dyDescent="0.25">
      <c r="A3204" s="1">
        <v>3200</v>
      </c>
      <c r="B3204" s="1" t="str">
        <f>"2018-2994"</f>
        <v>2018-2994</v>
      </c>
      <c r="C3204" s="2" t="s">
        <v>1968</v>
      </c>
      <c r="D3204" s="1" t="s">
        <v>1969</v>
      </c>
      <c r="E3204" s="3" t="str">
        <f>""</f>
        <v/>
      </c>
      <c r="F3204" s="2" t="s">
        <v>1323</v>
      </c>
      <c r="G3204" s="2" t="str">
        <f>CONCATENATE("CROM D.O.O.,"," OBRTNIČKA 2,"," 10000 ZAGREB,"," OIB: 17145318195")</f>
        <v>CROM D.O.O., OBRTNIČKA 2, 10000 ZAGREB, OIB: 17145318195</v>
      </c>
      <c r="H3204" s="4"/>
      <c r="I3204" s="1" t="s">
        <v>1059</v>
      </c>
      <c r="J3204" s="5">
        <v>43690</v>
      </c>
      <c r="K3204" s="6" t="str">
        <f>"159.820,00"</f>
        <v>159.820,00</v>
      </c>
      <c r="L3204" s="6" t="str">
        <f>"39.955,00"</f>
        <v>39.955,00</v>
      </c>
      <c r="M3204" s="6" t="str">
        <f>"199.775,00"</f>
        <v>199.775,00</v>
      </c>
      <c r="N3204" s="1" t="s">
        <v>117</v>
      </c>
      <c r="O3204" s="7"/>
      <c r="P3204" s="6" t="str">
        <f>""</f>
        <v/>
      </c>
      <c r="Q3204" s="7"/>
      <c r="R3204" s="1"/>
      <c r="S3204" s="1" t="str">
        <f>"J-N-38/18"</f>
        <v>J-N-38/18</v>
      </c>
      <c r="T3204" s="2" t="s">
        <v>538</v>
      </c>
    </row>
    <row r="3205" spans="1:20" ht="38.25" x14ac:dyDescent="0.25">
      <c r="A3205" s="1">
        <v>3201</v>
      </c>
      <c r="B3205" s="1" t="str">
        <f>"2018-3001"</f>
        <v>2018-3001</v>
      </c>
      <c r="C3205" s="2" t="s">
        <v>1970</v>
      </c>
      <c r="D3205" s="1" t="s">
        <v>1971</v>
      </c>
      <c r="E3205" s="3" t="str">
        <f>""</f>
        <v/>
      </c>
      <c r="F3205" s="2" t="s">
        <v>1323</v>
      </c>
      <c r="G3205" s="2" t="str">
        <f>CONCATENATE("GEOTEHNIČKI STUDIO D.O.O.,"," UL. NIKOLE PAVIĆA 11,"," 10000 ZAGREB,"," OIB: 65389569788")</f>
        <v>GEOTEHNIČKI STUDIO D.O.O., UL. NIKOLE PAVIĆA 11, 10000 ZAGREB, OIB: 65389569788</v>
      </c>
      <c r="H3205" s="4"/>
      <c r="I3205" s="1" t="s">
        <v>315</v>
      </c>
      <c r="J3205" s="5">
        <v>43718</v>
      </c>
      <c r="K3205" s="6" t="str">
        <f>"173.000,00"</f>
        <v>173.000,00</v>
      </c>
      <c r="L3205" s="6" t="str">
        <f>"43.250,00"</f>
        <v>43.250,00</v>
      </c>
      <c r="M3205" s="6" t="str">
        <f>"216.250,00"</f>
        <v>216.250,00</v>
      </c>
      <c r="N3205" s="1" t="s">
        <v>117</v>
      </c>
      <c r="O3205" s="7"/>
      <c r="P3205" s="6" t="str">
        <f>""</f>
        <v/>
      </c>
      <c r="Q3205" s="7"/>
      <c r="R3205" s="1"/>
      <c r="S3205" s="1" t="str">
        <f>"J-N-46/18"</f>
        <v>J-N-46/18</v>
      </c>
      <c r="T3205" s="2" t="s">
        <v>29</v>
      </c>
    </row>
    <row r="3206" spans="1:20" ht="25.5" x14ac:dyDescent="0.25">
      <c r="A3206" s="1">
        <v>3202</v>
      </c>
      <c r="B3206" s="1" t="str">
        <f>"2018-2653"</f>
        <v>2018-2653</v>
      </c>
      <c r="C3206" s="2" t="s">
        <v>1972</v>
      </c>
      <c r="D3206" s="1" t="s">
        <v>1739</v>
      </c>
      <c r="E3206" s="3" t="str">
        <f>""</f>
        <v/>
      </c>
      <c r="F3206" s="2" t="s">
        <v>1323</v>
      </c>
      <c r="G3206" s="2" t="str">
        <f>CONCATENATE("FEROMIHIN D.O.O.,"," MOSLOVAČKA 22,"," 10315 NOVOSELEC,"," OIB: 34404573953")</f>
        <v>FEROMIHIN D.O.O., MOSLOVAČKA 22, 10315 NOVOSELEC, OIB: 34404573953</v>
      </c>
      <c r="H3206" s="4"/>
      <c r="I3206" s="1" t="s">
        <v>561</v>
      </c>
      <c r="J3206" s="5">
        <v>43719</v>
      </c>
      <c r="K3206" s="6" t="str">
        <f>"189.828,00"</f>
        <v>189.828,00</v>
      </c>
      <c r="L3206" s="6" t="str">
        <f>"47.457,00"</f>
        <v>47.457,00</v>
      </c>
      <c r="M3206" s="6" t="str">
        <f>"237.285,00"</f>
        <v>237.285,00</v>
      </c>
      <c r="N3206" s="1" t="s">
        <v>117</v>
      </c>
      <c r="O3206" s="7"/>
      <c r="P3206" s="6" t="str">
        <f>""</f>
        <v/>
      </c>
      <c r="Q3206" s="7"/>
      <c r="R3206" s="1"/>
      <c r="S3206" s="1" t="str">
        <f>"J-N-48/18"</f>
        <v>J-N-48/18</v>
      </c>
      <c r="T3206" s="2" t="s">
        <v>538</v>
      </c>
    </row>
    <row r="3207" spans="1:20" ht="114.75" x14ac:dyDescent="0.25">
      <c r="A3207" s="1">
        <v>3203</v>
      </c>
      <c r="B3207" s="1" t="str">
        <f>"2018-2654"</f>
        <v>2018-2654</v>
      </c>
      <c r="C3207" s="2" t="s">
        <v>1973</v>
      </c>
      <c r="D3207" s="1" t="s">
        <v>119</v>
      </c>
      <c r="E3207" s="3" t="str">
        <f>""</f>
        <v/>
      </c>
      <c r="F3207" s="2" t="s">
        <v>1323</v>
      </c>
      <c r="G3207" s="2" t="str">
        <f>CONCATENATE("NEVING D.O.O.,"," PAVLA RADIĆA 3,"," 10000 ZAGREB,"," OIB: 70989676533")</f>
        <v>NEVING D.O.O., PAVLA RADIĆA 3, 10000 ZAGREB, OIB: 70989676533</v>
      </c>
      <c r="H3207" s="1" t="str">
        <f>CONCATENATE("AKSIJAL D.O.O.,"," OIB: 73216285877",CHAR(10),"GEO GRUPA D.O.O.,"," OIB: 56055678342",CHAR(10),"NERING D.O.O.,"," OIB: 85965934616")</f>
        <v>AKSIJAL D.O.O., OIB: 73216285877
GEO GRUPA D.O.O., OIB: 56055678342
NERING D.O.O., OIB: 85965934616</v>
      </c>
      <c r="I3207" s="1" t="s">
        <v>569</v>
      </c>
      <c r="J3207" s="5">
        <v>43726</v>
      </c>
      <c r="K3207" s="6" t="str">
        <f>"190.851,60"</f>
        <v>190.851,60</v>
      </c>
      <c r="L3207" s="6" t="str">
        <f>"47.712,90"</f>
        <v>47.712,90</v>
      </c>
      <c r="M3207" s="6" t="str">
        <f>"238.564,50"</f>
        <v>238.564,50</v>
      </c>
      <c r="N3207" s="1" t="s">
        <v>117</v>
      </c>
      <c r="O3207" s="7"/>
      <c r="P3207" s="6" t="str">
        <f>""</f>
        <v/>
      </c>
      <c r="Q3207" s="7"/>
      <c r="R3207" s="1"/>
      <c r="S3207" s="1" t="str">
        <f>"J-N-51/18"</f>
        <v>J-N-51/18</v>
      </c>
      <c r="T3207" s="2" t="s">
        <v>29</v>
      </c>
    </row>
    <row r="3208" spans="1:20" ht="38.25" x14ac:dyDescent="0.25">
      <c r="A3208" s="1">
        <v>3204</v>
      </c>
      <c r="B3208" s="1" t="str">
        <f>"2018-2843"</f>
        <v>2018-2843</v>
      </c>
      <c r="C3208" s="2" t="s">
        <v>1974</v>
      </c>
      <c r="D3208" s="1" t="s">
        <v>762</v>
      </c>
      <c r="E3208" s="3" t="str">
        <f>""</f>
        <v/>
      </c>
      <c r="F3208" s="2" t="s">
        <v>1323</v>
      </c>
      <c r="G3208" s="2" t="str">
        <f>CONCATENATE("VERIDON D.O.O.,"," LISIČINA 20,"," 10000 ZAGREB,"," OIB: 81434223394")</f>
        <v>VERIDON D.O.O., LISIČINA 20, 10000 ZAGREB, OIB: 81434223394</v>
      </c>
      <c r="H3208" s="4"/>
      <c r="I3208" s="1" t="s">
        <v>1596</v>
      </c>
      <c r="J3208" s="5">
        <v>43722</v>
      </c>
      <c r="K3208" s="6" t="str">
        <f>"129.950,00"</f>
        <v>129.950,00</v>
      </c>
      <c r="L3208" s="6" t="str">
        <f>"32.487,50"</f>
        <v>32.487,50</v>
      </c>
      <c r="M3208" s="6" t="str">
        <f>"162.437,50"</f>
        <v>162.437,50</v>
      </c>
      <c r="N3208" s="1" t="s">
        <v>117</v>
      </c>
      <c r="O3208" s="7"/>
      <c r="P3208" s="6" t="str">
        <f>""</f>
        <v/>
      </c>
      <c r="Q3208" s="7"/>
      <c r="R3208" s="1"/>
      <c r="S3208" s="1" t="str">
        <f>"J-N-52/18"</f>
        <v>J-N-52/18</v>
      </c>
      <c r="T3208" s="2" t="s">
        <v>29</v>
      </c>
    </row>
    <row r="3209" spans="1:20" ht="25.5" x14ac:dyDescent="0.25">
      <c r="A3209" s="1">
        <v>3205</v>
      </c>
      <c r="B3209" s="1" t="str">
        <f>"2018-2116"</f>
        <v>2018-2116</v>
      </c>
      <c r="C3209" s="2" t="s">
        <v>1975</v>
      </c>
      <c r="D3209" s="1" t="s">
        <v>152</v>
      </c>
      <c r="E3209" s="3" t="str">
        <f>""</f>
        <v/>
      </c>
      <c r="F3209" s="2" t="s">
        <v>1323</v>
      </c>
      <c r="G3209" s="2" t="str">
        <f>CONCATENATE("NETIS D.O.O.,"," BARTOLIĆI 45,"," 10000 ZAGREB,"," OIB: 7269190057")</f>
        <v>NETIS D.O.O., BARTOLIĆI 45, 10000 ZAGREB, OIB: 7269190057</v>
      </c>
      <c r="H3209" s="4"/>
      <c r="I3209" s="1" t="s">
        <v>1596</v>
      </c>
      <c r="J3209" s="5">
        <v>43722</v>
      </c>
      <c r="K3209" s="6" t="str">
        <f>"183.847,45"</f>
        <v>183.847,45</v>
      </c>
      <c r="L3209" s="6" t="str">
        <f>"45.961,86"</f>
        <v>45.961,86</v>
      </c>
      <c r="M3209" s="6" t="str">
        <f>"229.809,31"</f>
        <v>229.809,31</v>
      </c>
      <c r="N3209" s="1" t="s">
        <v>117</v>
      </c>
      <c r="O3209" s="7"/>
      <c r="P3209" s="6" t="str">
        <f>""</f>
        <v/>
      </c>
      <c r="Q3209" s="7"/>
      <c r="R3209" s="1"/>
      <c r="S3209" s="1" t="str">
        <f>"J-N-53/18"</f>
        <v>J-N-53/18</v>
      </c>
      <c r="T3209" s="2" t="s">
        <v>29</v>
      </c>
    </row>
    <row r="3210" spans="1:20" ht="63.75" x14ac:dyDescent="0.25">
      <c r="A3210" s="1">
        <v>3206</v>
      </c>
      <c r="B3210" s="1" t="str">
        <f>"2018-1620"</f>
        <v>2018-1620</v>
      </c>
      <c r="C3210" s="2" t="s">
        <v>1976</v>
      </c>
      <c r="D3210" s="1" t="s">
        <v>1384</v>
      </c>
      <c r="E3210" s="3" t="str">
        <f>""</f>
        <v/>
      </c>
      <c r="F3210" s="2" t="s">
        <v>1323</v>
      </c>
      <c r="G3210" s="2" t="str">
        <f>CONCATENATE("PRONGRAD BIRO D.O.O.,"," VRISNIČKA 16,"," 10000 ZAGREB,"," OIB: 39036393587")</f>
        <v>PRONGRAD BIRO D.O.O., VRISNIČKA 16, 10000 ZAGREB, OIB: 39036393587</v>
      </c>
      <c r="H3210" s="4"/>
      <c r="I3210" s="1" t="s">
        <v>1545</v>
      </c>
      <c r="J3210" s="5">
        <v>43757</v>
      </c>
      <c r="K3210" s="6" t="str">
        <f>"67.000,00"</f>
        <v>67.000,00</v>
      </c>
      <c r="L3210" s="6" t="str">
        <f>"16.750,00"</f>
        <v>16.750,00</v>
      </c>
      <c r="M3210" s="6" t="str">
        <f>"83.750,00"</f>
        <v>83.750,00</v>
      </c>
      <c r="N3210" s="1" t="s">
        <v>117</v>
      </c>
      <c r="O3210" s="7"/>
      <c r="P3210" s="6" t="str">
        <f>""</f>
        <v/>
      </c>
      <c r="Q3210" s="7"/>
      <c r="R3210" s="1"/>
      <c r="S3210" s="1" t="str">
        <f>"J-N-58/18"</f>
        <v>J-N-58/18</v>
      </c>
      <c r="T3210" s="2" t="s">
        <v>29</v>
      </c>
    </row>
    <row r="3211" spans="1:20" ht="51" x14ac:dyDescent="0.25">
      <c r="A3211" s="1">
        <v>3207</v>
      </c>
      <c r="B3211" s="1" t="str">
        <f>"2018-1411"</f>
        <v>2018-1411</v>
      </c>
      <c r="C3211" s="2" t="s">
        <v>1977</v>
      </c>
      <c r="D3211" s="1" t="s">
        <v>1384</v>
      </c>
      <c r="E3211" s="3" t="str">
        <f>""</f>
        <v/>
      </c>
      <c r="F3211" s="2" t="s">
        <v>1323</v>
      </c>
      <c r="G3211" s="2" t="str">
        <f>CONCATENATE("ECOINA D.O.O.,"," SR NJEMAČKE 10,"," 10000 ZAGREB,"," OIB: 98219968247")</f>
        <v>ECOINA D.O.O., SR NJEMAČKE 10, 10000 ZAGREB, OIB: 98219968247</v>
      </c>
      <c r="H3211" s="4"/>
      <c r="I3211" s="1" t="s">
        <v>1545</v>
      </c>
      <c r="J3211" s="5">
        <v>43757</v>
      </c>
      <c r="K3211" s="6" t="str">
        <f>"82.700,00"</f>
        <v>82.700,00</v>
      </c>
      <c r="L3211" s="6" t="str">
        <f>"20.675,00"</f>
        <v>20.675,00</v>
      </c>
      <c r="M3211" s="6" t="str">
        <f>"103.375,00"</f>
        <v>103.375,00</v>
      </c>
      <c r="N3211" s="1" t="s">
        <v>117</v>
      </c>
      <c r="O3211" s="7"/>
      <c r="P3211" s="6" t="str">
        <f>""</f>
        <v/>
      </c>
      <c r="Q3211" s="7"/>
      <c r="R3211" s="1"/>
      <c r="S3211" s="1" t="str">
        <f>"J-N-59/18"</f>
        <v>J-N-59/18</v>
      </c>
      <c r="T3211" s="2" t="s">
        <v>29</v>
      </c>
    </row>
    <row r="3212" spans="1:20" ht="51" x14ac:dyDescent="0.25">
      <c r="A3212" s="1">
        <v>3208</v>
      </c>
      <c r="B3212" s="1" t="str">
        <f>"2018-807"</f>
        <v>2018-807</v>
      </c>
      <c r="C3212" s="2" t="s">
        <v>1978</v>
      </c>
      <c r="D3212" s="1" t="s">
        <v>1384</v>
      </c>
      <c r="E3212" s="3" t="str">
        <f>""</f>
        <v/>
      </c>
      <c r="F3212" s="2" t="s">
        <v>1323</v>
      </c>
      <c r="G3212" s="2" t="str">
        <f>CONCATENATE("HIDRO PLUS D.O.O.,"," REISNEROVA 115,"," 31000 OSIJEK,"," OIB: 33089184428")</f>
        <v>HIDRO PLUS D.O.O., REISNEROVA 115, 31000 OSIJEK, OIB: 33089184428</v>
      </c>
      <c r="H3212" s="4"/>
      <c r="I3212" s="1" t="s">
        <v>1111</v>
      </c>
      <c r="J3212" s="5">
        <v>43761</v>
      </c>
      <c r="K3212" s="6" t="str">
        <f>"53.330,00"</f>
        <v>53.330,00</v>
      </c>
      <c r="L3212" s="6" t="str">
        <f>"13.332,50"</f>
        <v>13.332,50</v>
      </c>
      <c r="M3212" s="6" t="str">
        <f>"66.662,50"</f>
        <v>66.662,50</v>
      </c>
      <c r="N3212" s="1" t="s">
        <v>117</v>
      </c>
      <c r="O3212" s="7"/>
      <c r="P3212" s="6" t="str">
        <f>""</f>
        <v/>
      </c>
      <c r="Q3212" s="7"/>
      <c r="R3212" s="1"/>
      <c r="S3212" s="1" t="str">
        <f>"J-N-60/18"</f>
        <v>J-N-60/18</v>
      </c>
      <c r="T3212" s="2" t="s">
        <v>29</v>
      </c>
    </row>
    <row r="3213" spans="1:20" ht="76.5" x14ac:dyDescent="0.25">
      <c r="A3213" s="1">
        <v>3209</v>
      </c>
      <c r="B3213" s="1" t="str">
        <f>"2018-1751"</f>
        <v>2018-1751</v>
      </c>
      <c r="C3213" s="2" t="s">
        <v>1979</v>
      </c>
      <c r="D3213" s="1" t="s">
        <v>1384</v>
      </c>
      <c r="E3213" s="3" t="str">
        <f>""</f>
        <v/>
      </c>
      <c r="F3213" s="2" t="s">
        <v>1323</v>
      </c>
      <c r="G3213" s="2" t="str">
        <f>CONCATENATE("PRONING DHI D.O.O.,"," RAČKOGA 3,"," 10000 ZAGREB,"," OIB: 37633620694")</f>
        <v>PRONING DHI D.O.O., RAČKOGA 3, 10000 ZAGREB, OIB: 37633620694</v>
      </c>
      <c r="H3213" s="4"/>
      <c r="I3213" s="1" t="s">
        <v>1151</v>
      </c>
      <c r="J3213" s="5">
        <v>43771</v>
      </c>
      <c r="K3213" s="6" t="str">
        <f>"199.000,00"</f>
        <v>199.000,00</v>
      </c>
      <c r="L3213" s="6" t="str">
        <f>"49.750,00"</f>
        <v>49.750,00</v>
      </c>
      <c r="M3213" s="6" t="str">
        <f>"248.750,00"</f>
        <v>248.750,00</v>
      </c>
      <c r="N3213" s="1" t="s">
        <v>117</v>
      </c>
      <c r="O3213" s="7"/>
      <c r="P3213" s="6" t="str">
        <f>""</f>
        <v/>
      </c>
      <c r="Q3213" s="7"/>
      <c r="R3213" s="1"/>
      <c r="S3213" s="1" t="str">
        <f>"J-N-61/18"</f>
        <v>J-N-61/18</v>
      </c>
      <c r="T3213" s="2" t="s">
        <v>29</v>
      </c>
    </row>
    <row r="3214" spans="1:20" ht="38.25" x14ac:dyDescent="0.25">
      <c r="A3214" s="1">
        <v>3210</v>
      </c>
      <c r="B3214" s="1" t="str">
        <f>"2018-2874"</f>
        <v>2018-2874</v>
      </c>
      <c r="C3214" s="2" t="s">
        <v>1980</v>
      </c>
      <c r="D3214" s="1" t="s">
        <v>67</v>
      </c>
      <c r="E3214" s="3" t="str">
        <f>""</f>
        <v/>
      </c>
      <c r="F3214" s="2" t="s">
        <v>1323</v>
      </c>
      <c r="G3214" s="2" t="str">
        <f>CONCATENATE("KONČAR - KET D.D.,"," FALLEROVO ŠETALIŠTE 22,"," 10000 ZAGREB,"," OIB: 29898970552")</f>
        <v>KONČAR - KET D.D., FALLEROVO ŠETALIŠTE 22, 10000 ZAGREB, OIB: 29898970552</v>
      </c>
      <c r="H3214" s="4"/>
      <c r="I3214" s="1" t="s">
        <v>1475</v>
      </c>
      <c r="J3214" s="5">
        <v>43743</v>
      </c>
      <c r="K3214" s="6" t="str">
        <f>"197.854,32"</f>
        <v>197.854,32</v>
      </c>
      <c r="L3214" s="6" t="str">
        <f>"49.463,58"</f>
        <v>49.463,58</v>
      </c>
      <c r="M3214" s="6" t="str">
        <f>"247.317,90"</f>
        <v>247.317,90</v>
      </c>
      <c r="N3214" s="5">
        <v>43646</v>
      </c>
      <c r="O3214" s="7"/>
      <c r="P3214" s="6" t="str">
        <f>"164.878,60"</f>
        <v>164.878,60</v>
      </c>
      <c r="Q3214" s="7"/>
      <c r="R3214" s="1"/>
      <c r="S3214" s="1" t="str">
        <f>"J-N-63/18"</f>
        <v>J-N-63/18</v>
      </c>
      <c r="T3214" s="2" t="s">
        <v>60</v>
      </c>
    </row>
    <row r="3215" spans="1:20" ht="38.25" x14ac:dyDescent="0.25">
      <c r="A3215" s="1">
        <v>3211</v>
      </c>
      <c r="B3215" s="1" t="str">
        <f>"2018-2500"</f>
        <v>2018-2500</v>
      </c>
      <c r="C3215" s="2" t="s">
        <v>1981</v>
      </c>
      <c r="D3215" s="1" t="s">
        <v>1384</v>
      </c>
      <c r="E3215" s="3" t="str">
        <f>""</f>
        <v/>
      </c>
      <c r="F3215" s="2" t="s">
        <v>1323</v>
      </c>
      <c r="G3215" s="2" t="str">
        <f>CONCATENATE("PRONING DHI D.O.O.,"," RAČKOGA 3,"," 10000 ZAGREB,"," OIB: 37633620694")</f>
        <v>PRONING DHI D.O.O., RAČKOGA 3, 10000 ZAGREB, OIB: 37633620694</v>
      </c>
      <c r="H3215" s="4"/>
      <c r="I3215" s="1" t="s">
        <v>740</v>
      </c>
      <c r="J3215" s="5">
        <v>43781</v>
      </c>
      <c r="K3215" s="6" t="str">
        <f>"199.000,00"</f>
        <v>199.000,00</v>
      </c>
      <c r="L3215" s="6" t="str">
        <f>"49.750,00"</f>
        <v>49.750,00</v>
      </c>
      <c r="M3215" s="6" t="str">
        <f>"248.750,00"</f>
        <v>248.750,00</v>
      </c>
      <c r="N3215" s="1" t="s">
        <v>117</v>
      </c>
      <c r="O3215" s="7"/>
      <c r="P3215" s="6" t="str">
        <f>""</f>
        <v/>
      </c>
      <c r="Q3215" s="7"/>
      <c r="R3215" s="1"/>
      <c r="S3215" s="1" t="str">
        <f>"J-N-67/18"</f>
        <v>J-N-67/18</v>
      </c>
      <c r="T3215" s="2" t="s">
        <v>29</v>
      </c>
    </row>
    <row r="3216" spans="1:20" ht="38.25" x14ac:dyDescent="0.25">
      <c r="A3216" s="1">
        <v>3212</v>
      </c>
      <c r="B3216" s="1" t="str">
        <f>"2018-1414"</f>
        <v>2018-1414</v>
      </c>
      <c r="C3216" s="2" t="s">
        <v>1982</v>
      </c>
      <c r="D3216" s="1" t="s">
        <v>119</v>
      </c>
      <c r="E3216" s="3" t="str">
        <f>""</f>
        <v/>
      </c>
      <c r="F3216" s="2" t="s">
        <v>1323</v>
      </c>
      <c r="G3216" s="2" t="str">
        <f>CONCATENATE("TEMPORIUM GRADNJA D.O.O.,"," LJUTOMERSKA ULICA 33A,"," 10000 ZAGREB,"," OIB: 6285048268")</f>
        <v>TEMPORIUM GRADNJA D.O.O., LJUTOMERSKA ULICA 33A, 10000 ZAGREB, OIB: 6285048268</v>
      </c>
      <c r="H3216" s="1" t="str">
        <f>CONCATENATE("GEO 6 D.O.O.,"," OIB: 56516261347")</f>
        <v>GEO 6 D.O.O., OIB: 56516261347</v>
      </c>
      <c r="I3216" s="1" t="s">
        <v>1018</v>
      </c>
      <c r="J3216" s="5">
        <v>43790</v>
      </c>
      <c r="K3216" s="6" t="str">
        <f>"283.601,30"</f>
        <v>283.601,30</v>
      </c>
      <c r="L3216" s="6" t="str">
        <f>"70.900,33"</f>
        <v>70.900,33</v>
      </c>
      <c r="M3216" s="6" t="str">
        <f>"354.501,63"</f>
        <v>354.501,63</v>
      </c>
      <c r="N3216" s="1" t="s">
        <v>117</v>
      </c>
      <c r="O3216" s="7"/>
      <c r="P3216" s="6" t="str">
        <f>""</f>
        <v/>
      </c>
      <c r="Q3216" s="7"/>
      <c r="R3216" s="1"/>
      <c r="S3216" s="1" t="str">
        <f>"J-N-68/18"</f>
        <v>J-N-68/18</v>
      </c>
      <c r="T3216" s="2" t="s">
        <v>29</v>
      </c>
    </row>
    <row r="3217" spans="1:20" ht="38.25" x14ac:dyDescent="0.25">
      <c r="A3217" s="1">
        <v>3213</v>
      </c>
      <c r="B3217" s="1" t="str">
        <f>"2018-2563"</f>
        <v>2018-2563</v>
      </c>
      <c r="C3217" s="2" t="s">
        <v>1983</v>
      </c>
      <c r="D3217" s="1" t="s">
        <v>119</v>
      </c>
      <c r="E3217" s="3" t="str">
        <f>""</f>
        <v/>
      </c>
      <c r="F3217" s="2" t="s">
        <v>1323</v>
      </c>
      <c r="G3217" s="2" t="str">
        <f>CONCATENATE("HIDRO GRAD D.O.O.,"," GUSTAVA KRKLECA,"," RAKITJE 6,"," 10437 BESTOVJE,"," OIB: 49528301725")</f>
        <v>HIDRO GRAD D.O.O., GUSTAVA KRKLECA, RAKITJE 6, 10437 BESTOVJE, OIB: 49528301725</v>
      </c>
      <c r="H3217" s="4"/>
      <c r="I3217" s="1" t="s">
        <v>500</v>
      </c>
      <c r="J3217" s="5">
        <v>43816</v>
      </c>
      <c r="K3217" s="6" t="str">
        <f>"138.270,50"</f>
        <v>138.270,50</v>
      </c>
      <c r="L3217" s="6" t="str">
        <f>"34.567,63"</f>
        <v>34.567,63</v>
      </c>
      <c r="M3217" s="6" t="str">
        <f>"172.838,13"</f>
        <v>172.838,13</v>
      </c>
      <c r="N3217" s="1" t="s">
        <v>117</v>
      </c>
      <c r="O3217" s="7"/>
      <c r="P3217" s="6" t="str">
        <f>""</f>
        <v/>
      </c>
      <c r="Q3217" s="7"/>
      <c r="R3217" s="1"/>
      <c r="S3217" s="1" t="str">
        <f>"J-N-80/18"</f>
        <v>J-N-80/18</v>
      </c>
      <c r="T3217" s="2" t="s">
        <v>29</v>
      </c>
    </row>
    <row r="3218" spans="1:20" ht="25.5" x14ac:dyDescent="0.25">
      <c r="A3218" s="1">
        <v>3214</v>
      </c>
      <c r="B3218" s="1" t="str">
        <f>"2018-293"</f>
        <v>2018-293</v>
      </c>
      <c r="C3218" s="2" t="s">
        <v>1984</v>
      </c>
      <c r="D3218" s="1" t="s">
        <v>223</v>
      </c>
      <c r="E3218" s="3" t="str">
        <f>""</f>
        <v/>
      </c>
      <c r="F3218" s="2" t="s">
        <v>1323</v>
      </c>
      <c r="G3218" s="2" t="str">
        <f>CONCATENATE("INFOSISTEM D.D.,"," IVANA ŠIBLA 15,"," 10020 ZAGREB-NOVI ZAGREB,"," OIB: 93572324237")</f>
        <v>INFOSISTEM D.D., IVANA ŠIBLA 15, 10020 ZAGREB-NOVI ZAGREB, OIB: 93572324237</v>
      </c>
      <c r="H3218" s="4"/>
      <c r="I3218" s="1" t="s">
        <v>139</v>
      </c>
      <c r="J3218" s="5">
        <v>43817</v>
      </c>
      <c r="K3218" s="6" t="str">
        <f>"198.000,00"</f>
        <v>198.000,00</v>
      </c>
      <c r="L3218" s="6" t="str">
        <f>"49.500,00"</f>
        <v>49.500,00</v>
      </c>
      <c r="M3218" s="6" t="str">
        <f>"247.500,00"</f>
        <v>247.500,00</v>
      </c>
      <c r="N3218" s="1" t="s">
        <v>117</v>
      </c>
      <c r="O3218" s="7"/>
      <c r="P3218" s="6" t="str">
        <f>""</f>
        <v/>
      </c>
      <c r="Q3218" s="7"/>
      <c r="R3218" s="1"/>
      <c r="S3218" s="1" t="str">
        <f>"J-N-81/18"</f>
        <v>J-N-81/18</v>
      </c>
      <c r="T3218" s="2" t="s">
        <v>29</v>
      </c>
    </row>
    <row r="3219" spans="1:20" ht="38.25" x14ac:dyDescent="0.25">
      <c r="A3219" s="1">
        <v>3215</v>
      </c>
      <c r="B3219" s="1" t="str">
        <f>"2016-2071"</f>
        <v>2016-2071</v>
      </c>
      <c r="C3219" s="2" t="s">
        <v>1985</v>
      </c>
      <c r="D3219" s="1" t="s">
        <v>1325</v>
      </c>
      <c r="E3219" s="3" t="str">
        <f>""</f>
        <v/>
      </c>
      <c r="F3219" s="2" t="s">
        <v>1323</v>
      </c>
      <c r="G3219" s="2" t="str">
        <f>CONCATENATE("SITE COMPETENCE J.D.O.O.,"," KNEZA BRANIMIRA 65,"," 10000 ZAGREB,"," OIB: 16184977157")</f>
        <v>SITE COMPETENCE J.D.O.O., KNEZA BRANIMIRA 65, 10000 ZAGREB, OIB: 16184977157</v>
      </c>
      <c r="H3219" s="4"/>
      <c r="I3219" s="1" t="s">
        <v>1986</v>
      </c>
      <c r="J3219" s="5">
        <v>43015</v>
      </c>
      <c r="K3219" s="6" t="str">
        <f>"24.600,00"</f>
        <v>24.600,00</v>
      </c>
      <c r="L3219" s="6" t="str">
        <f>"6.150,00"</f>
        <v>6.150,00</v>
      </c>
      <c r="M3219" s="6" t="str">
        <f>"30.750,00"</f>
        <v>30.750,00</v>
      </c>
      <c r="N3219" s="1" t="s">
        <v>117</v>
      </c>
      <c r="O3219" s="7"/>
      <c r="P3219" s="6" t="str">
        <f>""</f>
        <v/>
      </c>
      <c r="Q3219" s="7"/>
      <c r="R3219" s="1"/>
      <c r="S3219" s="1" t="str">
        <f>"N-B-146/16"</f>
        <v>N-B-146/16</v>
      </c>
      <c r="T3219" s="2" t="s">
        <v>29</v>
      </c>
    </row>
    <row r="3220" spans="1:20" ht="38.25" x14ac:dyDescent="0.25">
      <c r="A3220" s="1">
        <v>3216</v>
      </c>
      <c r="B3220" s="1" t="str">
        <f>"2016-2071"</f>
        <v>2016-2071</v>
      </c>
      <c r="C3220" s="2" t="s">
        <v>1985</v>
      </c>
      <c r="D3220" s="1" t="s">
        <v>1325</v>
      </c>
      <c r="E3220" s="3" t="str">
        <f>""</f>
        <v/>
      </c>
      <c r="F3220" s="2" t="s">
        <v>1372</v>
      </c>
      <c r="G3220" s="2" t="str">
        <f>CONCATENATE("SITE COMPETENCE J.D.O.O.,"," KNEZA BRANIMIRA 65,"," 10000 ZAGREB,"," OIB: 16184977157")</f>
        <v>SITE COMPETENCE J.D.O.O., KNEZA BRANIMIRA 65, 10000 ZAGREB, OIB: 16184977157</v>
      </c>
      <c r="H3220" s="4"/>
      <c r="I3220" s="1" t="s">
        <v>1106</v>
      </c>
      <c r="J3220" s="5">
        <v>43039</v>
      </c>
      <c r="K3220" s="6" t="str">
        <f>""</f>
        <v/>
      </c>
      <c r="L3220" s="6" t="str">
        <f t="shared" ref="L3220:M3222" si="294">"0,00"</f>
        <v>0,00</v>
      </c>
      <c r="M3220" s="6" t="str">
        <f t="shared" si="294"/>
        <v>0,00</v>
      </c>
      <c r="N3220" s="1" t="s">
        <v>117</v>
      </c>
      <c r="O3220" s="7"/>
      <c r="P3220" s="6" t="str">
        <f>""</f>
        <v/>
      </c>
      <c r="Q3220" s="7"/>
      <c r="R3220" s="1"/>
      <c r="S3220" s="1" t="str">
        <f>"N-B-146/16-1"</f>
        <v>N-B-146/16-1</v>
      </c>
      <c r="T3220" s="2" t="s">
        <v>29</v>
      </c>
    </row>
    <row r="3221" spans="1:20" ht="38.25" x14ac:dyDescent="0.25">
      <c r="A3221" s="1">
        <v>3217</v>
      </c>
      <c r="B3221" s="1" t="str">
        <f>"2016-2071"</f>
        <v>2016-2071</v>
      </c>
      <c r="C3221" s="2" t="s">
        <v>1985</v>
      </c>
      <c r="D3221" s="1" t="s">
        <v>1325</v>
      </c>
      <c r="E3221" s="3" t="str">
        <f>""</f>
        <v/>
      </c>
      <c r="F3221" s="2" t="s">
        <v>1372</v>
      </c>
      <c r="G3221" s="2" t="str">
        <f>CONCATENATE("SITE COMPETENCE J.D.O.O.,"," KNEZA BRANIMIRA 65,"," 10000 ZAGREB,"," OIB: 16184977157")</f>
        <v>SITE COMPETENCE J.D.O.O., KNEZA BRANIMIRA 65, 10000 ZAGREB, OIB: 16184977157</v>
      </c>
      <c r="H3221" s="4"/>
      <c r="I3221" s="1" t="s">
        <v>248</v>
      </c>
      <c r="J3221" s="5">
        <v>43556</v>
      </c>
      <c r="K3221" s="6" t="str">
        <f>""</f>
        <v/>
      </c>
      <c r="L3221" s="6" t="str">
        <f t="shared" si="294"/>
        <v>0,00</v>
      </c>
      <c r="M3221" s="6" t="str">
        <f t="shared" si="294"/>
        <v>0,00</v>
      </c>
      <c r="N3221" s="1" t="s">
        <v>117</v>
      </c>
      <c r="O3221" s="7"/>
      <c r="P3221" s="6" t="str">
        <f>""</f>
        <v/>
      </c>
      <c r="Q3221" s="7"/>
      <c r="R3221" s="1"/>
      <c r="S3221" s="1" t="str">
        <f>"N-B-146/16-2"</f>
        <v>N-B-146/16-2</v>
      </c>
      <c r="T3221" s="2" t="s">
        <v>29</v>
      </c>
    </row>
    <row r="3222" spans="1:20" ht="38.25" x14ac:dyDescent="0.25">
      <c r="A3222" s="1">
        <v>3218</v>
      </c>
      <c r="B3222" s="1" t="str">
        <f>"2016-2071"</f>
        <v>2016-2071</v>
      </c>
      <c r="C3222" s="2" t="s">
        <v>1985</v>
      </c>
      <c r="D3222" s="1" t="s">
        <v>1325</v>
      </c>
      <c r="E3222" s="3" t="str">
        <f>""</f>
        <v/>
      </c>
      <c r="F3222" s="2" t="s">
        <v>1372</v>
      </c>
      <c r="G3222" s="2" t="str">
        <f>CONCATENATE("SITE COMPETENCE J.D.O.O.,"," KNEZA BRANIMIRA 65,"," 10000 ZAGREB,"," OIB: 16184977157")</f>
        <v>SITE COMPETENCE J.D.O.O., KNEZA BRANIMIRA 65, 10000 ZAGREB, OIB: 16184977157</v>
      </c>
      <c r="H3222" s="4"/>
      <c r="I3222" s="1" t="s">
        <v>640</v>
      </c>
      <c r="J3222" s="5">
        <v>43646</v>
      </c>
      <c r="K3222" s="6" t="str">
        <f>""</f>
        <v/>
      </c>
      <c r="L3222" s="6" t="str">
        <f t="shared" si="294"/>
        <v>0,00</v>
      </c>
      <c r="M3222" s="6" t="str">
        <f t="shared" si="294"/>
        <v>0,00</v>
      </c>
      <c r="N3222" s="1" t="s">
        <v>117</v>
      </c>
      <c r="O3222" s="7"/>
      <c r="P3222" s="6" t="str">
        <f>""</f>
        <v/>
      </c>
      <c r="Q3222" s="7"/>
      <c r="R3222" s="1"/>
      <c r="S3222" s="1" t="str">
        <f>"N-B-146/16-3"</f>
        <v>N-B-146/16-3</v>
      </c>
      <c r="T3222" s="2" t="s">
        <v>29</v>
      </c>
    </row>
    <row r="3223" spans="1:20" ht="25.5" x14ac:dyDescent="0.25">
      <c r="A3223" s="1">
        <v>3219</v>
      </c>
      <c r="B3223" s="1" t="str">
        <f>"2016-2052"</f>
        <v>2016-2052</v>
      </c>
      <c r="C3223" s="2" t="s">
        <v>1987</v>
      </c>
      <c r="D3223" s="1" t="s">
        <v>1325</v>
      </c>
      <c r="E3223" s="3" t="str">
        <f>""</f>
        <v/>
      </c>
      <c r="F3223" s="2" t="s">
        <v>1323</v>
      </c>
      <c r="G3223" s="2" t="str">
        <f>CONCATENATE("PROJEKTNI BIRO NAGLIĆ D.O.O.,"," OLIBSKA 17,"," 10000 ZAGREB,"," OIB: 18216105743")</f>
        <v>PROJEKTNI BIRO NAGLIĆ D.O.O., OLIBSKA 17, 10000 ZAGREB, OIB: 18216105743</v>
      </c>
      <c r="H3223" s="4"/>
      <c r="I3223" s="1" t="s">
        <v>1988</v>
      </c>
      <c r="J3223" s="5">
        <v>43018</v>
      </c>
      <c r="K3223" s="6" t="str">
        <f>"39.000,00"</f>
        <v>39.000,00</v>
      </c>
      <c r="L3223" s="6" t="str">
        <f>"9.750,00"</f>
        <v>9.750,00</v>
      </c>
      <c r="M3223" s="6" t="str">
        <f>"48.750,00"</f>
        <v>48.750,00</v>
      </c>
      <c r="N3223" s="1" t="s">
        <v>117</v>
      </c>
      <c r="O3223" s="7"/>
      <c r="P3223" s="6" t="str">
        <f>""</f>
        <v/>
      </c>
      <c r="Q3223" s="7"/>
      <c r="R3223" s="1"/>
      <c r="S3223" s="1" t="str">
        <f>"N-B-190/16"</f>
        <v>N-B-190/16</v>
      </c>
      <c r="T3223" s="2" t="s">
        <v>29</v>
      </c>
    </row>
    <row r="3224" spans="1:20" ht="25.5" x14ac:dyDescent="0.25">
      <c r="A3224" s="1">
        <v>3220</v>
      </c>
      <c r="B3224" s="1" t="str">
        <f>"2016-2052"</f>
        <v>2016-2052</v>
      </c>
      <c r="C3224" s="2" t="s">
        <v>1987</v>
      </c>
      <c r="D3224" s="1" t="s">
        <v>1325</v>
      </c>
      <c r="E3224" s="3" t="str">
        <f>""</f>
        <v/>
      </c>
      <c r="F3224" s="2" t="s">
        <v>1372</v>
      </c>
      <c r="G3224" s="2" t="str">
        <f>CONCATENATE("PROJEKTNI BIRO NAGLIĆ D.O.O.,"," OLIBSKA 17,"," 10000 ZAGREB,"," OIB: 18216105743")</f>
        <v>PROJEKTNI BIRO NAGLIĆ D.O.O., OLIBSKA 17, 10000 ZAGREB, OIB: 18216105743</v>
      </c>
      <c r="H3224" s="4"/>
      <c r="I3224" s="1" t="s">
        <v>596</v>
      </c>
      <c r="J3224" s="5">
        <v>43586</v>
      </c>
      <c r="K3224" s="6" t="str">
        <f>""</f>
        <v/>
      </c>
      <c r="L3224" s="6" t="str">
        <f>"0,00"</f>
        <v>0,00</v>
      </c>
      <c r="M3224" s="6" t="str">
        <f>"0,00"</f>
        <v>0,00</v>
      </c>
      <c r="N3224" s="1" t="s">
        <v>117</v>
      </c>
      <c r="O3224" s="7"/>
      <c r="P3224" s="6" t="str">
        <f>""</f>
        <v/>
      </c>
      <c r="Q3224" s="7"/>
      <c r="R3224" s="1"/>
      <c r="S3224" s="1" t="str">
        <f>"N-B-190/16-1"</f>
        <v>N-B-190/16-1</v>
      </c>
      <c r="T3224" s="2" t="s">
        <v>29</v>
      </c>
    </row>
    <row r="3225" spans="1:20" ht="25.5" x14ac:dyDescent="0.25">
      <c r="A3225" s="1">
        <v>3221</v>
      </c>
      <c r="B3225" s="1" t="str">
        <f>"2016-2052"</f>
        <v>2016-2052</v>
      </c>
      <c r="C3225" s="2" t="s">
        <v>1987</v>
      </c>
      <c r="D3225" s="1" t="s">
        <v>1325</v>
      </c>
      <c r="E3225" s="3" t="str">
        <f>""</f>
        <v/>
      </c>
      <c r="F3225" s="2" t="s">
        <v>1372</v>
      </c>
      <c r="G3225" s="2" t="str">
        <f>CONCATENATE("PROJEKTNI BIRO NAGLIĆ D.O.O.,"," OLIBSKA 17,"," 10000 ZAGREB,"," OIB: 18216105743")</f>
        <v>PROJEKTNI BIRO NAGLIĆ D.O.O., OLIBSKA 17, 10000 ZAGREB, OIB: 18216105743</v>
      </c>
      <c r="H3225" s="4"/>
      <c r="I3225" s="1" t="s">
        <v>440</v>
      </c>
      <c r="J3225" s="5">
        <v>43770</v>
      </c>
      <c r="K3225" s="6" t="str">
        <f>""</f>
        <v/>
      </c>
      <c r="L3225" s="6" t="str">
        <f>"0,00"</f>
        <v>0,00</v>
      </c>
      <c r="M3225" s="6" t="str">
        <f>"0,00"</f>
        <v>0,00</v>
      </c>
      <c r="N3225" s="1" t="s">
        <v>117</v>
      </c>
      <c r="O3225" s="7"/>
      <c r="P3225" s="6" t="str">
        <f>""</f>
        <v/>
      </c>
      <c r="Q3225" s="7"/>
      <c r="R3225" s="1"/>
      <c r="S3225" s="1" t="str">
        <f>"N-B-190/16-2"</f>
        <v>N-B-190/16-2</v>
      </c>
      <c r="T3225" s="2" t="s">
        <v>29</v>
      </c>
    </row>
    <row r="3226" spans="1:20" ht="63.75" x14ac:dyDescent="0.25">
      <c r="A3226" s="1">
        <v>3222</v>
      </c>
      <c r="B3226" s="1" t="str">
        <f>"2016-3004"</f>
        <v>2016-3004</v>
      </c>
      <c r="C3226" s="2" t="s">
        <v>1989</v>
      </c>
      <c r="D3226" s="1" t="s">
        <v>1325</v>
      </c>
      <c r="E3226" s="3" t="str">
        <f>""</f>
        <v/>
      </c>
      <c r="F3226" s="2" t="s">
        <v>1323</v>
      </c>
      <c r="G3226" s="2" t="str">
        <f>CONCATENATE("SEDRA CONSULTING D.O.O.,"," USKOPSKA 11,"," 10010 ZAGREB,"," OIB: 09177957072")</f>
        <v>SEDRA CONSULTING D.O.O., USKOPSKA 11, 10010 ZAGREB, OIB: 09177957072</v>
      </c>
      <c r="H3226" s="1" t="str">
        <f>CONCATENATE("MODUM GEODETSKI URED D.O.O.,"," OIB: 94431724365")</f>
        <v>MODUM GEODETSKI URED D.O.O., OIB: 94431724365</v>
      </c>
      <c r="I3226" s="1" t="s">
        <v>1990</v>
      </c>
      <c r="J3226" s="5">
        <v>43055</v>
      </c>
      <c r="K3226" s="6" t="str">
        <f>"39.000,00"</f>
        <v>39.000,00</v>
      </c>
      <c r="L3226" s="6" t="str">
        <f>"9.750,00"</f>
        <v>9.750,00</v>
      </c>
      <c r="M3226" s="6" t="str">
        <f>"48.750,00"</f>
        <v>48.750,00</v>
      </c>
      <c r="N3226" s="1" t="s">
        <v>117</v>
      </c>
      <c r="O3226" s="7"/>
      <c r="P3226" s="6" t="str">
        <f>""</f>
        <v/>
      </c>
      <c r="Q3226" s="7"/>
      <c r="R3226" s="1"/>
      <c r="S3226" s="1" t="str">
        <f>"N-B-198/16"</f>
        <v>N-B-198/16</v>
      </c>
      <c r="T3226" s="2" t="s">
        <v>29</v>
      </c>
    </row>
    <row r="3227" spans="1:20" ht="63.75" x14ac:dyDescent="0.25">
      <c r="A3227" s="1">
        <v>3223</v>
      </c>
      <c r="B3227" s="1" t="str">
        <f>"2016-3004"</f>
        <v>2016-3004</v>
      </c>
      <c r="C3227" s="2" t="s">
        <v>1989</v>
      </c>
      <c r="D3227" s="1" t="s">
        <v>1325</v>
      </c>
      <c r="E3227" s="3" t="str">
        <f>""</f>
        <v/>
      </c>
      <c r="F3227" s="2" t="s">
        <v>1372</v>
      </c>
      <c r="G3227" s="2" t="str">
        <f>CONCATENATE("SEDRA CONSULTING D.O.O.,"," USKOPSKA 11,"," 10010 ZAGREB,"," OIB: 09177957072")</f>
        <v>SEDRA CONSULTING D.O.O., USKOPSKA 11, 10010 ZAGREB, OIB: 09177957072</v>
      </c>
      <c r="H3227" s="1" t="str">
        <f>CONCATENATE("MODUM GEODETSKI URED D.O.O.,"," OIB: 94431724365")</f>
        <v>MODUM GEODETSKI URED D.O.O., OIB: 94431724365</v>
      </c>
      <c r="I3227" s="1" t="s">
        <v>162</v>
      </c>
      <c r="J3227" s="5">
        <v>43738</v>
      </c>
      <c r="K3227" s="6" t="str">
        <f>""</f>
        <v/>
      </c>
      <c r="L3227" s="6" t="str">
        <f t="shared" ref="L3227:M3229" si="295">"0,00"</f>
        <v>0,00</v>
      </c>
      <c r="M3227" s="6" t="str">
        <f t="shared" si="295"/>
        <v>0,00</v>
      </c>
      <c r="N3227" s="1" t="s">
        <v>117</v>
      </c>
      <c r="O3227" s="7"/>
      <c r="P3227" s="6" t="str">
        <f>""</f>
        <v/>
      </c>
      <c r="Q3227" s="7"/>
      <c r="R3227" s="1"/>
      <c r="S3227" s="1" t="str">
        <f>"N-B-198/16-1"</f>
        <v>N-B-198/16-1</v>
      </c>
      <c r="T3227" s="2" t="s">
        <v>29</v>
      </c>
    </row>
    <row r="3228" spans="1:20" ht="38.25" x14ac:dyDescent="0.25">
      <c r="A3228" s="1">
        <v>3224</v>
      </c>
      <c r="B3228" s="1" t="str">
        <f>"2016-2414"</f>
        <v>2016-2414</v>
      </c>
      <c r="C3228" s="2" t="s">
        <v>1991</v>
      </c>
      <c r="D3228" s="1" t="s">
        <v>1322</v>
      </c>
      <c r="E3228" s="3" t="str">
        <f>""</f>
        <v/>
      </c>
      <c r="F3228" s="2" t="s">
        <v>1323</v>
      </c>
      <c r="G3228" s="2" t="str">
        <f>CONCATENATE("SEDRA CONSULTING D.O.O.,"," USKOPSKA 11,"," 10010 ZAGREB,"," OIB: 09177957072")</f>
        <v>SEDRA CONSULTING D.O.O., USKOPSKA 11, 10010 ZAGREB, OIB: 09177957072</v>
      </c>
      <c r="H3228" s="4"/>
      <c r="I3228" s="1" t="s">
        <v>1992</v>
      </c>
      <c r="J3228" s="5">
        <v>43090</v>
      </c>
      <c r="K3228" s="6" t="str">
        <f>"0,00"</f>
        <v>0,00</v>
      </c>
      <c r="L3228" s="6" t="str">
        <f t="shared" si="295"/>
        <v>0,00</v>
      </c>
      <c r="M3228" s="6" t="str">
        <f t="shared" si="295"/>
        <v>0,00</v>
      </c>
      <c r="N3228" s="1" t="s">
        <v>117</v>
      </c>
      <c r="O3228" s="7"/>
      <c r="P3228" s="6" t="str">
        <f>""</f>
        <v/>
      </c>
      <c r="Q3228" s="7"/>
      <c r="R3228" s="1"/>
      <c r="S3228" s="1" t="str">
        <f>"N-B-224/16-1"</f>
        <v>N-B-224/16-1</v>
      </c>
      <c r="T3228" s="2" t="s">
        <v>29</v>
      </c>
    </row>
    <row r="3229" spans="1:20" ht="38.25" x14ac:dyDescent="0.25">
      <c r="A3229" s="1">
        <v>3225</v>
      </c>
      <c r="B3229" s="1" t="str">
        <f>"2016-2414"</f>
        <v>2016-2414</v>
      </c>
      <c r="C3229" s="2" t="s">
        <v>1991</v>
      </c>
      <c r="D3229" s="1" t="s">
        <v>1322</v>
      </c>
      <c r="E3229" s="3" t="str">
        <f>""</f>
        <v/>
      </c>
      <c r="F3229" s="2" t="s">
        <v>1372</v>
      </c>
      <c r="G3229" s="2" t="str">
        <f>CONCATENATE("SEDRA CONSULTING D.O.O.,"," USKOPSKA 11,"," 10010 ZAGREB,"," OIB: 09177957072")</f>
        <v>SEDRA CONSULTING D.O.O., USKOPSKA 11, 10010 ZAGREB, OIB: 09177957072</v>
      </c>
      <c r="H3229" s="4"/>
      <c r="I3229" s="1" t="s">
        <v>318</v>
      </c>
      <c r="J3229" s="5">
        <v>43646</v>
      </c>
      <c r="K3229" s="6" t="str">
        <f>""</f>
        <v/>
      </c>
      <c r="L3229" s="6" t="str">
        <f t="shared" si="295"/>
        <v>0,00</v>
      </c>
      <c r="M3229" s="6" t="str">
        <f t="shared" si="295"/>
        <v>0,00</v>
      </c>
      <c r="N3229" s="1" t="s">
        <v>117</v>
      </c>
      <c r="O3229" s="7"/>
      <c r="P3229" s="6" t="str">
        <f>""</f>
        <v/>
      </c>
      <c r="Q3229" s="7"/>
      <c r="R3229" s="1"/>
      <c r="S3229" s="1" t="str">
        <f>"N-B-224/16-2"</f>
        <v>N-B-224/16-2</v>
      </c>
      <c r="T3229" s="2" t="s">
        <v>29</v>
      </c>
    </row>
    <row r="3230" spans="1:20" ht="38.25" x14ac:dyDescent="0.25">
      <c r="A3230" s="1">
        <v>3226</v>
      </c>
      <c r="B3230" s="1" t="str">
        <f>"2016-2036"</f>
        <v>2016-2036</v>
      </c>
      <c r="C3230" s="2" t="s">
        <v>1993</v>
      </c>
      <c r="D3230" s="1" t="s">
        <v>1384</v>
      </c>
      <c r="E3230" s="3" t="str">
        <f>""</f>
        <v/>
      </c>
      <c r="F3230" s="2" t="s">
        <v>1323</v>
      </c>
      <c r="G3230" s="2" t="str">
        <f>CONCATENATE("D.I.A.T. D.O.O.,"," JABLANOVEČKA 37,"," 10 000 ZAGREB,"," OIB: 22889869555")</f>
        <v>D.I.A.T. D.O.O., JABLANOVEČKA 37, 10 000 ZAGREB, OIB: 22889869555</v>
      </c>
      <c r="H3230" s="4"/>
      <c r="I3230" s="1" t="s">
        <v>279</v>
      </c>
      <c r="J3230" s="5">
        <v>43166</v>
      </c>
      <c r="K3230" s="6" t="str">
        <f>"65.500,00"</f>
        <v>65.500,00</v>
      </c>
      <c r="L3230" s="6" t="str">
        <f>"16.375,00"</f>
        <v>16.375,00</v>
      </c>
      <c r="M3230" s="6" t="str">
        <f>"81.875,00"</f>
        <v>81.875,00</v>
      </c>
      <c r="N3230" s="1" t="s">
        <v>117</v>
      </c>
      <c r="O3230" s="7"/>
      <c r="P3230" s="6" t="str">
        <f>""</f>
        <v/>
      </c>
      <c r="Q3230" s="7"/>
      <c r="R3230" s="1"/>
      <c r="S3230" s="1" t="str">
        <f>"N-B-275/16"</f>
        <v>N-B-275/16</v>
      </c>
      <c r="T3230" s="2" t="s">
        <v>29</v>
      </c>
    </row>
    <row r="3231" spans="1:20" ht="38.25" x14ac:dyDescent="0.25">
      <c r="A3231" s="1">
        <v>3227</v>
      </c>
      <c r="B3231" s="1" t="str">
        <f>"2016-2036"</f>
        <v>2016-2036</v>
      </c>
      <c r="C3231" s="2" t="s">
        <v>1993</v>
      </c>
      <c r="D3231" s="1" t="s">
        <v>1384</v>
      </c>
      <c r="E3231" s="3" t="str">
        <f>""</f>
        <v/>
      </c>
      <c r="F3231" s="2" t="s">
        <v>1994</v>
      </c>
      <c r="G3231" s="2" t="str">
        <f>CONCATENATE("D.I.A.T. D.O.O.,"," JABLANOVEČKA 37,"," 10 000 ZAGREB,"," OIB: 22889869555")</f>
        <v>D.I.A.T. D.O.O., JABLANOVEČKA 37, 10 000 ZAGREB, OIB: 22889869555</v>
      </c>
      <c r="H3231" s="4"/>
      <c r="I3231" s="1" t="s">
        <v>1117</v>
      </c>
      <c r="J3231" s="5">
        <v>43592</v>
      </c>
      <c r="K3231" s="6" t="str">
        <f>""</f>
        <v/>
      </c>
      <c r="L3231" s="6" t="str">
        <f>"0,00"</f>
        <v>0,00</v>
      </c>
      <c r="M3231" s="6" t="str">
        <f>"0,00"</f>
        <v>0,00</v>
      </c>
      <c r="N3231" s="1" t="s">
        <v>117</v>
      </c>
      <c r="O3231" s="7"/>
      <c r="P3231" s="6" t="str">
        <f>""</f>
        <v/>
      </c>
      <c r="Q3231" s="7"/>
      <c r="R3231" s="1"/>
      <c r="S3231" s="1" t="str">
        <f>"N-B-275/16-1"</f>
        <v>N-B-275/16-1</v>
      </c>
      <c r="T3231" s="2" t="s">
        <v>29</v>
      </c>
    </row>
    <row r="3232" spans="1:20" ht="165.75" x14ac:dyDescent="0.25">
      <c r="A3232" s="1">
        <v>3228</v>
      </c>
      <c r="B3232" s="1" t="str">
        <f>"2017-2974"</f>
        <v>2017-2974</v>
      </c>
      <c r="C3232" s="2" t="s">
        <v>1995</v>
      </c>
      <c r="D3232" s="1" t="s">
        <v>1008</v>
      </c>
      <c r="E3232" s="3" t="str">
        <f>""</f>
        <v/>
      </c>
      <c r="F3232" s="2" t="s">
        <v>1323</v>
      </c>
      <c r="G3232" s="2" t="str">
        <f>CONCATENATE("GROWTH STRATEGIES D.O.O.,"," KAMENITI STOL 23/F,"," 10000 ZAGREB,"," OIB: 20023728589")</f>
        <v>GROWTH STRATEGIES D.O.O., KAMENITI STOL 23/F, 10000 ZAGREB, OIB: 20023728589</v>
      </c>
      <c r="H3232" s="4"/>
      <c r="I3232" s="1" t="s">
        <v>864</v>
      </c>
      <c r="J3232" s="5">
        <v>43489</v>
      </c>
      <c r="K3232" s="6" t="str">
        <f>"195.000,00"</f>
        <v>195.000,00</v>
      </c>
      <c r="L3232" s="6" t="str">
        <f>"48.750,00"</f>
        <v>48.750,00</v>
      </c>
      <c r="M3232" s="6" t="str">
        <f>"243.750,00"</f>
        <v>243.750,00</v>
      </c>
      <c r="N3232" s="5">
        <v>43608</v>
      </c>
      <c r="O3232" s="7"/>
      <c r="P3232" s="6" t="str">
        <f>"243.750,00"</f>
        <v>243.750,00</v>
      </c>
      <c r="Q3232" s="7"/>
      <c r="R3232" s="20" t="s">
        <v>2391</v>
      </c>
      <c r="S3232" s="1" t="str">
        <f>"JNU-2017-4199"</f>
        <v>JNU-2017-4199</v>
      </c>
      <c r="T3232" s="2" t="s">
        <v>33</v>
      </c>
    </row>
    <row r="3233" spans="1:20" ht="165.75" x14ac:dyDescent="0.25">
      <c r="A3233" s="1">
        <v>3229</v>
      </c>
      <c r="B3233" s="1" t="str">
        <f>"2017-2973"</f>
        <v>2017-2973</v>
      </c>
      <c r="C3233" s="2" t="s">
        <v>1996</v>
      </c>
      <c r="D3233" s="1" t="s">
        <v>1008</v>
      </c>
      <c r="E3233" s="3" t="str">
        <f>""</f>
        <v/>
      </c>
      <c r="F3233" s="2" t="s">
        <v>1323</v>
      </c>
      <c r="G3233" s="2" t="str">
        <f>CONCATENATE("GROWTH STRATEGIES D.O.O.,"," KAMENITI STOL 23/F,"," 10000 ZAGREB,"," OIB: 20023728589")</f>
        <v>GROWTH STRATEGIES D.O.O., KAMENITI STOL 23/F, 10000 ZAGREB, OIB: 20023728589</v>
      </c>
      <c r="H3233" s="4"/>
      <c r="I3233" s="1" t="s">
        <v>864</v>
      </c>
      <c r="J3233" s="5">
        <v>43489</v>
      </c>
      <c r="K3233" s="6" t="str">
        <f>"198.000,00"</f>
        <v>198.000,00</v>
      </c>
      <c r="L3233" s="6" t="str">
        <f>"49.500,00"</f>
        <v>49.500,00</v>
      </c>
      <c r="M3233" s="6" t="str">
        <f>"247.500,00"</f>
        <v>247.500,00</v>
      </c>
      <c r="N3233" s="5">
        <v>43608</v>
      </c>
      <c r="O3233" s="7"/>
      <c r="P3233" s="6" t="str">
        <f>"247.500,00"</f>
        <v>247.500,00</v>
      </c>
      <c r="Q3233" s="7"/>
      <c r="R3233" s="20" t="s">
        <v>2391</v>
      </c>
      <c r="S3233" s="1" t="str">
        <f>"JNU-2017-4200"</f>
        <v>JNU-2017-4200</v>
      </c>
      <c r="T3233" s="2" t="s">
        <v>33</v>
      </c>
    </row>
    <row r="3234" spans="1:20" ht="51" x14ac:dyDescent="0.25">
      <c r="A3234" s="1">
        <v>3230</v>
      </c>
      <c r="B3234" s="1" t="str">
        <f>"2018-2940"</f>
        <v>2018-2940</v>
      </c>
      <c r="C3234" s="2" t="s">
        <v>1997</v>
      </c>
      <c r="D3234" s="1" t="s">
        <v>1325</v>
      </c>
      <c r="E3234" s="3" t="str">
        <f>""</f>
        <v/>
      </c>
      <c r="F3234" s="2" t="s">
        <v>1323</v>
      </c>
      <c r="G3234" s="2" t="str">
        <f>CONCATENATE("ENERKON D.O.O.,"," TRNJANSKA 37,"," 10000 ZAGREB,"," OIB: 46286015197")</f>
        <v>ENERKON D.O.O., TRNJANSKA 37, 10000 ZAGREB, OIB: 46286015197</v>
      </c>
      <c r="H3234" s="4"/>
      <c r="I3234" s="1" t="s">
        <v>1604</v>
      </c>
      <c r="J3234" s="5">
        <v>43609</v>
      </c>
      <c r="K3234" s="6" t="str">
        <f>"165.000,00"</f>
        <v>165.000,00</v>
      </c>
      <c r="L3234" s="6" t="str">
        <f>"41.250,00"</f>
        <v>41.250,00</v>
      </c>
      <c r="M3234" s="6" t="str">
        <f>"206.250,00"</f>
        <v>206.250,00</v>
      </c>
      <c r="N3234" s="5">
        <v>43565</v>
      </c>
      <c r="O3234" s="7"/>
      <c r="P3234" s="6" t="str">
        <f>"206.250,00"</f>
        <v>206.250,00</v>
      </c>
      <c r="Q3234" s="7"/>
      <c r="R3234" s="1"/>
      <c r="S3234" s="1" t="str">
        <f>"JNU-2018-213"</f>
        <v>JNU-2018-213</v>
      </c>
      <c r="T3234" s="2" t="s">
        <v>33</v>
      </c>
    </row>
    <row r="3235" spans="1:20" ht="38.25" x14ac:dyDescent="0.25">
      <c r="A3235" s="1">
        <v>3231</v>
      </c>
      <c r="B3235" s="1" t="str">
        <f>"2018-2433"</f>
        <v>2018-2433</v>
      </c>
      <c r="C3235" s="2" t="s">
        <v>1998</v>
      </c>
      <c r="D3235" s="1" t="s">
        <v>192</v>
      </c>
      <c r="E3235" s="3" t="str">
        <f>""</f>
        <v/>
      </c>
      <c r="F3235" s="2" t="s">
        <v>1323</v>
      </c>
      <c r="G3235" s="2" t="str">
        <f>CONCATENATE("ELEKTRO-KOMUNIKACIJE D.O.O.,"," 14. PODBREŽJE 4,"," 10000 ZAGREB,"," OIB: 76412373309")</f>
        <v>ELEKTRO-KOMUNIKACIJE D.O.O., 14. PODBREŽJE 4, 10000 ZAGREB, OIB: 76412373309</v>
      </c>
      <c r="H3235" s="4"/>
      <c r="I3235" s="1" t="s">
        <v>964</v>
      </c>
      <c r="J3235" s="5">
        <v>43629</v>
      </c>
      <c r="K3235" s="6" t="str">
        <f>"15.170,60"</f>
        <v>15.170,60</v>
      </c>
      <c r="L3235" s="6" t="str">
        <f>"3.792,65"</f>
        <v>3.792,65</v>
      </c>
      <c r="M3235" s="6" t="str">
        <f>"18.963,25"</f>
        <v>18.963,25</v>
      </c>
      <c r="N3235" s="5">
        <v>43382</v>
      </c>
      <c r="O3235" s="7"/>
      <c r="P3235" s="6" t="str">
        <f>"18.963,25"</f>
        <v>18.963,25</v>
      </c>
      <c r="Q3235" s="7"/>
      <c r="R3235" s="1"/>
      <c r="S3235" s="1" t="str">
        <f>"JNU-2018-300"</f>
        <v>JNU-2018-300</v>
      </c>
      <c r="T3235" s="2" t="s">
        <v>33</v>
      </c>
    </row>
    <row r="3236" spans="1:20" ht="25.5" x14ac:dyDescent="0.25">
      <c r="A3236" s="1">
        <v>3232</v>
      </c>
      <c r="B3236" s="1" t="str">
        <f>"2018-2943"</f>
        <v>2018-2943</v>
      </c>
      <c r="C3236" s="2" t="s">
        <v>1999</v>
      </c>
      <c r="D3236" s="1" t="s">
        <v>336</v>
      </c>
      <c r="E3236" s="3" t="str">
        <f>""</f>
        <v/>
      </c>
      <c r="F3236" s="2" t="s">
        <v>1323</v>
      </c>
      <c r="G3236" s="2" t="str">
        <f>CONCATENATE("GEO OMEGA D.O.O.,"," VRBIK 8/B,"," 10000 ZAGREB,"," OIB: 31353703983")</f>
        <v>GEO OMEGA D.O.O., VRBIK 8/B, 10000 ZAGREB, OIB: 31353703983</v>
      </c>
      <c r="H3236" s="4"/>
      <c r="I3236" s="1" t="s">
        <v>2000</v>
      </c>
      <c r="J3236" s="5">
        <v>43622</v>
      </c>
      <c r="K3236" s="6" t="str">
        <f>"16.800,00"</f>
        <v>16.800,00</v>
      </c>
      <c r="L3236" s="6" t="str">
        <f>"4.200,00"</f>
        <v>4.200,00</v>
      </c>
      <c r="M3236" s="6" t="str">
        <f>"21.000,00"</f>
        <v>21.000,00</v>
      </c>
      <c r="N3236" s="5">
        <v>43284</v>
      </c>
      <c r="O3236" s="7"/>
      <c r="P3236" s="6" t="str">
        <f>"21.000,00"</f>
        <v>21.000,00</v>
      </c>
      <c r="Q3236" s="7"/>
      <c r="R3236" s="1"/>
      <c r="S3236" s="1" t="str">
        <f>"JNU-2018-467"</f>
        <v>JNU-2018-467</v>
      </c>
      <c r="T3236" s="2" t="s">
        <v>33</v>
      </c>
    </row>
    <row r="3237" spans="1:20" ht="51" x14ac:dyDescent="0.25">
      <c r="A3237" s="1">
        <v>3233</v>
      </c>
      <c r="B3237" s="1" t="str">
        <f>"2018-2952"</f>
        <v>2018-2952</v>
      </c>
      <c r="C3237" s="2" t="s">
        <v>2001</v>
      </c>
      <c r="D3237" s="1" t="s">
        <v>1384</v>
      </c>
      <c r="E3237" s="3" t="str">
        <f>""</f>
        <v/>
      </c>
      <c r="F3237" s="2" t="s">
        <v>1323</v>
      </c>
      <c r="G3237" s="2" t="str">
        <f>CONCATENATE("KAP4 D.O.O.,"," POKORNOGA 9,"," 10000 ZAGREB,"," OIB: 68965490837")</f>
        <v>KAP4 D.O.O., POKORNOGA 9, 10000 ZAGREB, OIB: 68965490837</v>
      </c>
      <c r="H3237" s="4"/>
      <c r="I3237" s="1" t="s">
        <v>586</v>
      </c>
      <c r="J3237" s="5">
        <v>43644</v>
      </c>
      <c r="K3237" s="6" t="str">
        <f>"47.500,00"</f>
        <v>47.500,00</v>
      </c>
      <c r="L3237" s="6" t="str">
        <f>"11.875,00"</f>
        <v>11.875,00</v>
      </c>
      <c r="M3237" s="6" t="str">
        <f>"59.375,00"</f>
        <v>59.375,00</v>
      </c>
      <c r="N3237" s="5">
        <v>43423</v>
      </c>
      <c r="O3237" s="7"/>
      <c r="P3237" s="6" t="str">
        <f>"59.375,00"</f>
        <v>59.375,00</v>
      </c>
      <c r="Q3237" s="7"/>
      <c r="R3237" s="1"/>
      <c r="S3237" s="1" t="str">
        <f>"JNU-2018-611"</f>
        <v>JNU-2018-611</v>
      </c>
      <c r="T3237" s="2" t="s">
        <v>33</v>
      </c>
    </row>
    <row r="3238" spans="1:20" ht="38.25" x14ac:dyDescent="0.25">
      <c r="A3238" s="1">
        <v>3234</v>
      </c>
      <c r="B3238" s="1" t="str">
        <f>"2018-987"</f>
        <v>2018-987</v>
      </c>
      <c r="C3238" s="2" t="s">
        <v>2002</v>
      </c>
      <c r="D3238" s="1" t="s">
        <v>786</v>
      </c>
      <c r="E3238" s="3" t="str">
        <f>""</f>
        <v/>
      </c>
      <c r="F3238" s="2" t="s">
        <v>1323</v>
      </c>
      <c r="G3238" s="2" t="str">
        <f>CONCATENATE("PISMORAD D.D.,"," III MALEŠNICA 12,"," 10000 ZAGREB,"," OIB: 33260306505")</f>
        <v>PISMORAD D.D., III MALEŠNICA 12, 10000 ZAGREB, OIB: 33260306505</v>
      </c>
      <c r="H3238" s="4"/>
      <c r="I3238" s="1" t="s">
        <v>631</v>
      </c>
      <c r="J3238" s="5">
        <v>43652</v>
      </c>
      <c r="K3238" s="6" t="str">
        <f>"39.710,00"</f>
        <v>39.710,00</v>
      </c>
      <c r="L3238" s="6" t="str">
        <f>"9.927,50"</f>
        <v>9.927,50</v>
      </c>
      <c r="M3238" s="6" t="str">
        <f>"49.637,50"</f>
        <v>49.637,50</v>
      </c>
      <c r="N3238" s="5">
        <v>43308</v>
      </c>
      <c r="O3238" s="7"/>
      <c r="P3238" s="6" t="str">
        <f>"49.637,50"</f>
        <v>49.637,50</v>
      </c>
      <c r="Q3238" s="7"/>
      <c r="R3238" s="1"/>
      <c r="S3238" s="1" t="str">
        <f>"JNU-2018-854"</f>
        <v>JNU-2018-854</v>
      </c>
      <c r="T3238" s="2" t="s">
        <v>33</v>
      </c>
    </row>
    <row r="3239" spans="1:20" ht="38.25" x14ac:dyDescent="0.25">
      <c r="A3239" s="1">
        <v>3235</v>
      </c>
      <c r="B3239" s="1" t="str">
        <f>"2018-3050"</f>
        <v>2018-3050</v>
      </c>
      <c r="C3239" s="2" t="s">
        <v>2003</v>
      </c>
      <c r="D3239" s="1" t="s">
        <v>1819</v>
      </c>
      <c r="E3239" s="3" t="str">
        <f>""</f>
        <v/>
      </c>
      <c r="F3239" s="2" t="s">
        <v>1323</v>
      </c>
      <c r="G3239" s="2" t="str">
        <f>CONCATENATE("KPMG CROATIA D.O.O.,"," EUROTOWER,"," 17. KAT - IVANA LUČIĆA 2A,"," 10000 ZAGREB,"," OIB: 20963249418")</f>
        <v>KPMG CROATIA D.O.O., EUROTOWER, 17. KAT - IVANA LUČIĆA 2A, 10000 ZAGREB, OIB: 20963249418</v>
      </c>
      <c r="H3239" s="4"/>
      <c r="I3239" s="1" t="s">
        <v>561</v>
      </c>
      <c r="J3239" s="5">
        <v>43719</v>
      </c>
      <c r="K3239" s="6" t="str">
        <f>"198.000,00"</f>
        <v>198.000,00</v>
      </c>
      <c r="L3239" s="6" t="str">
        <f>"49.500,00"</f>
        <v>49.500,00</v>
      </c>
      <c r="M3239" s="6" t="str">
        <f>"247.500,00"</f>
        <v>247.500,00</v>
      </c>
      <c r="N3239" s="5">
        <v>43496</v>
      </c>
      <c r="O3239" s="7"/>
      <c r="P3239" s="6" t="str">
        <f>"247.500,00"</f>
        <v>247.500,00</v>
      </c>
      <c r="Q3239" s="7"/>
      <c r="R3239" s="1"/>
      <c r="S3239" s="1" t="str">
        <f>"JNU-2018-1412"</f>
        <v>JNU-2018-1412</v>
      </c>
      <c r="T3239" s="2" t="s">
        <v>33</v>
      </c>
    </row>
    <row r="3240" spans="1:20" ht="25.5" x14ac:dyDescent="0.25">
      <c r="A3240" s="1">
        <v>3236</v>
      </c>
      <c r="B3240" s="1" t="str">
        <f>"2018-2652"</f>
        <v>2018-2652</v>
      </c>
      <c r="C3240" s="2" t="s">
        <v>1204</v>
      </c>
      <c r="D3240" s="1" t="s">
        <v>786</v>
      </c>
      <c r="E3240" s="3" t="str">
        <f>""</f>
        <v/>
      </c>
      <c r="F3240" s="2" t="s">
        <v>1323</v>
      </c>
      <c r="G3240" s="2" t="str">
        <f>CONCATENATE("TEHMAR D.O.O.,"," STAJNIČKA 5,"," 10251 HRVATSKI LESKOVAC,"," OIB: 78055843019")</f>
        <v>TEHMAR D.O.O., STAJNIČKA 5, 10251 HRVATSKI LESKOVAC, OIB: 78055843019</v>
      </c>
      <c r="H3240" s="4"/>
      <c r="I3240" s="1" t="s">
        <v>1659</v>
      </c>
      <c r="J3240" s="5">
        <v>43714</v>
      </c>
      <c r="K3240" s="6" t="str">
        <f>"69.805,00"</f>
        <v>69.805,00</v>
      </c>
      <c r="L3240" s="6" t="str">
        <f>"17.451,25"</f>
        <v>17.451,25</v>
      </c>
      <c r="M3240" s="6" t="str">
        <f>"87.256,25"</f>
        <v>87.256,25</v>
      </c>
      <c r="N3240" s="5">
        <v>43404</v>
      </c>
      <c r="O3240" s="7"/>
      <c r="P3240" s="6" t="str">
        <f>"86.761,25"</f>
        <v>86.761,25</v>
      </c>
      <c r="Q3240" s="7"/>
      <c r="R3240" s="1"/>
      <c r="S3240" s="1" t="str">
        <f>"JNU-2018-1394"</f>
        <v>JNU-2018-1394</v>
      </c>
      <c r="T3240" s="2" t="s">
        <v>33</v>
      </c>
    </row>
    <row r="3241" spans="1:20" ht="25.5" x14ac:dyDescent="0.25">
      <c r="A3241" s="1">
        <v>3237</v>
      </c>
      <c r="B3241" s="1" t="str">
        <f>"2018-2943"</f>
        <v>2018-2943</v>
      </c>
      <c r="C3241" s="2" t="s">
        <v>1999</v>
      </c>
      <c r="D3241" s="1" t="s">
        <v>336</v>
      </c>
      <c r="E3241" s="3" t="str">
        <f>""</f>
        <v/>
      </c>
      <c r="F3241" s="2" t="s">
        <v>1323</v>
      </c>
      <c r="G3241" s="2" t="str">
        <f>CONCATENATE("GEO AKT J.D.O.O.,"," ZAGREBAČKA CESTA 132A,"," 10000 ZAGREB,"," OIB: 99459462106")</f>
        <v>GEO AKT J.D.O.O., ZAGREBAČKA CESTA 132A, 10000 ZAGREB, OIB: 99459462106</v>
      </c>
      <c r="H3241" s="4"/>
      <c r="I3241" s="1" t="s">
        <v>561</v>
      </c>
      <c r="J3241" s="5">
        <v>43719</v>
      </c>
      <c r="K3241" s="6" t="str">
        <f>"2.500,00"</f>
        <v>2.500,00</v>
      </c>
      <c r="L3241" s="6" t="str">
        <f>"625,00"</f>
        <v>625,00</v>
      </c>
      <c r="M3241" s="6" t="str">
        <f>"3.125,00"</f>
        <v>3.125,00</v>
      </c>
      <c r="N3241" s="5">
        <v>43368</v>
      </c>
      <c r="O3241" s="7"/>
      <c r="P3241" s="6" t="str">
        <f>"3.125,00"</f>
        <v>3.125,00</v>
      </c>
      <c r="Q3241" s="7"/>
      <c r="R3241" s="1"/>
      <c r="S3241" s="1" t="str">
        <f>"JNU-2018-1482"</f>
        <v>JNU-2018-1482</v>
      </c>
      <c r="T3241" s="2" t="s">
        <v>33</v>
      </c>
    </row>
    <row r="3242" spans="1:20" ht="25.5" x14ac:dyDescent="0.25">
      <c r="A3242" s="1">
        <v>3238</v>
      </c>
      <c r="B3242" s="1" t="str">
        <f>"2018-2943"</f>
        <v>2018-2943</v>
      </c>
      <c r="C3242" s="2" t="s">
        <v>1999</v>
      </c>
      <c r="D3242" s="1" t="s">
        <v>336</v>
      </c>
      <c r="E3242" s="3" t="str">
        <f>""</f>
        <v/>
      </c>
      <c r="F3242" s="2" t="s">
        <v>1323</v>
      </c>
      <c r="G3242" s="2" t="str">
        <f>CONCATENATE("GEO AKT J.D.O.O.,"," ZAGREBAČKA CESTA 132A,"," 10000 ZAGREB,"," OIB: 99459462106")</f>
        <v>GEO AKT J.D.O.O., ZAGREBAČKA CESTA 132A, 10000 ZAGREB, OIB: 99459462106</v>
      </c>
      <c r="H3242" s="4"/>
      <c r="I3242" s="1" t="s">
        <v>561</v>
      </c>
      <c r="J3242" s="5">
        <v>43719</v>
      </c>
      <c r="K3242" s="6" t="str">
        <f>"2.900,00"</f>
        <v>2.900,00</v>
      </c>
      <c r="L3242" s="6" t="str">
        <f>"725,00"</f>
        <v>725,00</v>
      </c>
      <c r="M3242" s="6" t="str">
        <f>"3.625,00"</f>
        <v>3.625,00</v>
      </c>
      <c r="N3242" s="5">
        <v>43368</v>
      </c>
      <c r="O3242" s="7"/>
      <c r="P3242" s="6" t="str">
        <f>"3.625,00"</f>
        <v>3.625,00</v>
      </c>
      <c r="Q3242" s="7"/>
      <c r="R3242" s="1"/>
      <c r="S3242" s="1" t="str">
        <f>"JNU-2018-1483"</f>
        <v>JNU-2018-1483</v>
      </c>
      <c r="T3242" s="2" t="s">
        <v>33</v>
      </c>
    </row>
    <row r="3243" spans="1:20" ht="25.5" x14ac:dyDescent="0.25">
      <c r="A3243" s="1">
        <v>3239</v>
      </c>
      <c r="B3243" s="1" t="str">
        <f>"2018-2111"</f>
        <v>2018-2111</v>
      </c>
      <c r="C3243" s="2" t="s">
        <v>2004</v>
      </c>
      <c r="D3243" s="1" t="s">
        <v>1266</v>
      </c>
      <c r="E3243" s="3" t="str">
        <f>""</f>
        <v/>
      </c>
      <c r="F3243" s="2" t="s">
        <v>1323</v>
      </c>
      <c r="G3243" s="2" t="str">
        <f>CONCATENATE("TAHOGRAF D.O.O.,"," DR. FRANJE TUĐMANA 24,"," 10431 SVETA NEDELJA,"," OIB: 73777060562")</f>
        <v>TAHOGRAF D.O.O., DR. FRANJE TUĐMANA 24, 10431 SVETA NEDELJA, OIB: 73777060562</v>
      </c>
      <c r="H3243" s="4"/>
      <c r="I3243" s="1" t="s">
        <v>362</v>
      </c>
      <c r="J3243" s="5">
        <v>43585</v>
      </c>
      <c r="K3243" s="6" t="str">
        <f>"60.202,65"</f>
        <v>60.202,65</v>
      </c>
      <c r="L3243" s="6" t="str">
        <f>"15.050,66"</f>
        <v>15.050,66</v>
      </c>
      <c r="M3243" s="6" t="str">
        <f>"75.253,31"</f>
        <v>75.253,31</v>
      </c>
      <c r="N3243" s="5">
        <v>43595</v>
      </c>
      <c r="O3243" s="7"/>
      <c r="P3243" s="6" t="str">
        <f>"74.534,66"</f>
        <v>74.534,66</v>
      </c>
      <c r="Q3243" s="7"/>
      <c r="R3243" s="1"/>
      <c r="S3243" s="1" t="str">
        <f>"JNU-2018-1494"</f>
        <v>JNU-2018-1494</v>
      </c>
      <c r="T3243" s="2" t="s">
        <v>33</v>
      </c>
    </row>
    <row r="3244" spans="1:20" ht="25.5" x14ac:dyDescent="0.25">
      <c r="A3244" s="1">
        <v>3240</v>
      </c>
      <c r="B3244" s="1" t="str">
        <f>"2018-3056"</f>
        <v>2018-3056</v>
      </c>
      <c r="C3244" s="2" t="s">
        <v>2005</v>
      </c>
      <c r="D3244" s="1" t="s">
        <v>1494</v>
      </c>
      <c r="E3244" s="3" t="str">
        <f>""</f>
        <v/>
      </c>
      <c r="F3244" s="2" t="s">
        <v>1323</v>
      </c>
      <c r="G3244" s="2" t="str">
        <f>CONCATENATE("DILJEXPORT D.O.O.,"," ZLATKA ŠULENTIĆA 9,"," 10000 ZAGREB,"," OIB: 00089952586")</f>
        <v>DILJEXPORT D.O.O., ZLATKA ŠULENTIĆA 9, 10000 ZAGREB, OIB: 00089952586</v>
      </c>
      <c r="H3244" s="4"/>
      <c r="I3244" s="1" t="s">
        <v>561</v>
      </c>
      <c r="J3244" s="5">
        <v>43719</v>
      </c>
      <c r="K3244" s="6" t="str">
        <f>"498.096,60"</f>
        <v>498.096,60</v>
      </c>
      <c r="L3244" s="6" t="str">
        <f>"124.524,15"</f>
        <v>124.524,15</v>
      </c>
      <c r="M3244" s="6" t="str">
        <f>"622.620,75"</f>
        <v>622.620,75</v>
      </c>
      <c r="N3244" s="5">
        <v>43343</v>
      </c>
      <c r="O3244" s="7"/>
      <c r="P3244" s="6" t="str">
        <f>"622.620,75"</f>
        <v>622.620,75</v>
      </c>
      <c r="Q3244" s="7"/>
      <c r="R3244" s="1"/>
      <c r="S3244" s="1" t="str">
        <f>"JNU-2018-1443"</f>
        <v>JNU-2018-1443</v>
      </c>
      <c r="T3244" s="2" t="s">
        <v>33</v>
      </c>
    </row>
    <row r="3245" spans="1:20" ht="63.75" x14ac:dyDescent="0.25">
      <c r="A3245" s="1">
        <v>3241</v>
      </c>
      <c r="B3245" s="1" t="str">
        <f>"2018-2755"</f>
        <v>2018-2755</v>
      </c>
      <c r="C3245" s="2" t="s">
        <v>2006</v>
      </c>
      <c r="D3245" s="1" t="s">
        <v>2007</v>
      </c>
      <c r="E3245" s="3" t="str">
        <f>""</f>
        <v/>
      </c>
      <c r="F3245" s="2" t="s">
        <v>1323</v>
      </c>
      <c r="G3245" s="2" t="str">
        <f>CONCATENATE("KPMG CROATIA D.O.O.,"," EUROTOWER,"," 17. KAT - IVANA LUČIĆA 2A,"," 10000 ZAGREB,"," OIB: 20963249418")</f>
        <v>KPMG CROATIA D.O.O., EUROTOWER, 17. KAT - IVANA LUČIĆA 2A, 10000 ZAGREB, OIB: 20963249418</v>
      </c>
      <c r="H3245" s="4"/>
      <c r="I3245" s="1" t="s">
        <v>315</v>
      </c>
      <c r="J3245" s="5">
        <v>43718</v>
      </c>
      <c r="K3245" s="6" t="str">
        <f>"95.000,00"</f>
        <v>95.000,00</v>
      </c>
      <c r="L3245" s="6" t="str">
        <f>"23.750,00"</f>
        <v>23.750,00</v>
      </c>
      <c r="M3245" s="6" t="str">
        <f>"118.750,00"</f>
        <v>118.750,00</v>
      </c>
      <c r="N3245" s="5">
        <v>43422</v>
      </c>
      <c r="O3245" s="7"/>
      <c r="P3245" s="6" t="str">
        <f>"118.750,00"</f>
        <v>118.750,00</v>
      </c>
      <c r="Q3245" s="7"/>
      <c r="R3245" s="1"/>
      <c r="S3245" s="1" t="str">
        <f>"JNU-2018-1674"</f>
        <v>JNU-2018-1674</v>
      </c>
      <c r="T3245" s="2" t="s">
        <v>79</v>
      </c>
    </row>
    <row r="3246" spans="1:20" ht="38.25" x14ac:dyDescent="0.25">
      <c r="A3246" s="1">
        <v>3242</v>
      </c>
      <c r="B3246" s="1" t="str">
        <f>"2018-3014"</f>
        <v>2018-3014</v>
      </c>
      <c r="C3246" s="2" t="s">
        <v>2008</v>
      </c>
      <c r="D3246" s="1" t="s">
        <v>1384</v>
      </c>
      <c r="E3246" s="3" t="str">
        <f>""</f>
        <v/>
      </c>
      <c r="F3246" s="2" t="s">
        <v>1323</v>
      </c>
      <c r="G3246" s="2" t="str">
        <f>CONCATENATE("KAP4 D.O.O.,"," POKORNOGA 9,"," 10000 ZAGREB,"," OIB: 68965490837")</f>
        <v>KAP4 D.O.O., POKORNOGA 9, 10000 ZAGREB, OIB: 68965490837</v>
      </c>
      <c r="H3246" s="4"/>
      <c r="I3246" s="1" t="s">
        <v>1106</v>
      </c>
      <c r="J3246" s="5">
        <v>43747</v>
      </c>
      <c r="K3246" s="6" t="str">
        <f>"93.100,00"</f>
        <v>93.100,00</v>
      </c>
      <c r="L3246" s="6" t="str">
        <f>"23.275,00"</f>
        <v>23.275,00</v>
      </c>
      <c r="M3246" s="6" t="str">
        <f>"116.375,00"</f>
        <v>116.375,00</v>
      </c>
      <c r="N3246" s="5">
        <v>43423</v>
      </c>
      <c r="O3246" s="7"/>
      <c r="P3246" s="6" t="str">
        <f>"116.375,00"</f>
        <v>116.375,00</v>
      </c>
      <c r="Q3246" s="7"/>
      <c r="R3246" s="1"/>
      <c r="S3246" s="1" t="str">
        <f>"JNU-2018-1813"</f>
        <v>JNU-2018-1813</v>
      </c>
      <c r="T3246" s="2" t="s">
        <v>33</v>
      </c>
    </row>
    <row r="3247" spans="1:20" ht="38.25" x14ac:dyDescent="0.25">
      <c r="A3247" s="1">
        <v>3243</v>
      </c>
      <c r="B3247" s="1" t="str">
        <f>"2018-3076"</f>
        <v>2018-3076</v>
      </c>
      <c r="C3247" s="2" t="s">
        <v>2009</v>
      </c>
      <c r="D3247" s="1" t="s">
        <v>910</v>
      </c>
      <c r="E3247" s="3" t="str">
        <f>""</f>
        <v/>
      </c>
      <c r="F3247" s="2" t="s">
        <v>1323</v>
      </c>
      <c r="G3247" s="2" t="str">
        <f>CONCATENATE("REGENERACIJA D.O.O.,"," PRILAZ DR. FRANJE TUĐMANA 15,"," 49210 ZABOK,"," OIB: 66421949049")</f>
        <v>REGENERACIJA D.O.O., PRILAZ DR. FRANJE TUĐMANA 15, 49210 ZABOK, OIB: 66421949049</v>
      </c>
      <c r="H3247" s="4"/>
      <c r="I3247" s="1" t="s">
        <v>1124</v>
      </c>
      <c r="J3247" s="5">
        <v>43555</v>
      </c>
      <c r="K3247" s="6" t="str">
        <f>"120.000,00"</f>
        <v>120.000,00</v>
      </c>
      <c r="L3247" s="6" t="str">
        <f>"30.000,00"</f>
        <v>30.000,00</v>
      </c>
      <c r="M3247" s="6" t="str">
        <f>"150.000,00"</f>
        <v>150.000,00</v>
      </c>
      <c r="N3247" s="5">
        <v>43616</v>
      </c>
      <c r="O3247" s="7"/>
      <c r="P3247" s="6" t="str">
        <f>"119.007,50"</f>
        <v>119.007,50</v>
      </c>
      <c r="Q3247" s="7"/>
      <c r="R3247" s="1"/>
      <c r="S3247" s="1" t="str">
        <f>"JNU-2018-1886"</f>
        <v>JNU-2018-1886</v>
      </c>
      <c r="T3247" s="2" t="s">
        <v>33</v>
      </c>
    </row>
    <row r="3248" spans="1:20" ht="38.25" x14ac:dyDescent="0.25">
      <c r="A3248" s="1">
        <v>3244</v>
      </c>
      <c r="B3248" s="1" t="str">
        <f>"2018-3076"</f>
        <v>2018-3076</v>
      </c>
      <c r="C3248" s="2" t="s">
        <v>2009</v>
      </c>
      <c r="D3248" s="1" t="s">
        <v>910</v>
      </c>
      <c r="E3248" s="3" t="str">
        <f>""</f>
        <v/>
      </c>
      <c r="F3248" s="2" t="s">
        <v>1372</v>
      </c>
      <c r="G3248" s="2" t="str">
        <f>CONCATENATE("REGENERACIJA D.O.O.,"," PRILAZ DR. FRANJE TUĐMANA 15,"," 49210 ZABOK,"," OIB: 66421949049")</f>
        <v>REGENERACIJA D.O.O., PRILAZ DR. FRANJE TUĐMANA 15, 49210 ZABOK, OIB: 66421949049</v>
      </c>
      <c r="H3248" s="4"/>
      <c r="I3248" s="1" t="s">
        <v>302</v>
      </c>
      <c r="J3248" s="5">
        <v>43646</v>
      </c>
      <c r="K3248" s="6" t="str">
        <f>""</f>
        <v/>
      </c>
      <c r="L3248" s="6" t="str">
        <f>"0,00"</f>
        <v>0,00</v>
      </c>
      <c r="M3248" s="6" t="str">
        <f>"0,00"</f>
        <v>0,00</v>
      </c>
      <c r="N3248" s="1" t="s">
        <v>117</v>
      </c>
      <c r="O3248" s="7"/>
      <c r="P3248" s="6" t="str">
        <f>""</f>
        <v/>
      </c>
      <c r="Q3248" s="7"/>
      <c r="R3248" s="1"/>
      <c r="S3248" s="1" t="str">
        <f>"JNU-2018-1886-1"</f>
        <v>JNU-2018-1886-1</v>
      </c>
      <c r="T3248" s="2" t="s">
        <v>33</v>
      </c>
    </row>
    <row r="3249" spans="1:20" ht="25.5" x14ac:dyDescent="0.25">
      <c r="A3249" s="1">
        <v>3245</v>
      </c>
      <c r="B3249" s="1" t="str">
        <f>"2018-387"</f>
        <v>2018-387</v>
      </c>
      <c r="C3249" s="2" t="s">
        <v>2010</v>
      </c>
      <c r="D3249" s="1" t="s">
        <v>1819</v>
      </c>
      <c r="E3249" s="3" t="str">
        <f>""</f>
        <v/>
      </c>
      <c r="F3249" s="2" t="s">
        <v>1323</v>
      </c>
      <c r="G3249" s="2" t="str">
        <f>CONCATENATE("INTEL-PLAN D.O.O.,"," BUDMANIJEVA 5,"," 10000 ZAGREB,"," OIB: 63179688369")</f>
        <v>INTEL-PLAN D.O.O., BUDMANIJEVA 5, 10000 ZAGREB, OIB: 63179688369</v>
      </c>
      <c r="H3249" s="4"/>
      <c r="I3249" s="1" t="s">
        <v>392</v>
      </c>
      <c r="J3249" s="5">
        <v>43767</v>
      </c>
      <c r="K3249" s="6" t="str">
        <f>"196.500,00"</f>
        <v>196.500,00</v>
      </c>
      <c r="L3249" s="6" t="str">
        <f>"49.125,00"</f>
        <v>49.125,00</v>
      </c>
      <c r="M3249" s="6" t="str">
        <f>"245.625,00"</f>
        <v>245.625,00</v>
      </c>
      <c r="N3249" s="5">
        <v>43558</v>
      </c>
      <c r="O3249" s="7"/>
      <c r="P3249" s="6" t="str">
        <f>"245.625,00"</f>
        <v>245.625,00</v>
      </c>
      <c r="Q3249" s="7"/>
      <c r="R3249" s="1"/>
      <c r="S3249" s="1" t="str">
        <f>"JNU-2018-2035"</f>
        <v>JNU-2018-2035</v>
      </c>
      <c r="T3249" s="2" t="s">
        <v>33</v>
      </c>
    </row>
    <row r="3250" spans="1:20" ht="63.75" x14ac:dyDescent="0.25">
      <c r="A3250" s="1">
        <v>3246</v>
      </c>
      <c r="B3250" s="1" t="str">
        <f>"2018-3039"</f>
        <v>2018-3039</v>
      </c>
      <c r="C3250" s="2" t="s">
        <v>2011</v>
      </c>
      <c r="D3250" s="1" t="s">
        <v>1567</v>
      </c>
      <c r="E3250" s="3" t="str">
        <f>""</f>
        <v/>
      </c>
      <c r="F3250" s="2" t="s">
        <v>1323</v>
      </c>
      <c r="G3250" s="2" t="str">
        <f>CONCATENATE("BOLD D.O.O.,"," KSAVER 26,"," 10000 ZAGREB,"," OIB: 409650666")</f>
        <v>BOLD D.O.O., KSAVER 26, 10000 ZAGREB, OIB: 409650666</v>
      </c>
      <c r="H3250" s="4"/>
      <c r="I3250" s="1" t="s">
        <v>1063</v>
      </c>
      <c r="J3250" s="5">
        <v>43777</v>
      </c>
      <c r="K3250" s="6" t="str">
        <f>"187.000,00"</f>
        <v>187.000,00</v>
      </c>
      <c r="L3250" s="6" t="str">
        <f>"46.750,00"</f>
        <v>46.750,00</v>
      </c>
      <c r="M3250" s="6" t="str">
        <f>"233.750,00"</f>
        <v>233.750,00</v>
      </c>
      <c r="N3250" s="5">
        <v>43444</v>
      </c>
      <c r="O3250" s="7"/>
      <c r="P3250" s="6" t="str">
        <f>"233.750,00"</f>
        <v>233.750,00</v>
      </c>
      <c r="Q3250" s="7"/>
      <c r="R3250" s="1"/>
      <c r="S3250" s="1" t="str">
        <f>"JNU-2018-2077"</f>
        <v>JNU-2018-2077</v>
      </c>
      <c r="T3250" s="2" t="s">
        <v>33</v>
      </c>
    </row>
    <row r="3251" spans="1:20" ht="38.25" x14ac:dyDescent="0.25">
      <c r="A3251" s="1">
        <v>3247</v>
      </c>
      <c r="B3251" s="1" t="str">
        <f>"2018-2600"</f>
        <v>2018-2600</v>
      </c>
      <c r="C3251" s="2" t="s">
        <v>2012</v>
      </c>
      <c r="D3251" s="1" t="s">
        <v>119</v>
      </c>
      <c r="E3251" s="3" t="str">
        <f>""</f>
        <v/>
      </c>
      <c r="F3251" s="2" t="s">
        <v>1323</v>
      </c>
      <c r="G3251" s="2" t="str">
        <f>CONCATENATE("OBRT ZA STROJARSKE INSTALACIJE MIHALIĆ,"," VL. DARKO MIHALIĆ,"," SVETI KRIŽ 103B,"," 49215 TUHELJ,"," OIB: 75453996846")</f>
        <v>OBRT ZA STROJARSKE INSTALACIJE MIHALIĆ, VL. DARKO MIHALIĆ, SVETI KRIŽ 103B, 49215 TUHELJ, OIB: 75453996846</v>
      </c>
      <c r="H3251" s="4"/>
      <c r="I3251" s="1" t="s">
        <v>331</v>
      </c>
      <c r="J3251" s="5">
        <v>43774</v>
      </c>
      <c r="K3251" s="6" t="str">
        <f>"349.092,00"</f>
        <v>349.092,00</v>
      </c>
      <c r="L3251" s="6" t="str">
        <f>"87.273,00"</f>
        <v>87.273,00</v>
      </c>
      <c r="M3251" s="6" t="str">
        <f>"436.365,00"</f>
        <v>436.365,00</v>
      </c>
      <c r="N3251" s="1" t="s">
        <v>117</v>
      </c>
      <c r="O3251" s="7"/>
      <c r="P3251" s="6" t="str">
        <f>""</f>
        <v/>
      </c>
      <c r="Q3251" s="7"/>
      <c r="R3251" s="1"/>
      <c r="S3251" s="1" t="str">
        <f>"JNU-2018-2078"</f>
        <v>JNU-2018-2078</v>
      </c>
      <c r="T3251" s="2" t="s">
        <v>33</v>
      </c>
    </row>
    <row r="3252" spans="1:20" ht="51" x14ac:dyDescent="0.25">
      <c r="A3252" s="1">
        <v>3248</v>
      </c>
      <c r="B3252" s="1" t="str">
        <f>"2018-566"</f>
        <v>2018-566</v>
      </c>
      <c r="C3252" s="2" t="s">
        <v>2013</v>
      </c>
      <c r="D3252" s="1" t="s">
        <v>1384</v>
      </c>
      <c r="E3252" s="3" t="str">
        <f>""</f>
        <v/>
      </c>
      <c r="F3252" s="2" t="s">
        <v>1323</v>
      </c>
      <c r="G3252" s="2" t="str">
        <f>CONCATENATE("URBANE IDEJE D.O.O.,"," LJUDEVITA GAJA 26A,"," 10430 SAMOBOR,"," OIB: 30740253189")</f>
        <v>URBANE IDEJE D.O.O., LJUDEVITA GAJA 26A, 10430 SAMOBOR, OIB: 30740253189</v>
      </c>
      <c r="H3252" s="4"/>
      <c r="I3252" s="1" t="s">
        <v>261</v>
      </c>
      <c r="J3252" s="5">
        <v>43810</v>
      </c>
      <c r="K3252" s="6" t="str">
        <f>"48.570,00"</f>
        <v>48.570,00</v>
      </c>
      <c r="L3252" s="6" t="str">
        <f>"12.142,50"</f>
        <v>12.142,50</v>
      </c>
      <c r="M3252" s="6" t="str">
        <f>"60.712,50"</f>
        <v>60.712,50</v>
      </c>
      <c r="N3252" s="1"/>
      <c r="O3252" s="5">
        <v>43458</v>
      </c>
      <c r="P3252" s="6" t="str">
        <f>""</f>
        <v/>
      </c>
      <c r="Q3252" s="7"/>
      <c r="R3252" s="1"/>
      <c r="S3252" s="1" t="str">
        <f>"JNU-2018-2696"</f>
        <v>JNU-2018-2696</v>
      </c>
      <c r="T3252" s="2" t="s">
        <v>33</v>
      </c>
    </row>
    <row r="3253" spans="1:20" ht="51" x14ac:dyDescent="0.25">
      <c r="A3253" s="1">
        <v>3249</v>
      </c>
      <c r="B3253" s="1" t="str">
        <f>"2018-566"</f>
        <v>2018-566</v>
      </c>
      <c r="C3253" s="2" t="s">
        <v>2013</v>
      </c>
      <c r="D3253" s="1" t="s">
        <v>1384</v>
      </c>
      <c r="E3253" s="3" t="str">
        <f>""</f>
        <v/>
      </c>
      <c r="F3253" s="2" t="s">
        <v>1323</v>
      </c>
      <c r="G3253" s="2" t="str">
        <f>CONCATENATE("URBANE IDEJE D.O.O.,"," LJUDEVITA GAJA 26A,"," 10430 SAMOBOR,"," OIB: 30740253189")</f>
        <v>URBANE IDEJE D.O.O., LJUDEVITA GAJA 26A, 10430 SAMOBOR, OIB: 30740253189</v>
      </c>
      <c r="H3253" s="4"/>
      <c r="I3253" s="1" t="s">
        <v>261</v>
      </c>
      <c r="J3253" s="5">
        <v>43810</v>
      </c>
      <c r="K3253" s="6" t="str">
        <f>"33.420,00"</f>
        <v>33.420,00</v>
      </c>
      <c r="L3253" s="6" t="str">
        <f>"8.355,00"</f>
        <v>8.355,00</v>
      </c>
      <c r="M3253" s="6" t="str">
        <f>"41.775,00"</f>
        <v>41.775,00</v>
      </c>
      <c r="N3253" s="1" t="s">
        <v>117</v>
      </c>
      <c r="O3253" s="7"/>
      <c r="P3253" s="6" t="str">
        <f>""</f>
        <v/>
      </c>
      <c r="Q3253" s="7"/>
      <c r="R3253" s="1"/>
      <c r="S3253" s="1" t="str">
        <f>"JNU-2018-2698"</f>
        <v>JNU-2018-2698</v>
      </c>
      <c r="T3253" s="2" t="s">
        <v>33</v>
      </c>
    </row>
    <row r="3254" spans="1:20" ht="51" x14ac:dyDescent="0.25">
      <c r="A3254" s="1">
        <v>3250</v>
      </c>
      <c r="B3254" s="1" t="str">
        <f>"2018-566"</f>
        <v>2018-566</v>
      </c>
      <c r="C3254" s="2" t="s">
        <v>2013</v>
      </c>
      <c r="D3254" s="1" t="s">
        <v>1384</v>
      </c>
      <c r="E3254" s="3" t="str">
        <f>""</f>
        <v/>
      </c>
      <c r="F3254" s="2" t="s">
        <v>1323</v>
      </c>
      <c r="G3254" s="2" t="str">
        <f>CONCATENATE("URBANE IDEJE D.O.O.,"," LJUDEVITA GAJA 26A,"," 10430 SAMOBOR,"," OIB: 30740253189")</f>
        <v>URBANE IDEJE D.O.O., LJUDEVITA GAJA 26A, 10430 SAMOBOR, OIB: 30740253189</v>
      </c>
      <c r="H3254" s="4"/>
      <c r="I3254" s="1" t="s">
        <v>261</v>
      </c>
      <c r="J3254" s="5">
        <v>43810</v>
      </c>
      <c r="K3254" s="6" t="str">
        <f>"63.140,00"</f>
        <v>63.140,00</v>
      </c>
      <c r="L3254" s="6" t="str">
        <f>"15.785,00"</f>
        <v>15.785,00</v>
      </c>
      <c r="M3254" s="6" t="str">
        <f>"78.925,00"</f>
        <v>78.925,00</v>
      </c>
      <c r="N3254" s="1"/>
      <c r="O3254" s="5">
        <v>43458</v>
      </c>
      <c r="P3254" s="6" t="str">
        <f>""</f>
        <v/>
      </c>
      <c r="Q3254" s="7"/>
      <c r="R3254" s="1"/>
      <c r="S3254" s="1" t="str">
        <f>"JNU-2018-2697"</f>
        <v>JNU-2018-2697</v>
      </c>
      <c r="T3254" s="2" t="s">
        <v>33</v>
      </c>
    </row>
    <row r="3255" spans="1:20" ht="25.5" x14ac:dyDescent="0.25">
      <c r="A3255" s="1">
        <v>3251</v>
      </c>
      <c r="B3255" s="1" t="str">
        <f>"2018-3159"</f>
        <v>2018-3159</v>
      </c>
      <c r="C3255" s="2" t="s">
        <v>2014</v>
      </c>
      <c r="D3255" s="1" t="s">
        <v>1840</v>
      </c>
      <c r="E3255" s="3" t="str">
        <f>""</f>
        <v/>
      </c>
      <c r="F3255" s="2" t="s">
        <v>1323</v>
      </c>
      <c r="G3255" s="2" t="str">
        <f>CONCATENATE("IN2 D.O.O.,"," MAROHNIĆEVA 1/1,"," 10000 ZAGREB,"," OIB: 68195665956")</f>
        <v>IN2 D.O.O., MAROHNIĆEVA 1/1, 10000 ZAGREB, OIB: 68195665956</v>
      </c>
      <c r="H3255" s="4"/>
      <c r="I3255" s="1" t="s">
        <v>679</v>
      </c>
      <c r="J3255" s="5">
        <v>43820</v>
      </c>
      <c r="K3255" s="6" t="str">
        <f>"190.000,00"</f>
        <v>190.000,00</v>
      </c>
      <c r="L3255" s="6" t="str">
        <f>"47.500,00"</f>
        <v>47.500,00</v>
      </c>
      <c r="M3255" s="6" t="str">
        <f>"237.500,00"</f>
        <v>237.500,00</v>
      </c>
      <c r="N3255" s="1" t="s">
        <v>117</v>
      </c>
      <c r="O3255" s="7"/>
      <c r="P3255" s="6" t="str">
        <f>""</f>
        <v/>
      </c>
      <c r="Q3255" s="7"/>
      <c r="R3255" s="1"/>
      <c r="S3255" s="1" t="str">
        <f>"JNU-2018-2818"</f>
        <v>JNU-2018-2818</v>
      </c>
      <c r="T3255" s="2" t="s">
        <v>33</v>
      </c>
    </row>
    <row r="3256" spans="1:20" ht="38.25" x14ac:dyDescent="0.25">
      <c r="A3256" s="1">
        <v>3252</v>
      </c>
      <c r="B3256" s="1" t="str">
        <f>"2018-3098"</f>
        <v>2018-3098</v>
      </c>
      <c r="C3256" s="2" t="s">
        <v>2015</v>
      </c>
      <c r="D3256" s="1" t="s">
        <v>1384</v>
      </c>
      <c r="E3256" s="3" t="str">
        <f>""</f>
        <v/>
      </c>
      <c r="F3256" s="2" t="s">
        <v>1323</v>
      </c>
      <c r="G3256" s="2" t="str">
        <f>CONCATENATE("ZEBAU D.O.O.,"," BRAĆE BUKOVINA 38C,"," 10290 ZAPREŠIĆ,"," OIB: 4049684908")</f>
        <v>ZEBAU D.O.O., BRAĆE BUKOVINA 38C, 10290 ZAPREŠIĆ, OIB: 4049684908</v>
      </c>
      <c r="H3256" s="4"/>
      <c r="I3256" s="1" t="s">
        <v>267</v>
      </c>
      <c r="J3256" s="5">
        <v>43841</v>
      </c>
      <c r="K3256" s="6" t="str">
        <f>"49.500,00"</f>
        <v>49.500,00</v>
      </c>
      <c r="L3256" s="6" t="str">
        <f>"12.375,00"</f>
        <v>12.375,00</v>
      </c>
      <c r="M3256" s="6" t="str">
        <f>"61.875,00"</f>
        <v>61.875,00</v>
      </c>
      <c r="N3256" s="5">
        <v>43500</v>
      </c>
      <c r="O3256" s="7"/>
      <c r="P3256" s="6" t="str">
        <f>"61.875,00"</f>
        <v>61.875,00</v>
      </c>
      <c r="Q3256" s="7"/>
      <c r="R3256" s="1"/>
      <c r="S3256" s="1" t="str">
        <f>"JNU-2018-2719"</f>
        <v>JNU-2018-2719</v>
      </c>
      <c r="T3256" s="2" t="s">
        <v>33</v>
      </c>
    </row>
    <row r="3257" spans="1:20" ht="38.25" x14ac:dyDescent="0.25">
      <c r="A3257" s="1">
        <v>3253</v>
      </c>
      <c r="B3257" s="1" t="str">
        <f>"2018-3084"</f>
        <v>2018-3084</v>
      </c>
      <c r="C3257" s="2" t="s">
        <v>2016</v>
      </c>
      <c r="D3257" s="1" t="s">
        <v>1384</v>
      </c>
      <c r="E3257" s="3" t="str">
        <f>""</f>
        <v/>
      </c>
      <c r="F3257" s="2" t="s">
        <v>1323</v>
      </c>
      <c r="G3257" s="2" t="str">
        <f>CONCATENATE("URBANE IDEJE D.O.O.,"," LJUDEVITA GAJA 26A,"," 10430 SAMOBOR,"," OIB: 30740253189")</f>
        <v>URBANE IDEJE D.O.O., LJUDEVITA GAJA 26A, 10430 SAMOBOR, OIB: 30740253189</v>
      </c>
      <c r="H3257" s="4"/>
      <c r="I3257" s="1" t="s">
        <v>159</v>
      </c>
      <c r="J3257" s="5">
        <v>43818</v>
      </c>
      <c r="K3257" s="6" t="str">
        <f>"19.240,00"</f>
        <v>19.240,00</v>
      </c>
      <c r="L3257" s="6" t="str">
        <f>"4.810,00"</f>
        <v>4.810,00</v>
      </c>
      <c r="M3257" s="6" t="str">
        <f>"24.050,00"</f>
        <v>24.050,00</v>
      </c>
      <c r="N3257" s="5">
        <v>43510</v>
      </c>
      <c r="O3257" s="7"/>
      <c r="P3257" s="6" t="str">
        <f>"24.050,00"</f>
        <v>24.050,00</v>
      </c>
      <c r="Q3257" s="7"/>
      <c r="R3257" s="1"/>
      <c r="S3257" s="1" t="str">
        <f>"JNU-2018-2724"</f>
        <v>JNU-2018-2724</v>
      </c>
      <c r="T3257" s="2" t="s">
        <v>33</v>
      </c>
    </row>
    <row r="3258" spans="1:20" ht="25.5" x14ac:dyDescent="0.25">
      <c r="A3258" s="1">
        <v>3254</v>
      </c>
      <c r="B3258" s="1" t="str">
        <f>"2018-2954"</f>
        <v>2018-2954</v>
      </c>
      <c r="C3258" s="2" t="s">
        <v>2017</v>
      </c>
      <c r="D3258" s="1" t="s">
        <v>1494</v>
      </c>
      <c r="E3258" s="3" t="str">
        <f>""</f>
        <v/>
      </c>
      <c r="F3258" s="2" t="s">
        <v>1323</v>
      </c>
      <c r="G3258" s="2" t="str">
        <f>CONCATENATE("PALACE D.O.O.,"," PLANINSKA 13A,"," 10000 ZAGREB,"," OIB: 71999757503")</f>
        <v>PALACE D.O.O., PLANINSKA 13A, 10000 ZAGREB, OIB: 71999757503</v>
      </c>
      <c r="H3258" s="4"/>
      <c r="I3258" s="1" t="s">
        <v>1510</v>
      </c>
      <c r="J3258" s="5">
        <v>43867</v>
      </c>
      <c r="K3258" s="6" t="str">
        <f>"157.782,50"</f>
        <v>157.782,50</v>
      </c>
      <c r="L3258" s="6" t="str">
        <f>"39.445,63"</f>
        <v>39.445,63</v>
      </c>
      <c r="M3258" s="6" t="str">
        <f>"197.228,13"</f>
        <v>197.228,13</v>
      </c>
      <c r="N3258" s="5">
        <v>43555</v>
      </c>
      <c r="O3258" s="7"/>
      <c r="P3258" s="6" t="str">
        <f>"197.228,12"</f>
        <v>197.228,12</v>
      </c>
      <c r="Q3258" s="7"/>
      <c r="R3258" s="1"/>
      <c r="S3258" s="1" t="str">
        <f>"JNU-2018-2770"</f>
        <v>JNU-2018-2770</v>
      </c>
      <c r="T3258" s="2" t="s">
        <v>33</v>
      </c>
    </row>
    <row r="3259" spans="1:20" ht="25.5" x14ac:dyDescent="0.25">
      <c r="A3259" s="1">
        <v>3255</v>
      </c>
      <c r="B3259" s="1" t="str">
        <f>"2018-981"</f>
        <v>2018-981</v>
      </c>
      <c r="C3259" s="2" t="s">
        <v>2018</v>
      </c>
      <c r="D3259" s="1" t="s">
        <v>2019</v>
      </c>
      <c r="E3259" s="3" t="str">
        <f>""</f>
        <v/>
      </c>
      <c r="F3259" s="2" t="s">
        <v>1323</v>
      </c>
      <c r="G3259" s="2" t="str">
        <f>CONCATENATE("MEGA MONT D.O.O.,"," POPOVIĆEV PUT 2/D,"," 51211 MATULJI,"," OIB: 64536314217")</f>
        <v>MEGA MONT D.O.O., POPOVIĆEV PUT 2/D, 51211 MATULJI, OIB: 64536314217</v>
      </c>
      <c r="H3259" s="4"/>
      <c r="I3259" s="1" t="s">
        <v>172</v>
      </c>
      <c r="J3259" s="5">
        <v>43840</v>
      </c>
      <c r="K3259" s="6" t="str">
        <f>"11.845,00"</f>
        <v>11.845,00</v>
      </c>
      <c r="L3259" s="6" t="str">
        <f>"2.961,25"</f>
        <v>2.961,25</v>
      </c>
      <c r="M3259" s="6" t="str">
        <f>"14.806,25"</f>
        <v>14.806,25</v>
      </c>
      <c r="N3259" s="5">
        <v>43503</v>
      </c>
      <c r="O3259" s="7"/>
      <c r="P3259" s="6" t="str">
        <f>"14.806,25"</f>
        <v>14.806,25</v>
      </c>
      <c r="Q3259" s="7"/>
      <c r="R3259" s="1"/>
      <c r="S3259" s="1" t="str">
        <f>"JNU-2018-2772"</f>
        <v>JNU-2018-2772</v>
      </c>
      <c r="T3259" s="2" t="s">
        <v>33</v>
      </c>
    </row>
    <row r="3260" spans="1:20" ht="38.25" x14ac:dyDescent="0.25">
      <c r="A3260" s="1">
        <v>3256</v>
      </c>
      <c r="B3260" s="1" t="str">
        <f>"2018-3126"</f>
        <v>2018-3126</v>
      </c>
      <c r="C3260" s="2" t="s">
        <v>2020</v>
      </c>
      <c r="D3260" s="1" t="s">
        <v>1384</v>
      </c>
      <c r="E3260" s="3" t="str">
        <f>""</f>
        <v/>
      </c>
      <c r="F3260" s="2" t="s">
        <v>1323</v>
      </c>
      <c r="G3260" s="2" t="str">
        <f>CONCATENATE("ZEBAU D.O.O.,"," BRAĆE BUKOVINA 38C,"," 10290 ZAPREŠIĆ,"," OIB: 4049684908")</f>
        <v>ZEBAU D.O.O., BRAĆE BUKOVINA 38C, 10290 ZAPREŠIĆ, OIB: 4049684908</v>
      </c>
      <c r="H3260" s="4"/>
      <c r="I3260" s="1" t="s">
        <v>267</v>
      </c>
      <c r="J3260" s="5">
        <v>43841</v>
      </c>
      <c r="K3260" s="6" t="str">
        <f>"98.000,00"</f>
        <v>98.000,00</v>
      </c>
      <c r="L3260" s="6" t="str">
        <f>"24.500,00"</f>
        <v>24.500,00</v>
      </c>
      <c r="M3260" s="6" t="str">
        <f>"122.500,00"</f>
        <v>122.500,00</v>
      </c>
      <c r="N3260" s="1" t="s">
        <v>117</v>
      </c>
      <c r="O3260" s="7"/>
      <c r="P3260" s="6" t="str">
        <f>""</f>
        <v/>
      </c>
      <c r="Q3260" s="7"/>
      <c r="R3260" s="1"/>
      <c r="S3260" s="1" t="str">
        <f>"JNU-2018-2968"</f>
        <v>JNU-2018-2968</v>
      </c>
      <c r="T3260" s="2" t="s">
        <v>33</v>
      </c>
    </row>
    <row r="3261" spans="1:20" ht="51" x14ac:dyDescent="0.25">
      <c r="A3261" s="1">
        <v>3257</v>
      </c>
      <c r="B3261" s="1" t="str">
        <f>"2018-2512"</f>
        <v>2018-2512</v>
      </c>
      <c r="C3261" s="2" t="s">
        <v>1916</v>
      </c>
      <c r="D3261" s="1" t="s">
        <v>223</v>
      </c>
      <c r="E3261" s="3" t="str">
        <f>""</f>
        <v/>
      </c>
      <c r="F3261" s="2" t="s">
        <v>1323</v>
      </c>
      <c r="G3261" s="2" t="str">
        <f>CONCATENATE("CONSCIUS D.O.O.,"," KUTNJAČKI PUT 9,"," 10000 ZAGREB,"," OIB: 33925981016")</f>
        <v>CONSCIUS D.O.O., KUTNJAČKI PUT 9, 10000 ZAGREB, OIB: 33925981016</v>
      </c>
      <c r="H3261" s="4"/>
      <c r="I3261" s="1" t="s">
        <v>1129</v>
      </c>
      <c r="J3261" s="5">
        <v>43847</v>
      </c>
      <c r="K3261" s="6" t="str">
        <f>"118.800,00"</f>
        <v>118.800,00</v>
      </c>
      <c r="L3261" s="6" t="str">
        <f>"29.700,00"</f>
        <v>29.700,00</v>
      </c>
      <c r="M3261" s="6" t="str">
        <f>"148.500,00"</f>
        <v>148.500,00</v>
      </c>
      <c r="N3261" s="5">
        <v>43677</v>
      </c>
      <c r="O3261" s="7"/>
      <c r="P3261" s="6" t="str">
        <f>"48.000,00"</f>
        <v>48.000,00</v>
      </c>
      <c r="Q3261" s="7"/>
      <c r="R3261" s="1"/>
      <c r="S3261" s="1" t="str">
        <f>"JNU-2018-2987"</f>
        <v>JNU-2018-2987</v>
      </c>
      <c r="T3261" s="2" t="s">
        <v>33</v>
      </c>
    </row>
    <row r="3262" spans="1:20" ht="51" x14ac:dyDescent="0.25">
      <c r="A3262" s="1">
        <v>3258</v>
      </c>
      <c r="B3262" s="1" t="str">
        <f>"2018-566"</f>
        <v>2018-566</v>
      </c>
      <c r="C3262" s="2" t="s">
        <v>2013</v>
      </c>
      <c r="D3262" s="1" t="s">
        <v>1384</v>
      </c>
      <c r="E3262" s="3" t="str">
        <f>""</f>
        <v/>
      </c>
      <c r="F3262" s="2" t="s">
        <v>1323</v>
      </c>
      <c r="G3262" s="2" t="str">
        <f>CONCATENATE("URBANE IDEJE D.O.O.,"," LJUDEVITA GAJA 26A,"," 10430 SAMOBOR,"," OIB: 30740253189")</f>
        <v>URBANE IDEJE D.O.O., LJUDEVITA GAJA 26A, 10430 SAMOBOR, OIB: 30740253189</v>
      </c>
      <c r="H3262" s="4"/>
      <c r="I3262" s="1" t="s">
        <v>951</v>
      </c>
      <c r="J3262" s="5">
        <v>43846</v>
      </c>
      <c r="K3262" s="6" t="str">
        <f>"48.570,00"</f>
        <v>48.570,00</v>
      </c>
      <c r="L3262" s="6" t="str">
        <f>"12.142,50"</f>
        <v>12.142,50</v>
      </c>
      <c r="M3262" s="6" t="str">
        <f>"60.712,50"</f>
        <v>60.712,50</v>
      </c>
      <c r="N3262" s="1" t="s">
        <v>117</v>
      </c>
      <c r="O3262" s="7"/>
      <c r="P3262" s="6" t="str">
        <f>""</f>
        <v/>
      </c>
      <c r="Q3262" s="7"/>
      <c r="R3262" s="1"/>
      <c r="S3262" s="1" t="str">
        <f>"JNU-2018-3096"</f>
        <v>JNU-2018-3096</v>
      </c>
      <c r="T3262" s="2" t="s">
        <v>33</v>
      </c>
    </row>
    <row r="3263" spans="1:20" ht="51" x14ac:dyDescent="0.25">
      <c r="A3263" s="1">
        <v>3259</v>
      </c>
      <c r="B3263" s="1" t="str">
        <f>"2018-566"</f>
        <v>2018-566</v>
      </c>
      <c r="C3263" s="2" t="s">
        <v>2013</v>
      </c>
      <c r="D3263" s="1" t="s">
        <v>1384</v>
      </c>
      <c r="E3263" s="3" t="str">
        <f>""</f>
        <v/>
      </c>
      <c r="F3263" s="2" t="s">
        <v>1323</v>
      </c>
      <c r="G3263" s="2" t="str">
        <f>CONCATENATE("URBANE IDEJE D.O.O.,"," LJUDEVITA GAJA 26A,"," 10430 SAMOBOR,"," OIB: 30740253189")</f>
        <v>URBANE IDEJE D.O.O., LJUDEVITA GAJA 26A, 10430 SAMOBOR, OIB: 30740253189</v>
      </c>
      <c r="H3263" s="4"/>
      <c r="I3263" s="1" t="s">
        <v>951</v>
      </c>
      <c r="J3263" s="5">
        <v>43846</v>
      </c>
      <c r="K3263" s="6" t="str">
        <f>"63.140,00"</f>
        <v>63.140,00</v>
      </c>
      <c r="L3263" s="6" t="str">
        <f>"15.785,00"</f>
        <v>15.785,00</v>
      </c>
      <c r="M3263" s="6" t="str">
        <f>"78.925,00"</f>
        <v>78.925,00</v>
      </c>
      <c r="N3263" s="1" t="s">
        <v>117</v>
      </c>
      <c r="O3263" s="7"/>
      <c r="P3263" s="6" t="str">
        <f>""</f>
        <v/>
      </c>
      <c r="Q3263" s="7"/>
      <c r="R3263" s="1"/>
      <c r="S3263" s="1" t="str">
        <f>"JNU-2018-3095"</f>
        <v>JNU-2018-3095</v>
      </c>
      <c r="T3263" s="2" t="s">
        <v>33</v>
      </c>
    </row>
    <row r="3264" spans="1:20" ht="38.25" x14ac:dyDescent="0.25">
      <c r="A3264" s="1">
        <v>3260</v>
      </c>
      <c r="B3264" s="1" t="str">
        <f>"2019-16"</f>
        <v>2019-16</v>
      </c>
      <c r="C3264" s="2" t="s">
        <v>2021</v>
      </c>
      <c r="D3264" s="1" t="s">
        <v>910</v>
      </c>
      <c r="E3264" s="3" t="str">
        <f>""</f>
        <v/>
      </c>
      <c r="F3264" s="2" t="s">
        <v>1323</v>
      </c>
      <c r="G3264" s="2" t="str">
        <f>CONCATENATE("E-KOLEKTOR D.O.O.,"," SLAVONSKA AVENIJA 58/1,"," 10000 ZAGREB,"," OIB: 50538578553")</f>
        <v>E-KOLEKTOR D.O.O., SLAVONSKA AVENIJA 58/1, 10000 ZAGREB, OIB: 50538578553</v>
      </c>
      <c r="H3264" s="4"/>
      <c r="I3264" s="1" t="s">
        <v>614</v>
      </c>
      <c r="J3264" s="5">
        <v>43555</v>
      </c>
      <c r="K3264" s="6" t="str">
        <f>"170.100,00"</f>
        <v>170.100,00</v>
      </c>
      <c r="L3264" s="6" t="str">
        <f>"42.525,00"</f>
        <v>42.525,00</v>
      </c>
      <c r="M3264" s="6" t="str">
        <f>"212.625,00"</f>
        <v>212.625,00</v>
      </c>
      <c r="N3264" s="5">
        <v>43518</v>
      </c>
      <c r="O3264" s="7"/>
      <c r="P3264" s="6" t="str">
        <f>"212.625,00"</f>
        <v>212.625,00</v>
      </c>
      <c r="Q3264" s="7"/>
      <c r="R3264" s="1"/>
      <c r="S3264" s="1" t="str">
        <f>"JNU-2019-3123"</f>
        <v>JNU-2019-3123</v>
      </c>
      <c r="T3264" s="2" t="s">
        <v>33</v>
      </c>
    </row>
    <row r="3265" spans="1:20" ht="38.25" x14ac:dyDescent="0.25">
      <c r="A3265" s="1">
        <v>3261</v>
      </c>
      <c r="B3265" s="1" t="str">
        <f>"2019-2393"</f>
        <v>2019-2393</v>
      </c>
      <c r="C3265" s="2" t="s">
        <v>2022</v>
      </c>
      <c r="D3265" s="1" t="s">
        <v>910</v>
      </c>
      <c r="E3265" s="3" t="str">
        <f>""</f>
        <v/>
      </c>
      <c r="F3265" s="2" t="s">
        <v>1323</v>
      </c>
      <c r="G3265" s="2" t="str">
        <f>CONCATENATE("E-KOLEKTOR D.O.O.,"," SLAVONSKA AVENIJA 58/1,"," 10000 ZAGREB,"," OIB: 50538578553")</f>
        <v>E-KOLEKTOR D.O.O., SLAVONSKA AVENIJA 58/1, 10000 ZAGREB, OIB: 50538578553</v>
      </c>
      <c r="H3265" s="4"/>
      <c r="I3265" s="1" t="s">
        <v>254</v>
      </c>
      <c r="J3265" s="5">
        <v>43886</v>
      </c>
      <c r="K3265" s="6" t="str">
        <f>"158.400,00"</f>
        <v>158.400,00</v>
      </c>
      <c r="L3265" s="6" t="str">
        <f>"39.600,00"</f>
        <v>39.600,00</v>
      </c>
      <c r="M3265" s="6" t="str">
        <f>"198.000,00"</f>
        <v>198.000,00</v>
      </c>
      <c r="N3265" s="5">
        <v>43537</v>
      </c>
      <c r="O3265" s="7"/>
      <c r="P3265" s="6" t="str">
        <f>"198.170,50"</f>
        <v>198.170,50</v>
      </c>
      <c r="Q3265" s="7"/>
      <c r="R3265" s="1"/>
      <c r="S3265" s="1" t="str">
        <f>"JNU-2019-3129"</f>
        <v>JNU-2019-3129</v>
      </c>
      <c r="T3265" s="2" t="s">
        <v>33</v>
      </c>
    </row>
    <row r="3266" spans="1:20" ht="25.5" x14ac:dyDescent="0.25">
      <c r="A3266" s="1">
        <v>3262</v>
      </c>
      <c r="B3266" s="1" t="str">
        <f>"2019-2453"</f>
        <v>2019-2453</v>
      </c>
      <c r="C3266" s="2" t="s">
        <v>2023</v>
      </c>
      <c r="D3266" s="1" t="s">
        <v>910</v>
      </c>
      <c r="E3266" s="3" t="str">
        <f>""</f>
        <v/>
      </c>
      <c r="F3266" s="2" t="s">
        <v>1323</v>
      </c>
      <c r="G3266" s="2" t="str">
        <f>CONCATENATE("E-KOLEKTOR D.O.O.,"," SLAVONSKA AVENIJA 58/1,"," 10000 ZAGREB,"," OIB: 50538578553")</f>
        <v>E-KOLEKTOR D.O.O., SLAVONSKA AVENIJA 58/1, 10000 ZAGREB, OIB: 50538578553</v>
      </c>
      <c r="H3266" s="4"/>
      <c r="I3266" s="1" t="s">
        <v>277</v>
      </c>
      <c r="J3266" s="5">
        <v>43908</v>
      </c>
      <c r="K3266" s="6" t="str">
        <f>"189.000,00"</f>
        <v>189.000,00</v>
      </c>
      <c r="L3266" s="6" t="str">
        <f>"47.250,00"</f>
        <v>47.250,00</v>
      </c>
      <c r="M3266" s="6" t="str">
        <f>"236.250,00"</f>
        <v>236.250,00</v>
      </c>
      <c r="N3266" s="5">
        <v>43555</v>
      </c>
      <c r="O3266" s="7"/>
      <c r="P3266" s="6" t="str">
        <f>"237.254,06"</f>
        <v>237.254,06</v>
      </c>
      <c r="Q3266" s="7"/>
      <c r="R3266" s="1"/>
      <c r="S3266" s="1" t="str">
        <f>"JNU-2019-3154"</f>
        <v>JNU-2019-3154</v>
      </c>
      <c r="T3266" s="2" t="s">
        <v>33</v>
      </c>
    </row>
    <row r="3267" spans="1:20" ht="38.25" x14ac:dyDescent="0.25">
      <c r="A3267" s="1">
        <v>3263</v>
      </c>
      <c r="B3267" s="1" t="str">
        <f>"2019-2596"</f>
        <v>2019-2596</v>
      </c>
      <c r="C3267" s="2" t="s">
        <v>2024</v>
      </c>
      <c r="D3267" s="1" t="s">
        <v>910</v>
      </c>
      <c r="E3267" s="3" t="str">
        <f>""</f>
        <v/>
      </c>
      <c r="F3267" s="2" t="s">
        <v>1323</v>
      </c>
      <c r="G3267" s="2" t="str">
        <f>CONCATENATE("E-KOLEKTOR D.O.O.,"," SLAVONSKA AVENIJA 58/1,"," 10000 ZAGREB,"," OIB: 50538578553")</f>
        <v>E-KOLEKTOR D.O.O., SLAVONSKA AVENIJA 58/1, 10000 ZAGREB, OIB: 50538578553</v>
      </c>
      <c r="H3267" s="4"/>
      <c r="I3267" s="1" t="s">
        <v>493</v>
      </c>
      <c r="J3267" s="5">
        <v>43925</v>
      </c>
      <c r="K3267" s="6" t="str">
        <f>"189.000,00"</f>
        <v>189.000,00</v>
      </c>
      <c r="L3267" s="6" t="str">
        <f>"47.250,00"</f>
        <v>47.250,00</v>
      </c>
      <c r="M3267" s="6" t="str">
        <f>"236.250,00"</f>
        <v>236.250,00</v>
      </c>
      <c r="N3267" s="5">
        <v>43580</v>
      </c>
      <c r="O3267" s="7"/>
      <c r="P3267" s="6" t="str">
        <f>"236.273,62"</f>
        <v>236.273,62</v>
      </c>
      <c r="Q3267" s="7"/>
      <c r="R3267" s="1"/>
      <c r="S3267" s="1" t="str">
        <f>"JNU-2019-3199"</f>
        <v>JNU-2019-3199</v>
      </c>
      <c r="T3267" s="2" t="s">
        <v>33</v>
      </c>
    </row>
    <row r="3268" spans="1:20" ht="38.25" x14ac:dyDescent="0.25">
      <c r="A3268" s="1">
        <v>3264</v>
      </c>
      <c r="B3268" s="1" t="str">
        <f>"2019-2452"</f>
        <v>2019-2452</v>
      </c>
      <c r="C3268" s="2" t="s">
        <v>2025</v>
      </c>
      <c r="D3268" s="1" t="s">
        <v>2026</v>
      </c>
      <c r="E3268" s="3" t="str">
        <f>""</f>
        <v/>
      </c>
      <c r="F3268" s="2" t="s">
        <v>1323</v>
      </c>
      <c r="G3268" s="2" t="str">
        <f>CONCATENATE("TEATAR MJESEC,"," MAJEVIČKA 21,"," 10000 ZAGREB,"," OIB: 6025341423")</f>
        <v>TEATAR MJESEC, MAJEVIČKA 21, 10000 ZAGREB, OIB: 6025341423</v>
      </c>
      <c r="H3268" s="4"/>
      <c r="I3268" s="1" t="s">
        <v>343</v>
      </c>
      <c r="J3268" s="5">
        <v>43738</v>
      </c>
      <c r="K3268" s="6" t="str">
        <f>"87.000,00"</f>
        <v>87.000,00</v>
      </c>
      <c r="L3268" s="6" t="str">
        <f>"21.750,00"</f>
        <v>21.750,00</v>
      </c>
      <c r="M3268" s="6" t="str">
        <f>"108.750,00"</f>
        <v>108.750,00</v>
      </c>
      <c r="N3268" s="1" t="s">
        <v>117</v>
      </c>
      <c r="O3268" s="7"/>
      <c r="P3268" s="6" t="str">
        <f>""</f>
        <v/>
      </c>
      <c r="Q3268" s="7"/>
      <c r="R3268" s="1"/>
      <c r="S3268" s="1" t="str">
        <f>"JNU-2019-3192"</f>
        <v>JNU-2019-3192</v>
      </c>
      <c r="T3268" s="2" t="s">
        <v>33</v>
      </c>
    </row>
    <row r="3269" spans="1:20" ht="25.5" x14ac:dyDescent="0.25">
      <c r="A3269" s="1">
        <v>3265</v>
      </c>
      <c r="B3269" s="1" t="str">
        <f>"2019-2654"</f>
        <v>2019-2654</v>
      </c>
      <c r="C3269" s="2" t="s">
        <v>2027</v>
      </c>
      <c r="D3269" s="1" t="s">
        <v>910</v>
      </c>
      <c r="E3269" s="3" t="str">
        <f>""</f>
        <v/>
      </c>
      <c r="F3269" s="2" t="s">
        <v>1323</v>
      </c>
      <c r="G3269" s="2" t="str">
        <f>CONCATENATE("EKO-FLOR PLUS D.O.O.,"," MOKRICE 180C,"," 49243 OROSLAVJE,"," OIB: 50730247993")</f>
        <v>EKO-FLOR PLUS D.O.O., MOKRICE 180C, 49243 OROSLAVJE, OIB: 50730247993</v>
      </c>
      <c r="H3269" s="4"/>
      <c r="I3269" s="1" t="s">
        <v>499</v>
      </c>
      <c r="J3269" s="5">
        <v>43769</v>
      </c>
      <c r="K3269" s="6" t="str">
        <f>"190.000,00"</f>
        <v>190.000,00</v>
      </c>
      <c r="L3269" s="6" t="str">
        <f>"47.500,00"</f>
        <v>47.500,00</v>
      </c>
      <c r="M3269" s="6" t="str">
        <f>"237.500,00"</f>
        <v>237.500,00</v>
      </c>
      <c r="N3269" s="1" t="s">
        <v>117</v>
      </c>
      <c r="O3269" s="7"/>
      <c r="P3269" s="6" t="str">
        <f>""</f>
        <v/>
      </c>
      <c r="Q3269" s="7"/>
      <c r="R3269" s="1"/>
      <c r="S3269" s="1" t="str">
        <f>"JNU-2019-3298"</f>
        <v>JNU-2019-3298</v>
      </c>
      <c r="T3269" s="2" t="s">
        <v>33</v>
      </c>
    </row>
    <row r="3270" spans="1:20" ht="25.5" x14ac:dyDescent="0.25">
      <c r="A3270" s="1">
        <v>3266</v>
      </c>
      <c r="B3270" s="1" t="str">
        <f>"2019-2653"</f>
        <v>2019-2653</v>
      </c>
      <c r="C3270" s="2" t="s">
        <v>2028</v>
      </c>
      <c r="D3270" s="1" t="s">
        <v>644</v>
      </c>
      <c r="E3270" s="3" t="str">
        <f>""</f>
        <v/>
      </c>
      <c r="F3270" s="2" t="s">
        <v>1323</v>
      </c>
      <c r="G3270" s="2" t="str">
        <f>CONCATENATE("RECIKLAŽA D.O.O.,"," PUŠKARIĆEVA 1A,"," 10250 LUČKO,"," OIB: 90742786985")</f>
        <v>RECIKLAŽA D.O.O., PUŠKARIĆEVA 1A, 10250 LUČKO, OIB: 90742786985</v>
      </c>
      <c r="H3270" s="4"/>
      <c r="I3270" s="1" t="s">
        <v>499</v>
      </c>
      <c r="J3270" s="5">
        <v>43830</v>
      </c>
      <c r="K3270" s="6" t="str">
        <f>"198.400,00"</f>
        <v>198.400,00</v>
      </c>
      <c r="L3270" s="6" t="str">
        <f>"49.600,00"</f>
        <v>49.600,00</v>
      </c>
      <c r="M3270" s="6" t="str">
        <f>"248.000,00"</f>
        <v>248.000,00</v>
      </c>
      <c r="N3270" s="5">
        <v>43704</v>
      </c>
      <c r="O3270" s="7"/>
      <c r="P3270" s="6" t="str">
        <f>"186.000,00"</f>
        <v>186.000,00</v>
      </c>
      <c r="Q3270" s="7"/>
      <c r="R3270" s="1"/>
      <c r="S3270" s="1" t="str">
        <f>"JNU-2019-3465"</f>
        <v>JNU-2019-3465</v>
      </c>
      <c r="T3270" s="2" t="s">
        <v>33</v>
      </c>
    </row>
    <row r="3271" spans="1:20" ht="51" x14ac:dyDescent="0.25">
      <c r="A3271" s="1">
        <v>3267</v>
      </c>
      <c r="B3271" s="1" t="str">
        <f>"2019-2611"</f>
        <v>2019-2611</v>
      </c>
      <c r="C3271" s="2" t="s">
        <v>2029</v>
      </c>
      <c r="D3271" s="1" t="s">
        <v>2030</v>
      </c>
      <c r="E3271" s="3" t="str">
        <f>""</f>
        <v/>
      </c>
      <c r="F3271" s="2" t="s">
        <v>1323</v>
      </c>
      <c r="G3271" s="2" t="str">
        <f>CONCATENATE("DELOITTE D.O.O.,"," RADNIČKA CESTA 80,"," 10000 ZAGREB,"," OIB: 1168645778")</f>
        <v>DELOITTE D.O.O., RADNIČKA CESTA 80, 10000 ZAGREB, OIB: 1168645778</v>
      </c>
      <c r="H3271" s="4"/>
      <c r="I3271" s="1" t="s">
        <v>320</v>
      </c>
      <c r="J3271" s="5">
        <v>43985</v>
      </c>
      <c r="K3271" s="6" t="str">
        <f>"118.400,00"</f>
        <v>118.400,00</v>
      </c>
      <c r="L3271" s="6" t="str">
        <f>"29.600,00"</f>
        <v>29.600,00</v>
      </c>
      <c r="M3271" s="6" t="str">
        <f>"148.000,00"</f>
        <v>148.000,00</v>
      </c>
      <c r="N3271" s="1" t="s">
        <v>117</v>
      </c>
      <c r="O3271" s="7"/>
      <c r="P3271" s="6" t="str">
        <f>""</f>
        <v/>
      </c>
      <c r="Q3271" s="7"/>
      <c r="R3271" s="1"/>
      <c r="S3271" s="1" t="str">
        <f>"JNU-2019-3301"</f>
        <v>JNU-2019-3301</v>
      </c>
      <c r="T3271" s="2" t="s">
        <v>33</v>
      </c>
    </row>
    <row r="3272" spans="1:20" ht="51" x14ac:dyDescent="0.25">
      <c r="A3272" s="1">
        <v>3268</v>
      </c>
      <c r="B3272" s="1" t="str">
        <f>"2019-2720"</f>
        <v>2019-2720</v>
      </c>
      <c r="C3272" s="2" t="s">
        <v>2031</v>
      </c>
      <c r="D3272" s="1" t="s">
        <v>910</v>
      </c>
      <c r="E3272" s="3" t="str">
        <f>""</f>
        <v/>
      </c>
      <c r="F3272" s="2" t="s">
        <v>1323</v>
      </c>
      <c r="G3272" s="2" t="str">
        <f>CONCATENATE("UNIVERZAL D.O.O.,"," CEHOVSKA 10,"," 42000 VARAŽDIN,"," OIB: 71843925886")</f>
        <v>UNIVERZAL D.O.O., CEHOVSKA 10, 42000 VARAŽDIN, OIB: 71843925886</v>
      </c>
      <c r="H3272" s="4"/>
      <c r="I3272" s="1" t="s">
        <v>597</v>
      </c>
      <c r="J3272" s="5">
        <v>43989</v>
      </c>
      <c r="K3272" s="6" t="str">
        <f>"190.000,00"</f>
        <v>190.000,00</v>
      </c>
      <c r="L3272" s="6" t="str">
        <f>"47.500,00"</f>
        <v>47.500,00</v>
      </c>
      <c r="M3272" s="6" t="str">
        <f>"237.500,00"</f>
        <v>237.500,00</v>
      </c>
      <c r="N3272" s="5">
        <v>43630</v>
      </c>
      <c r="O3272" s="7"/>
      <c r="P3272" s="6" t="str">
        <f>"235.125,00"</f>
        <v>235.125,00</v>
      </c>
      <c r="Q3272" s="7"/>
      <c r="R3272" s="1"/>
      <c r="S3272" s="1" t="str">
        <f>"JNU-2019-3701"</f>
        <v>JNU-2019-3701</v>
      </c>
      <c r="T3272" s="2" t="s">
        <v>33</v>
      </c>
    </row>
    <row r="3273" spans="1:20" ht="38.25" x14ac:dyDescent="0.25">
      <c r="A3273" s="1">
        <v>3269</v>
      </c>
      <c r="B3273" s="1" t="str">
        <f>"2019-2719"</f>
        <v>2019-2719</v>
      </c>
      <c r="C3273" s="2" t="s">
        <v>2032</v>
      </c>
      <c r="D3273" s="1" t="s">
        <v>910</v>
      </c>
      <c r="E3273" s="3" t="str">
        <f>""</f>
        <v/>
      </c>
      <c r="F3273" s="2" t="s">
        <v>1323</v>
      </c>
      <c r="G3273" s="2" t="str">
        <f>CONCATENATE("UNIVERZAL D.O.O.,"," CEHOVSKA 10,"," 42000 VARAŽDIN,"," OIB: 71843925886")</f>
        <v>UNIVERZAL D.O.O., CEHOVSKA 10, 42000 VARAŽDIN, OIB: 71843925886</v>
      </c>
      <c r="H3273" s="4"/>
      <c r="I3273" s="1" t="s">
        <v>597</v>
      </c>
      <c r="J3273" s="5">
        <v>43989</v>
      </c>
      <c r="K3273" s="6" t="str">
        <f>"190.000,00"</f>
        <v>190.000,00</v>
      </c>
      <c r="L3273" s="6" t="str">
        <f>"47.500,00"</f>
        <v>47.500,00</v>
      </c>
      <c r="M3273" s="6" t="str">
        <f>"237.500,00"</f>
        <v>237.500,00</v>
      </c>
      <c r="N3273" s="5">
        <v>43650</v>
      </c>
      <c r="O3273" s="7"/>
      <c r="P3273" s="6" t="str">
        <f>"236.626,00"</f>
        <v>236.626,00</v>
      </c>
      <c r="Q3273" s="7"/>
      <c r="R3273" s="1"/>
      <c r="S3273" s="1" t="str">
        <f>"JNU-2019-3702"</f>
        <v>JNU-2019-3702</v>
      </c>
      <c r="T3273" s="2" t="s">
        <v>33</v>
      </c>
    </row>
    <row r="3274" spans="1:20" ht="25.5" x14ac:dyDescent="0.25">
      <c r="A3274" s="1">
        <v>3270</v>
      </c>
      <c r="B3274" s="1" t="str">
        <f>"2019-2709"</f>
        <v>2019-2709</v>
      </c>
      <c r="C3274" s="2" t="s">
        <v>2033</v>
      </c>
      <c r="D3274" s="1" t="s">
        <v>910</v>
      </c>
      <c r="E3274" s="3" t="str">
        <f>""</f>
        <v/>
      </c>
      <c r="F3274" s="2" t="s">
        <v>1323</v>
      </c>
      <c r="G3274" s="2" t="str">
        <f>CONCATENATE("3 K.F. D.O.O.,"," II. KANALSKI PUT VI. ODVOJAK 5A,"," 10000 ZAGREB,"," OIB: 49939600448")</f>
        <v>3 K.F. D.O.O., II. KANALSKI PUT VI. ODVOJAK 5A, 10000 ZAGREB, OIB: 49939600448</v>
      </c>
      <c r="H3274" s="4"/>
      <c r="I3274" s="1" t="s">
        <v>403</v>
      </c>
      <c r="J3274" s="5">
        <v>43676</v>
      </c>
      <c r="K3274" s="6" t="str">
        <f>"135.000,00"</f>
        <v>135.000,00</v>
      </c>
      <c r="L3274" s="6" t="str">
        <f>"33.750,00"</f>
        <v>33.750,00</v>
      </c>
      <c r="M3274" s="6" t="str">
        <f>"168.750,00"</f>
        <v>168.750,00</v>
      </c>
      <c r="N3274" s="5">
        <v>43655</v>
      </c>
      <c r="O3274" s="7"/>
      <c r="P3274" s="6" t="str">
        <f>"164.835,00"</f>
        <v>164.835,00</v>
      </c>
      <c r="Q3274" s="7"/>
      <c r="R3274" s="1"/>
      <c r="S3274" s="1" t="str">
        <f>"JNU-2019-3703"</f>
        <v>JNU-2019-3703</v>
      </c>
      <c r="T3274" s="2" t="s">
        <v>33</v>
      </c>
    </row>
    <row r="3275" spans="1:20" ht="25.5" x14ac:dyDescent="0.25">
      <c r="A3275" s="1">
        <v>3271</v>
      </c>
      <c r="B3275" s="1" t="str">
        <f>"2019-2723"</f>
        <v>2019-2723</v>
      </c>
      <c r="C3275" s="2" t="s">
        <v>2034</v>
      </c>
      <c r="D3275" s="1" t="s">
        <v>595</v>
      </c>
      <c r="E3275" s="3" t="str">
        <f>""</f>
        <v/>
      </c>
      <c r="F3275" s="2" t="s">
        <v>1323</v>
      </c>
      <c r="G3275" s="2" t="str">
        <f>CONCATENATE("TEH - GRADNJA D.O.O.,"," KSENIJE KANTOCI 3,"," 10000 ZAGREB,"," OIB: 13530191392")</f>
        <v>TEH - GRADNJA D.O.O., KSENIJE KANTOCI 3, 10000 ZAGREB, OIB: 13530191392</v>
      </c>
      <c r="H3275" s="4"/>
      <c r="I3275" s="1" t="s">
        <v>640</v>
      </c>
      <c r="J3275" s="5">
        <v>44010</v>
      </c>
      <c r="K3275" s="6" t="str">
        <f>"298.954,45"</f>
        <v>298.954,45</v>
      </c>
      <c r="L3275" s="6" t="str">
        <f>"74.738,61"</f>
        <v>74.738,61</v>
      </c>
      <c r="M3275" s="6" t="str">
        <f>"373.693,06"</f>
        <v>373.693,06</v>
      </c>
      <c r="N3275" s="1" t="s">
        <v>117</v>
      </c>
      <c r="O3275" s="7"/>
      <c r="P3275" s="6" t="str">
        <f>""</f>
        <v/>
      </c>
      <c r="Q3275" s="7"/>
      <c r="R3275" s="1"/>
      <c r="S3275" s="1" t="str">
        <f>"JNU-2019-3782"</f>
        <v>JNU-2019-3782</v>
      </c>
      <c r="T3275" s="2" t="s">
        <v>33</v>
      </c>
    </row>
    <row r="3276" spans="1:20" ht="25.5" x14ac:dyDescent="0.25">
      <c r="A3276" s="1">
        <v>3272</v>
      </c>
      <c r="B3276" s="1" t="str">
        <f>"2017-697"</f>
        <v>2017-697</v>
      </c>
      <c r="C3276" s="2" t="s">
        <v>2035</v>
      </c>
      <c r="D3276" s="1" t="s">
        <v>2036</v>
      </c>
      <c r="E3276" s="3" t="str">
        <f>""</f>
        <v/>
      </c>
      <c r="F3276" s="2" t="s">
        <v>1323</v>
      </c>
      <c r="G3276" s="2" t="str">
        <f>CONCATENATE("ZVIBOR D.O.O.,"," ZAVRTNICA 36,"," 10000 ZAGREB,"," OIB: 03454358063")</f>
        <v>ZVIBOR D.O.O., ZAVRTNICA 36, 10000 ZAGREB, OIB: 03454358063</v>
      </c>
      <c r="H3276" s="4"/>
      <c r="I3276" s="1" t="s">
        <v>833</v>
      </c>
      <c r="J3276" s="5">
        <v>43468</v>
      </c>
      <c r="K3276" s="6" t="str">
        <f>"69.830,00"</f>
        <v>69.830,00</v>
      </c>
      <c r="L3276" s="6" t="str">
        <f>"17.457,50"</f>
        <v>17.457,50</v>
      </c>
      <c r="M3276" s="6" t="str">
        <f>"87.287,50"</f>
        <v>87.287,50</v>
      </c>
      <c r="N3276" s="5">
        <v>43144</v>
      </c>
      <c r="O3276" s="7"/>
      <c r="P3276" s="6" t="str">
        <f>"87.287,50"</f>
        <v>87.287,50</v>
      </c>
      <c r="Q3276" s="7"/>
      <c r="R3276" s="1"/>
      <c r="S3276" s="1" t="str">
        <f>"GZ-UN-2018-188"</f>
        <v>GZ-UN-2018-188</v>
      </c>
      <c r="T3276" s="2" t="s">
        <v>60</v>
      </c>
    </row>
    <row r="3277" spans="1:20" ht="165.75" x14ac:dyDescent="0.25">
      <c r="A3277" s="1">
        <v>3273</v>
      </c>
      <c r="B3277" s="1" t="str">
        <f>"2017-1162"</f>
        <v>2017-1162</v>
      </c>
      <c r="C3277" s="2" t="s">
        <v>2037</v>
      </c>
      <c r="D3277" s="1" t="s">
        <v>2038</v>
      </c>
      <c r="E3277" s="3" t="str">
        <f>""</f>
        <v/>
      </c>
      <c r="F3277" s="2" t="s">
        <v>1323</v>
      </c>
      <c r="G3277" s="2" t="str">
        <f>CONCATENATE("VATRO-PROMET D.O.O.,"," JEŽDOVEČKA 87,"," 10000 ZAGREB,"," OIB: 57189591567")</f>
        <v>VATRO-PROMET D.O.O., JEŽDOVEČKA 87, 10000 ZAGREB, OIB: 57189591567</v>
      </c>
      <c r="H3277" s="4"/>
      <c r="I3277" s="1" t="s">
        <v>2039</v>
      </c>
      <c r="J3277" s="5">
        <v>43470</v>
      </c>
      <c r="K3277" s="6" t="str">
        <f>"18.990,00"</f>
        <v>18.990,00</v>
      </c>
      <c r="L3277" s="6" t="str">
        <f>"4.747,50"</f>
        <v>4.747,50</v>
      </c>
      <c r="M3277" s="6" t="str">
        <f>"23.737,50"</f>
        <v>23.737,50</v>
      </c>
      <c r="N3277" s="1" t="s">
        <v>117</v>
      </c>
      <c r="O3277" s="7"/>
      <c r="P3277" s="6" t="str">
        <f>""</f>
        <v/>
      </c>
      <c r="Q3277" s="7"/>
      <c r="R3277" s="20" t="s">
        <v>2391</v>
      </c>
      <c r="S3277" s="1" t="str">
        <f>"GZ-UN-2018-1473"</f>
        <v>GZ-UN-2018-1473</v>
      </c>
      <c r="T3277" s="2" t="s">
        <v>33</v>
      </c>
    </row>
    <row r="3278" spans="1:20" ht="38.25" x14ac:dyDescent="0.25">
      <c r="A3278" s="1">
        <v>3274</v>
      </c>
      <c r="B3278" s="1" t="str">
        <f>"2017-2895"</f>
        <v>2017-2895</v>
      </c>
      <c r="C3278" s="2" t="s">
        <v>2040</v>
      </c>
      <c r="D3278" s="1" t="s">
        <v>119</v>
      </c>
      <c r="E3278" s="3" t="str">
        <f>""</f>
        <v/>
      </c>
      <c r="F3278" s="2" t="s">
        <v>1323</v>
      </c>
      <c r="G3278" s="2" t="str">
        <f>CONCATENATE("ELEKTROCENTAR PETEK D.O.O.,"," ETANSKA CESTA 8,"," 10310 IVANIĆ-GRAD,"," OIB: 17491977848")</f>
        <v>ELEKTROCENTAR PETEK D.O.O., ETANSKA CESTA 8, 10310 IVANIĆ-GRAD, OIB: 17491977848</v>
      </c>
      <c r="H3278" s="4"/>
      <c r="I3278" s="1" t="s">
        <v>1920</v>
      </c>
      <c r="J3278" s="5">
        <v>43477</v>
      </c>
      <c r="K3278" s="6" t="str">
        <f>"196.738,85"</f>
        <v>196.738,85</v>
      </c>
      <c r="L3278" s="6" t="str">
        <f>"49.184,71"</f>
        <v>49.184,71</v>
      </c>
      <c r="M3278" s="6" t="str">
        <f>"245.923,56"</f>
        <v>245.923,56</v>
      </c>
      <c r="N3278" s="1" t="s">
        <v>117</v>
      </c>
      <c r="O3278" s="7"/>
      <c r="P3278" s="6" t="str">
        <f>""</f>
        <v/>
      </c>
      <c r="Q3278" s="7"/>
      <c r="R3278" s="1"/>
      <c r="S3278" s="1" t="str">
        <f>"GZ-UN-2018-3669"</f>
        <v>GZ-UN-2018-3669</v>
      </c>
      <c r="T3278" s="2" t="s">
        <v>33</v>
      </c>
    </row>
    <row r="3279" spans="1:20" ht="25.5" x14ac:dyDescent="0.25">
      <c r="A3279" s="1">
        <v>3275</v>
      </c>
      <c r="B3279" s="1" t="str">
        <f>"2017-580"</f>
        <v>2017-580</v>
      </c>
      <c r="C3279" s="2" t="s">
        <v>2041</v>
      </c>
      <c r="D3279" s="1" t="s">
        <v>1569</v>
      </c>
      <c r="E3279" s="3" t="str">
        <f>""</f>
        <v/>
      </c>
      <c r="F3279" s="2" t="s">
        <v>1323</v>
      </c>
      <c r="G3279" s="2" t="str">
        <f>CONCATENATE("PAMAJO D.O.O.,"," VRANIČKA 7/A,"," 10000 ZAGREB,"," OIB: 46401136513")</f>
        <v>PAMAJO D.O.O., VRANIČKA 7/A, 10000 ZAGREB, OIB: 46401136513</v>
      </c>
      <c r="H3279" s="4"/>
      <c r="I3279" s="1" t="s">
        <v>1920</v>
      </c>
      <c r="J3279" s="5">
        <v>43477</v>
      </c>
      <c r="K3279" s="6" t="str">
        <f>"51.073,00"</f>
        <v>51.073,00</v>
      </c>
      <c r="L3279" s="6" t="str">
        <f>"12.768,25"</f>
        <v>12.768,25</v>
      </c>
      <c r="M3279" s="6" t="str">
        <f>"63.841,25"</f>
        <v>63.841,25</v>
      </c>
      <c r="N3279" s="5">
        <v>43193</v>
      </c>
      <c r="O3279" s="7"/>
      <c r="P3279" s="6" t="str">
        <f>"47.151,25"</f>
        <v>47.151,25</v>
      </c>
      <c r="Q3279" s="7"/>
      <c r="R3279" s="1"/>
      <c r="S3279" s="1" t="str">
        <f>"GZ-UN-2018-3701"</f>
        <v>GZ-UN-2018-3701</v>
      </c>
      <c r="T3279" s="2" t="s">
        <v>33</v>
      </c>
    </row>
    <row r="3280" spans="1:20" ht="38.25" x14ac:dyDescent="0.25">
      <c r="A3280" s="1">
        <v>3276</v>
      </c>
      <c r="B3280" s="1" t="str">
        <f>"2017-2950"</f>
        <v>2017-2950</v>
      </c>
      <c r="C3280" s="2" t="s">
        <v>2042</v>
      </c>
      <c r="D3280" s="1" t="s">
        <v>1853</v>
      </c>
      <c r="E3280" s="3" t="str">
        <f>""</f>
        <v/>
      </c>
      <c r="F3280" s="2" t="s">
        <v>1323</v>
      </c>
      <c r="G3280" s="2" t="str">
        <f>CONCATENATE("NIVETO D.O.O.,"," DRAGUTINA MANDLA 1,"," 10000 ZAGREB,"," OIB: 46572491389")</f>
        <v>NIVETO D.O.O., DRAGUTINA MANDLA 1, 10000 ZAGREB, OIB: 46572491389</v>
      </c>
      <c r="H3280" s="4"/>
      <c r="I3280" s="1" t="s">
        <v>1928</v>
      </c>
      <c r="J3280" s="5">
        <v>43483</v>
      </c>
      <c r="K3280" s="6" t="str">
        <f>"492.971,16"</f>
        <v>492.971,16</v>
      </c>
      <c r="L3280" s="6" t="str">
        <f>"123.242,79"</f>
        <v>123.242,79</v>
      </c>
      <c r="M3280" s="6" t="str">
        <f>"616.213,95"</f>
        <v>616.213,95</v>
      </c>
      <c r="N3280" s="1" t="s">
        <v>117</v>
      </c>
      <c r="O3280" s="7"/>
      <c r="P3280" s="6" t="str">
        <f>""</f>
        <v/>
      </c>
      <c r="Q3280" s="7"/>
      <c r="R3280" s="1"/>
      <c r="S3280" s="1" t="str">
        <f>"GZ-UN-2018-5863"</f>
        <v>GZ-UN-2018-5863</v>
      </c>
      <c r="T3280" s="2" t="s">
        <v>65</v>
      </c>
    </row>
    <row r="3281" spans="1:20" ht="38.25" x14ac:dyDescent="0.25">
      <c r="A3281" s="1">
        <v>3277</v>
      </c>
      <c r="B3281" s="1" t="str">
        <f>"2017-1914"</f>
        <v>2017-1914</v>
      </c>
      <c r="C3281" s="2" t="s">
        <v>2018</v>
      </c>
      <c r="D3281" s="1" t="s">
        <v>2019</v>
      </c>
      <c r="E3281" s="3" t="str">
        <f>""</f>
        <v/>
      </c>
      <c r="F3281" s="2" t="s">
        <v>1323</v>
      </c>
      <c r="G3281" s="2" t="str">
        <f>CONCATENATE("TEHNOZAVOD-MARUŠIĆ D.O.O.,"," XIII PODBREŽJE 26,"," 10000 ZAGREB,"," OIB: 2192647279")</f>
        <v>TEHNOZAVOD-MARUŠIĆ D.O.O., XIII PODBREŽJE 26, 10000 ZAGREB, OIB: 2192647279</v>
      </c>
      <c r="H3281" s="4"/>
      <c r="I3281" s="1" t="s">
        <v>2043</v>
      </c>
      <c r="J3281" s="5">
        <v>43505</v>
      </c>
      <c r="K3281" s="6" t="str">
        <f>"55.610,00"</f>
        <v>55.610,00</v>
      </c>
      <c r="L3281" s="6" t="str">
        <f>"13.902,50"</f>
        <v>13.902,50</v>
      </c>
      <c r="M3281" s="6" t="str">
        <f>"69.512,50"</f>
        <v>69.512,50</v>
      </c>
      <c r="N3281" s="1" t="s">
        <v>117</v>
      </c>
      <c r="O3281" s="7"/>
      <c r="P3281" s="6" t="str">
        <f>""</f>
        <v/>
      </c>
      <c r="Q3281" s="7"/>
      <c r="R3281" s="1"/>
      <c r="S3281" s="1" t="str">
        <f>"GZ-UN-2018-12796"</f>
        <v>GZ-UN-2018-12796</v>
      </c>
      <c r="T3281" s="2" t="s">
        <v>29</v>
      </c>
    </row>
    <row r="3282" spans="1:20" ht="25.5" x14ac:dyDescent="0.25">
      <c r="A3282" s="1">
        <v>3278</v>
      </c>
      <c r="B3282" s="1" t="str">
        <f>"2018-2847"</f>
        <v>2018-2847</v>
      </c>
      <c r="C3282" s="2" t="s">
        <v>2044</v>
      </c>
      <c r="D3282" s="1" t="s">
        <v>2045</v>
      </c>
      <c r="E3282" s="3" t="str">
        <f>""</f>
        <v/>
      </c>
      <c r="F3282" s="2" t="s">
        <v>1323</v>
      </c>
      <c r="G3282" s="2" t="str">
        <f>CONCATENATE("IDEA PROJEKT D.O.O.,"," FLANATIČKA 25,"," 521000 PULA,"," OIB: 0225710134")</f>
        <v>IDEA PROJEKT D.O.O., FLANATIČKA 25, 521000 PULA, OIB: 0225710134</v>
      </c>
      <c r="H3282" s="4"/>
      <c r="I3282" s="1" t="s">
        <v>881</v>
      </c>
      <c r="J3282" s="5">
        <v>43509</v>
      </c>
      <c r="K3282" s="6" t="str">
        <f>"459.839,46"</f>
        <v>459.839,46</v>
      </c>
      <c r="L3282" s="6" t="str">
        <f>"114.959,87"</f>
        <v>114.959,87</v>
      </c>
      <c r="M3282" s="6" t="str">
        <f>"574.799,33"</f>
        <v>574.799,33</v>
      </c>
      <c r="N3282" s="5">
        <v>43190</v>
      </c>
      <c r="O3282" s="7"/>
      <c r="P3282" s="6" t="str">
        <f>"574.799,32"</f>
        <v>574.799,32</v>
      </c>
      <c r="Q3282" s="7"/>
      <c r="R3282" s="1"/>
      <c r="S3282" s="1" t="str">
        <f>"GZ-UN-2018-12971"</f>
        <v>GZ-UN-2018-12971</v>
      </c>
      <c r="T3282" s="2" t="s">
        <v>33</v>
      </c>
    </row>
    <row r="3283" spans="1:20" ht="38.25" x14ac:dyDescent="0.25">
      <c r="A3283" s="1">
        <v>3279</v>
      </c>
      <c r="B3283" s="1" t="str">
        <f>"2018-413"</f>
        <v>2018-413</v>
      </c>
      <c r="C3283" s="2" t="s">
        <v>2046</v>
      </c>
      <c r="D3283" s="1" t="s">
        <v>819</v>
      </c>
      <c r="E3283" s="3" t="str">
        <f>""</f>
        <v/>
      </c>
      <c r="F3283" s="2" t="s">
        <v>1323</v>
      </c>
      <c r="G3283" s="2" t="str">
        <f>CONCATENATE("TEHMAR D.O.O.,"," STAJNIČKA 5,"," 10251 HRVATSKI LESKOVAC,"," OIB: 78055843019")</f>
        <v>TEHMAR D.O.O., STAJNIČKA 5, 10251 HRVATSKI LESKOVAC, OIB: 78055843019</v>
      </c>
      <c r="H3283" s="4"/>
      <c r="I3283" s="1" t="s">
        <v>876</v>
      </c>
      <c r="J3283" s="5">
        <v>43519</v>
      </c>
      <c r="K3283" s="6" t="str">
        <f>"65.611,00"</f>
        <v>65.611,00</v>
      </c>
      <c r="L3283" s="6" t="str">
        <f>"16.402,75"</f>
        <v>16.402,75</v>
      </c>
      <c r="M3283" s="6" t="str">
        <f>"82.013,75"</f>
        <v>82.013,75</v>
      </c>
      <c r="N3283" s="5">
        <v>43524</v>
      </c>
      <c r="O3283" s="7"/>
      <c r="P3283" s="6" t="str">
        <f>"82.013,75"</f>
        <v>82.013,75</v>
      </c>
      <c r="Q3283" s="7"/>
      <c r="R3283" s="1"/>
      <c r="S3283" s="1" t="str">
        <f>"GZ-UN-2018-17456"</f>
        <v>GZ-UN-2018-17456</v>
      </c>
      <c r="T3283" s="2" t="s">
        <v>65</v>
      </c>
    </row>
    <row r="3284" spans="1:20" ht="25.5" x14ac:dyDescent="0.25">
      <c r="A3284" s="1">
        <v>3280</v>
      </c>
      <c r="B3284" s="1" t="str">
        <f>"2018-2845"</f>
        <v>2018-2845</v>
      </c>
      <c r="C3284" s="2" t="s">
        <v>2047</v>
      </c>
      <c r="D3284" s="1" t="s">
        <v>119</v>
      </c>
      <c r="E3284" s="3" t="str">
        <f>""</f>
        <v/>
      </c>
      <c r="F3284" s="2" t="s">
        <v>1323</v>
      </c>
      <c r="G3284" s="2" t="str">
        <f>CONCATENATE("M. SOLDO D.O.O.,"," DEBANIĆEVA 39,"," 10090 ZAGREB-SUSEDGRAD,"," OIB: 58353605637")</f>
        <v>M. SOLDO D.O.O., DEBANIĆEVA 39, 10090 ZAGREB-SUSEDGRAD, OIB: 58353605637</v>
      </c>
      <c r="H3284" s="4"/>
      <c r="I3284" s="1" t="s">
        <v>919</v>
      </c>
      <c r="J3284" s="5">
        <v>43529</v>
      </c>
      <c r="K3284" s="6" t="str">
        <f>"340.536,10"</f>
        <v>340.536,10</v>
      </c>
      <c r="L3284" s="6" t="str">
        <f>"85.134,03"</f>
        <v>85.134,03</v>
      </c>
      <c r="M3284" s="6" t="str">
        <f>"425.670,13"</f>
        <v>425.670,13</v>
      </c>
      <c r="N3284" s="1" t="s">
        <v>117</v>
      </c>
      <c r="O3284" s="7"/>
      <c r="P3284" s="6" t="str">
        <f>""</f>
        <v/>
      </c>
      <c r="Q3284" s="7"/>
      <c r="R3284" s="1"/>
      <c r="S3284" s="1" t="str">
        <f>"GZ-UN-2018-19781"</f>
        <v>GZ-UN-2018-19781</v>
      </c>
      <c r="T3284" s="2" t="s">
        <v>33</v>
      </c>
    </row>
    <row r="3285" spans="1:20" ht="38.25" x14ac:dyDescent="0.25">
      <c r="A3285" s="1">
        <v>3281</v>
      </c>
      <c r="B3285" s="1" t="str">
        <f>"2018-4"</f>
        <v>2018-4</v>
      </c>
      <c r="C3285" s="2" t="s">
        <v>2048</v>
      </c>
      <c r="D3285" s="1" t="s">
        <v>1384</v>
      </c>
      <c r="E3285" s="3" t="str">
        <f>""</f>
        <v/>
      </c>
      <c r="F3285" s="2" t="s">
        <v>1323</v>
      </c>
      <c r="G3285" s="2" t="str">
        <f>CONCATENATE("HIDROPROJEKT D.O.O.,"," IVANA PERGOŠIĆA 4,"," 10000 ZAGREB,"," OIB: 3091581719")</f>
        <v>HIDROPROJEKT D.O.O., IVANA PERGOŠIĆA 4, 10000 ZAGREB, OIB: 3091581719</v>
      </c>
      <c r="H3285" s="4"/>
      <c r="I3285" s="1" t="s">
        <v>1570</v>
      </c>
      <c r="J3285" s="5">
        <v>43546</v>
      </c>
      <c r="K3285" s="6" t="str">
        <f>"87.000,00"</f>
        <v>87.000,00</v>
      </c>
      <c r="L3285" s="6" t="str">
        <f>"21.750,00"</f>
        <v>21.750,00</v>
      </c>
      <c r="M3285" s="6" t="str">
        <f>"108.750,00"</f>
        <v>108.750,00</v>
      </c>
      <c r="N3285" s="1" t="s">
        <v>117</v>
      </c>
      <c r="O3285" s="7"/>
      <c r="P3285" s="6" t="str">
        <f>""</f>
        <v/>
      </c>
      <c r="Q3285" s="7"/>
      <c r="R3285" s="1"/>
      <c r="S3285" s="1" t="str">
        <f>"GZ-UN-2018-25104"</f>
        <v>GZ-UN-2018-25104</v>
      </c>
      <c r="T3285" s="2" t="s">
        <v>29</v>
      </c>
    </row>
    <row r="3286" spans="1:20" ht="25.5" x14ac:dyDescent="0.25">
      <c r="A3286" s="1">
        <v>3282</v>
      </c>
      <c r="B3286" s="1" t="str">
        <f>"2018-2885"</f>
        <v>2018-2885</v>
      </c>
      <c r="C3286" s="2" t="s">
        <v>2049</v>
      </c>
      <c r="D3286" s="1" t="s">
        <v>844</v>
      </c>
      <c r="E3286" s="3" t="str">
        <f>""</f>
        <v/>
      </c>
      <c r="F3286" s="2" t="s">
        <v>1323</v>
      </c>
      <c r="G3286" s="2" t="str">
        <f>CONCATENATE("KOM-EKO D.O.O.,"," RADNIČKA CESTA 228,"," 10000 ZAGREB,"," OIB: 27859052647")</f>
        <v>KOM-EKO D.O.O., RADNIČKA CESTA 228, 10000 ZAGREB, OIB: 27859052647</v>
      </c>
      <c r="H3286" s="4"/>
      <c r="I3286" s="1" t="s">
        <v>1450</v>
      </c>
      <c r="J3286" s="5">
        <v>43553</v>
      </c>
      <c r="K3286" s="6" t="str">
        <f>"155.690,00"</f>
        <v>155.690,00</v>
      </c>
      <c r="L3286" s="6" t="str">
        <f>"38.922,50"</f>
        <v>38.922,50</v>
      </c>
      <c r="M3286" s="6" t="str">
        <f>"194.612,50"</f>
        <v>194.612,50</v>
      </c>
      <c r="N3286" s="1" t="s">
        <v>117</v>
      </c>
      <c r="O3286" s="7"/>
      <c r="P3286" s="6" t="str">
        <f>""</f>
        <v/>
      </c>
      <c r="Q3286" s="7"/>
      <c r="R3286" s="1"/>
      <c r="S3286" s="1" t="str">
        <f>"GZ-UN-2018-27111"</f>
        <v>GZ-UN-2018-27111</v>
      </c>
      <c r="T3286" s="2" t="s">
        <v>29</v>
      </c>
    </row>
    <row r="3287" spans="1:20" ht="38.25" x14ac:dyDescent="0.25">
      <c r="A3287" s="1">
        <v>3283</v>
      </c>
      <c r="B3287" s="1" t="str">
        <f>"2018-1545"</f>
        <v>2018-1545</v>
      </c>
      <c r="C3287" s="2" t="s">
        <v>2050</v>
      </c>
      <c r="D3287" s="1" t="s">
        <v>651</v>
      </c>
      <c r="E3287" s="3" t="str">
        <f>""</f>
        <v/>
      </c>
      <c r="F3287" s="2" t="s">
        <v>1323</v>
      </c>
      <c r="G3287" s="2" t="str">
        <f>CONCATENATE("OMEGA SOFTWARE D.O.O.,"," KAMENARKA 37,"," 10010 ZAGREB-SLOBOŠTINA,"," OIB: 40102169932")</f>
        <v>OMEGA SOFTWARE D.O.O., KAMENARKA 37, 10010 ZAGREB-SLOBOŠTINA, OIB: 40102169932</v>
      </c>
      <c r="H3287" s="4"/>
      <c r="I3287" s="1" t="s">
        <v>1450</v>
      </c>
      <c r="J3287" s="5">
        <v>43553</v>
      </c>
      <c r="K3287" s="6" t="str">
        <f>"198.000,00"</f>
        <v>198.000,00</v>
      </c>
      <c r="L3287" s="6" t="str">
        <f>"49.500,00"</f>
        <v>49.500,00</v>
      </c>
      <c r="M3287" s="6" t="str">
        <f>"247.500,00"</f>
        <v>247.500,00</v>
      </c>
      <c r="N3287" s="5">
        <v>43465</v>
      </c>
      <c r="O3287" s="7"/>
      <c r="P3287" s="6" t="str">
        <f>"112.500,00"</f>
        <v>112.500,00</v>
      </c>
      <c r="Q3287" s="7"/>
      <c r="R3287" s="1"/>
      <c r="S3287" s="1" t="str">
        <f>"GZ-UN-2018-27817"</f>
        <v>GZ-UN-2018-27817</v>
      </c>
      <c r="T3287" s="2" t="s">
        <v>60</v>
      </c>
    </row>
    <row r="3288" spans="1:20" ht="25.5" x14ac:dyDescent="0.25">
      <c r="A3288" s="1">
        <v>3284</v>
      </c>
      <c r="B3288" s="1" t="str">
        <f>"2018-2598"</f>
        <v>2018-2598</v>
      </c>
      <c r="C3288" s="2" t="s">
        <v>2051</v>
      </c>
      <c r="D3288" s="1" t="s">
        <v>2052</v>
      </c>
      <c r="E3288" s="3" t="str">
        <f>""</f>
        <v/>
      </c>
      <c r="F3288" s="2" t="s">
        <v>1323</v>
      </c>
      <c r="G3288" s="2" t="str">
        <f>CONCATENATE("EXPLEO SAVJETOVANJE D.O.O.,"," AUGUSTA PIAZZE 3,"," 3 3,"," OIB: 44731070918")</f>
        <v>EXPLEO SAVJETOVANJE D.O.O., AUGUSTA PIAZZE 3, 3 3, OIB: 44731070918</v>
      </c>
      <c r="H3288" s="4"/>
      <c r="I3288" s="1" t="s">
        <v>1577</v>
      </c>
      <c r="J3288" s="5">
        <v>43565</v>
      </c>
      <c r="K3288" s="6" t="str">
        <f>"48.780,80"</f>
        <v>48.780,80</v>
      </c>
      <c r="L3288" s="6" t="str">
        <f>"12.195,20"</f>
        <v>12.195,20</v>
      </c>
      <c r="M3288" s="6" t="str">
        <f>"60.976,00"</f>
        <v>60.976,00</v>
      </c>
      <c r="N3288" s="5">
        <v>43586</v>
      </c>
      <c r="O3288" s="7"/>
      <c r="P3288" s="6" t="str">
        <f>"60.976,00"</f>
        <v>60.976,00</v>
      </c>
      <c r="Q3288" s="7"/>
      <c r="R3288" s="1"/>
      <c r="S3288" s="1" t="str">
        <f>"GZ-UN-2018-30068"</f>
        <v>GZ-UN-2018-30068</v>
      </c>
      <c r="T3288" s="2" t="s">
        <v>60</v>
      </c>
    </row>
    <row r="3289" spans="1:20" ht="25.5" x14ac:dyDescent="0.25">
      <c r="A3289" s="1">
        <v>3285</v>
      </c>
      <c r="B3289" s="1" t="str">
        <f>"2018-53"</f>
        <v>2018-53</v>
      </c>
      <c r="C3289" s="2" t="s">
        <v>2053</v>
      </c>
      <c r="D3289" s="1" t="s">
        <v>2054</v>
      </c>
      <c r="E3289" s="3" t="str">
        <f>""</f>
        <v/>
      </c>
      <c r="F3289" s="2" t="s">
        <v>1323</v>
      </c>
      <c r="G3289" s="2" t="str">
        <f>CONCATENATE("GLOBALDIZAJN D.O.O.,"," BUZIN,"," BANI 75,"," 10000 ZAGREB,"," OIB: 2562731408")</f>
        <v>GLOBALDIZAJN D.O.O., BUZIN, BANI 75, 10000 ZAGREB, OIB: 2562731408</v>
      </c>
      <c r="H3289" s="4"/>
      <c r="I3289" s="1" t="s">
        <v>1577</v>
      </c>
      <c r="J3289" s="5">
        <v>43565</v>
      </c>
      <c r="K3289" s="6" t="str">
        <f>"58.219,80"</f>
        <v>58.219,80</v>
      </c>
      <c r="L3289" s="6" t="str">
        <f>"14.554,95"</f>
        <v>14.554,95</v>
      </c>
      <c r="M3289" s="6" t="str">
        <f>"72.774,75"</f>
        <v>72.774,75</v>
      </c>
      <c r="N3289" s="5">
        <v>43646</v>
      </c>
      <c r="O3289" s="7"/>
      <c r="P3289" s="6" t="str">
        <f>"72.774,75"</f>
        <v>72.774,75</v>
      </c>
      <c r="Q3289" s="7"/>
      <c r="R3289" s="1"/>
      <c r="S3289" s="1" t="str">
        <f>"GZ-UN-2018-30097"</f>
        <v>GZ-UN-2018-30097</v>
      </c>
      <c r="T3289" s="2" t="s">
        <v>60</v>
      </c>
    </row>
    <row r="3290" spans="1:20" ht="38.25" x14ac:dyDescent="0.25">
      <c r="A3290" s="1">
        <v>3286</v>
      </c>
      <c r="B3290" s="1" t="str">
        <f>"2018-1993"</f>
        <v>2018-1993</v>
      </c>
      <c r="C3290" s="2" t="s">
        <v>2055</v>
      </c>
      <c r="D3290" s="1" t="s">
        <v>223</v>
      </c>
      <c r="E3290" s="3" t="str">
        <f>""</f>
        <v/>
      </c>
      <c r="F3290" s="2" t="s">
        <v>1323</v>
      </c>
      <c r="G3290" s="2" t="str">
        <f>CONCATENATE("CONSCIUS D.O.O.,"," KUTNJAČKI PUT 9,"," 10000 ZAGREB,"," OIB: 33925981016")</f>
        <v>CONSCIUS D.O.O., KUTNJAČKI PUT 9, 10000 ZAGREB, OIB: 33925981016</v>
      </c>
      <c r="H3290" s="4"/>
      <c r="I3290" s="1" t="s">
        <v>110</v>
      </c>
      <c r="J3290" s="5">
        <v>43582</v>
      </c>
      <c r="K3290" s="6" t="str">
        <f>"127.200,00"</f>
        <v>127.200,00</v>
      </c>
      <c r="L3290" s="6" t="str">
        <f>"31.800,00"</f>
        <v>31.800,00</v>
      </c>
      <c r="M3290" s="6" t="str">
        <f>"159.000,00"</f>
        <v>159.000,00</v>
      </c>
      <c r="N3290" s="5">
        <v>43585</v>
      </c>
      <c r="O3290" s="7"/>
      <c r="P3290" s="6" t="str">
        <f>"84.000,00"</f>
        <v>84.000,00</v>
      </c>
      <c r="Q3290" s="7"/>
      <c r="R3290" s="1"/>
      <c r="S3290" s="1" t="str">
        <f>"GZ-UN-2018-36042"</f>
        <v>GZ-UN-2018-36042</v>
      </c>
      <c r="T3290" s="2" t="s">
        <v>60</v>
      </c>
    </row>
    <row r="3291" spans="1:20" ht="38.25" x14ac:dyDescent="0.25">
      <c r="A3291" s="1">
        <v>3287</v>
      </c>
      <c r="B3291" s="1" t="str">
        <f>"2018-2339"</f>
        <v>2018-2339</v>
      </c>
      <c r="C3291" s="2" t="s">
        <v>2056</v>
      </c>
      <c r="D3291" s="1" t="s">
        <v>212</v>
      </c>
      <c r="E3291" s="3" t="str">
        <f>""</f>
        <v/>
      </c>
      <c r="F3291" s="2" t="s">
        <v>1323</v>
      </c>
      <c r="G3291" s="2" t="str">
        <f>CONCATENATE("AG SJAJ D.O.O.,"," FALLEROVO ŠETALIŠTE 22,"," 10000 ZAGREB,"," OIB: 04807307105")</f>
        <v>AG SJAJ D.O.O., FALLEROVO ŠETALIŠTE 22, 10000 ZAGREB, OIB: 04807307105</v>
      </c>
      <c r="H3291" s="4"/>
      <c r="I3291" s="1" t="s">
        <v>2057</v>
      </c>
      <c r="J3291" s="5">
        <v>43615</v>
      </c>
      <c r="K3291" s="6" t="str">
        <f>"66.185,61"</f>
        <v>66.185,61</v>
      </c>
      <c r="L3291" s="6" t="str">
        <f>"16.546,40"</f>
        <v>16.546,40</v>
      </c>
      <c r="M3291" s="6" t="str">
        <f>"82.732,01"</f>
        <v>82.732,01</v>
      </c>
      <c r="N3291" s="5">
        <v>43465</v>
      </c>
      <c r="O3291" s="7"/>
      <c r="P3291" s="6" t="str">
        <f>"82.732,01"</f>
        <v>82.732,01</v>
      </c>
      <c r="Q3291" s="7"/>
      <c r="R3291" s="1"/>
      <c r="S3291" s="1" t="str">
        <f>"GZ-UN-2018-46376"</f>
        <v>GZ-UN-2018-46376</v>
      </c>
      <c r="T3291" s="2" t="s">
        <v>60</v>
      </c>
    </row>
    <row r="3292" spans="1:20" ht="25.5" x14ac:dyDescent="0.25">
      <c r="A3292" s="1">
        <v>3288</v>
      </c>
      <c r="B3292" s="1" t="str">
        <f>"2018-2972"</f>
        <v>2018-2972</v>
      </c>
      <c r="C3292" s="2" t="s">
        <v>2058</v>
      </c>
      <c r="D3292" s="1" t="s">
        <v>246</v>
      </c>
      <c r="E3292" s="3" t="str">
        <f>""</f>
        <v/>
      </c>
      <c r="F3292" s="2" t="s">
        <v>1323</v>
      </c>
      <c r="G3292" s="2" t="str">
        <f>CONCATENATE("GRADATIN D.O.O.,"," LIVADARSKI PUT 19,"," 10360 SESVETE,"," OIB: 79147056526")</f>
        <v>GRADATIN D.O.O., LIVADARSKI PUT 19, 10360 SESVETE, OIB: 79147056526</v>
      </c>
      <c r="H3292" s="4"/>
      <c r="I3292" s="1" t="s">
        <v>2000</v>
      </c>
      <c r="J3292" s="5">
        <v>43622</v>
      </c>
      <c r="K3292" s="6" t="str">
        <f>"108.900,00"</f>
        <v>108.900,00</v>
      </c>
      <c r="L3292" s="6" t="str">
        <f>"27.225,00"</f>
        <v>27.225,00</v>
      </c>
      <c r="M3292" s="6" t="str">
        <f>"136.125,00"</f>
        <v>136.125,00</v>
      </c>
      <c r="N3292" s="5">
        <v>43349</v>
      </c>
      <c r="O3292" s="7"/>
      <c r="P3292" s="6" t="str">
        <f>"136.125,00"</f>
        <v>136.125,00</v>
      </c>
      <c r="Q3292" s="7"/>
      <c r="R3292" s="1"/>
      <c r="S3292" s="1" t="str">
        <f>"GZ-UN-2018-47029"</f>
        <v>GZ-UN-2018-47029</v>
      </c>
      <c r="T3292" s="2" t="s">
        <v>33</v>
      </c>
    </row>
    <row r="3293" spans="1:20" ht="38.25" x14ac:dyDescent="0.25">
      <c r="A3293" s="1">
        <v>3289</v>
      </c>
      <c r="B3293" s="1" t="str">
        <f>"2018-2202"</f>
        <v>2018-2202</v>
      </c>
      <c r="C3293" s="2" t="s">
        <v>2059</v>
      </c>
      <c r="D3293" s="1" t="s">
        <v>1930</v>
      </c>
      <c r="E3293" s="3" t="str">
        <f>""</f>
        <v/>
      </c>
      <c r="F3293" s="2" t="s">
        <v>1323</v>
      </c>
      <c r="G3293" s="2" t="str">
        <f>CONCATENATE("PIRIĆ-PROMET D.O.O.,"," KOLAROVA 2,"," 10000 ZAGREB,"," OIB: 17094516543")</f>
        <v>PIRIĆ-PROMET D.O.O., KOLAROVA 2, 10000 ZAGREB, OIB: 17094516543</v>
      </c>
      <c r="H3293" s="4"/>
      <c r="I3293" s="1" t="s">
        <v>897</v>
      </c>
      <c r="J3293" s="5">
        <v>43630</v>
      </c>
      <c r="K3293" s="6" t="str">
        <f>"191.525,00"</f>
        <v>191.525,00</v>
      </c>
      <c r="L3293" s="6" t="str">
        <f>"47.881,25"</f>
        <v>47.881,25</v>
      </c>
      <c r="M3293" s="6" t="str">
        <f>"239.406,25"</f>
        <v>239.406,25</v>
      </c>
      <c r="N3293" s="5">
        <v>43644</v>
      </c>
      <c r="O3293" s="7"/>
      <c r="P3293" s="6" t="str">
        <f>"239.406,25"</f>
        <v>239.406,25</v>
      </c>
      <c r="Q3293" s="7"/>
      <c r="R3293" s="1"/>
      <c r="S3293" s="1" t="str">
        <f>"GZ-UN-2018-49080"</f>
        <v>GZ-UN-2018-49080</v>
      </c>
      <c r="T3293" s="2" t="s">
        <v>65</v>
      </c>
    </row>
    <row r="3294" spans="1:20" ht="38.25" x14ac:dyDescent="0.25">
      <c r="A3294" s="1">
        <v>3290</v>
      </c>
      <c r="B3294" s="1" t="str">
        <f>"2018-2988"</f>
        <v>2018-2988</v>
      </c>
      <c r="C3294" s="2" t="s">
        <v>2060</v>
      </c>
      <c r="D3294" s="1" t="s">
        <v>681</v>
      </c>
      <c r="E3294" s="3" t="str">
        <f>""</f>
        <v/>
      </c>
      <c r="F3294" s="2" t="s">
        <v>1323</v>
      </c>
      <c r="G3294" s="2" t="str">
        <f>CONCATENATE("NIVETO D.O.O.,"," DRAGUTINA MANDLA 1,"," 10000 ZAGREB,"," OIB: 46572491389")</f>
        <v>NIVETO D.O.O., DRAGUTINA MANDLA 1, 10000 ZAGREB, OIB: 46572491389</v>
      </c>
      <c r="H3294" s="4"/>
      <c r="I3294" s="1" t="s">
        <v>586</v>
      </c>
      <c r="J3294" s="5">
        <v>43644</v>
      </c>
      <c r="K3294" s="6" t="str">
        <f>"19.999,99"</f>
        <v>19.999,99</v>
      </c>
      <c r="L3294" s="6" t="str">
        <f>"5.000,00"</f>
        <v>5.000,00</v>
      </c>
      <c r="M3294" s="6" t="str">
        <f>"24.999,99"</f>
        <v>24.999,99</v>
      </c>
      <c r="N3294" s="1" t="s">
        <v>117</v>
      </c>
      <c r="O3294" s="7"/>
      <c r="P3294" s="6" t="str">
        <f>""</f>
        <v/>
      </c>
      <c r="Q3294" s="7"/>
      <c r="R3294" s="1"/>
      <c r="S3294" s="1" t="str">
        <f>"GZ-UN-2018-52000"</f>
        <v>GZ-UN-2018-52000</v>
      </c>
      <c r="T3294" s="2" t="s">
        <v>65</v>
      </c>
    </row>
    <row r="3295" spans="1:20" ht="38.25" x14ac:dyDescent="0.25">
      <c r="A3295" s="1">
        <v>3291</v>
      </c>
      <c r="B3295" s="1" t="str">
        <f>"2018-187"</f>
        <v>2018-187</v>
      </c>
      <c r="C3295" s="2" t="s">
        <v>2061</v>
      </c>
      <c r="D3295" s="1" t="s">
        <v>2062</v>
      </c>
      <c r="E3295" s="3" t="str">
        <f>""</f>
        <v/>
      </c>
      <c r="F3295" s="2" t="s">
        <v>1323</v>
      </c>
      <c r="G3295" s="2" t="str">
        <f>CONCATENATE("NIVETO D.O.O.,"," DRAGUTINA MANDLA 1,"," 10000 ZAGREB,"," OIB: 46572491389")</f>
        <v>NIVETO D.O.O., DRAGUTINA MANDLA 1, 10000 ZAGREB, OIB: 46572491389</v>
      </c>
      <c r="H3295" s="4"/>
      <c r="I3295" s="1" t="s">
        <v>454</v>
      </c>
      <c r="J3295" s="5">
        <v>43656</v>
      </c>
      <c r="K3295" s="6" t="str">
        <f>"198.198,75"</f>
        <v>198.198,75</v>
      </c>
      <c r="L3295" s="6" t="str">
        <f>"49.549,69"</f>
        <v>49.549,69</v>
      </c>
      <c r="M3295" s="6" t="str">
        <f>"247.748,44"</f>
        <v>247.748,44</v>
      </c>
      <c r="N3295" s="1" t="s">
        <v>117</v>
      </c>
      <c r="O3295" s="7"/>
      <c r="P3295" s="6" t="str">
        <f>""</f>
        <v/>
      </c>
      <c r="Q3295" s="7"/>
      <c r="R3295" s="1"/>
      <c r="S3295" s="1" t="str">
        <f>"GZ-UN-2018-53819"</f>
        <v>GZ-UN-2018-53819</v>
      </c>
      <c r="T3295" s="2" t="s">
        <v>65</v>
      </c>
    </row>
    <row r="3296" spans="1:20" ht="38.25" x14ac:dyDescent="0.25">
      <c r="A3296" s="1">
        <v>3292</v>
      </c>
      <c r="B3296" s="1" t="str">
        <f>"2018-1440"</f>
        <v>2018-1440</v>
      </c>
      <c r="C3296" s="2" t="s">
        <v>2063</v>
      </c>
      <c r="D3296" s="1" t="s">
        <v>239</v>
      </c>
      <c r="E3296" s="3" t="str">
        <f>""</f>
        <v/>
      </c>
      <c r="F3296" s="2" t="s">
        <v>1323</v>
      </c>
      <c r="G3296" s="2" t="str">
        <f>CONCATENATE("DRÄGER SAFETY D.O.O.,"," AVENIJA VEĆESLAVA HOLJEVCA 40,"," 10010 ZAGREB,"," OIB: 32874587842")</f>
        <v>DRÄGER SAFETY D.O.O., AVENIJA VEĆESLAVA HOLJEVCA 40, 10010 ZAGREB, OIB: 32874587842</v>
      </c>
      <c r="H3296" s="4"/>
      <c r="I3296" s="1" t="s">
        <v>1004</v>
      </c>
      <c r="J3296" s="5">
        <v>43658</v>
      </c>
      <c r="K3296" s="6" t="str">
        <f>"9.078,84"</f>
        <v>9.078,84</v>
      </c>
      <c r="L3296" s="6" t="str">
        <f>"2.269,71"</f>
        <v>2.269,71</v>
      </c>
      <c r="M3296" s="6" t="str">
        <f>"11.348,55"</f>
        <v>11.348,55</v>
      </c>
      <c r="N3296" s="1" t="s">
        <v>117</v>
      </c>
      <c r="O3296" s="7"/>
      <c r="P3296" s="6" t="str">
        <f>""</f>
        <v/>
      </c>
      <c r="Q3296" s="7"/>
      <c r="R3296" s="1"/>
      <c r="S3296" s="1" t="str">
        <f>"GZ-UN-2018-54623"</f>
        <v>GZ-UN-2018-54623</v>
      </c>
      <c r="T3296" s="2" t="s">
        <v>29</v>
      </c>
    </row>
    <row r="3297" spans="1:20" ht="38.25" x14ac:dyDescent="0.25">
      <c r="A3297" s="1">
        <v>3293</v>
      </c>
      <c r="B3297" s="1" t="str">
        <f>"2018-955"</f>
        <v>2018-955</v>
      </c>
      <c r="C3297" s="2" t="s">
        <v>2064</v>
      </c>
      <c r="D3297" s="1" t="s">
        <v>2065</v>
      </c>
      <c r="E3297" s="3" t="str">
        <f>""</f>
        <v/>
      </c>
      <c r="F3297" s="2" t="s">
        <v>1323</v>
      </c>
      <c r="G3297" s="2" t="str">
        <f>CONCATENATE("PRIVREDNA BANKA ZAGREB D.D.,"," RADNIČKA CESTA 50,"," 10000 ZAGREB,"," OIB: 02535697732")</f>
        <v>PRIVREDNA BANKA ZAGREB D.D., RADNIČKA CESTA 50, 10000 ZAGREB, OIB: 02535697732</v>
      </c>
      <c r="H3297" s="4"/>
      <c r="I3297" s="1" t="s">
        <v>1041</v>
      </c>
      <c r="J3297" s="5">
        <v>43738</v>
      </c>
      <c r="K3297" s="6" t="str">
        <f>"94.968,20"</f>
        <v>94.968,20</v>
      </c>
      <c r="L3297" s="6" t="str">
        <f>"23.742,05"</f>
        <v>23.742,05</v>
      </c>
      <c r="M3297" s="6" t="str">
        <f>"118.710,25"</f>
        <v>118.710,25</v>
      </c>
      <c r="N3297" s="5">
        <v>43713</v>
      </c>
      <c r="O3297" s="7"/>
      <c r="P3297" s="6" t="str">
        <f>"100.684,35"</f>
        <v>100.684,35</v>
      </c>
      <c r="Q3297" s="7"/>
      <c r="R3297" s="1"/>
      <c r="S3297" s="1" t="str">
        <f>"GZ-UN-2018-506399"</f>
        <v>GZ-UN-2018-506399</v>
      </c>
      <c r="T3297" s="2" t="s">
        <v>60</v>
      </c>
    </row>
    <row r="3298" spans="1:20" ht="25.5" x14ac:dyDescent="0.25">
      <c r="A3298" s="1">
        <v>3294</v>
      </c>
      <c r="B3298" s="1" t="str">
        <f>"2018-2980"</f>
        <v>2018-2980</v>
      </c>
      <c r="C3298" s="2" t="s">
        <v>2066</v>
      </c>
      <c r="D3298" s="1" t="s">
        <v>2067</v>
      </c>
      <c r="E3298" s="3" t="str">
        <f>""</f>
        <v/>
      </c>
      <c r="F3298" s="2" t="s">
        <v>1323</v>
      </c>
      <c r="G3298" s="2" t="str">
        <f>CONCATENATE("CONTROLMATIK D.O.O.,"," PRIMORSKA 1,"," 42000 VARAŽDIN,"," OIB: 25020037517")</f>
        <v>CONTROLMATIK D.O.O., PRIMORSKA 1, 42000 VARAŽDIN, OIB: 25020037517</v>
      </c>
      <c r="H3298" s="4"/>
      <c r="I3298" s="1" t="s">
        <v>1055</v>
      </c>
      <c r="J3298" s="5">
        <v>43684</v>
      </c>
      <c r="K3298" s="6" t="str">
        <f>"198.120,00"</f>
        <v>198.120,00</v>
      </c>
      <c r="L3298" s="6" t="str">
        <f>"49.530,00"</f>
        <v>49.530,00</v>
      </c>
      <c r="M3298" s="6" t="str">
        <f>"247.650,00"</f>
        <v>247.650,00</v>
      </c>
      <c r="N3298" s="1" t="s">
        <v>117</v>
      </c>
      <c r="O3298" s="7"/>
      <c r="P3298" s="6" t="str">
        <f>""</f>
        <v/>
      </c>
      <c r="Q3298" s="7"/>
      <c r="R3298" s="1"/>
      <c r="S3298" s="1" t="str">
        <f>"GZ-UN-2018-507464"</f>
        <v>GZ-UN-2018-507464</v>
      </c>
      <c r="T3298" s="2" t="s">
        <v>29</v>
      </c>
    </row>
    <row r="3299" spans="1:20" ht="76.5" x14ac:dyDescent="0.25">
      <c r="A3299" s="1">
        <v>3295</v>
      </c>
      <c r="B3299" s="1" t="str">
        <f>"2018-3022"</f>
        <v>2018-3022</v>
      </c>
      <c r="C3299" s="2" t="s">
        <v>2068</v>
      </c>
      <c r="D3299" s="1" t="s">
        <v>1819</v>
      </c>
      <c r="E3299" s="3" t="str">
        <f>""</f>
        <v/>
      </c>
      <c r="F3299" s="2" t="s">
        <v>1323</v>
      </c>
      <c r="G3299" s="2" t="str">
        <f>CONCATENATE("OSKAR EDUKOS,"," RADOSLAVA CIMERMANA 36/A,"," 10000 ZAGREB,"," OIB: 70614396328")</f>
        <v>OSKAR EDUKOS, RADOSLAVA CIMERMANA 36/A, 10000 ZAGREB, OIB: 70614396328</v>
      </c>
      <c r="H3299" s="4"/>
      <c r="I3299" s="1" t="s">
        <v>2069</v>
      </c>
      <c r="J3299" s="5">
        <v>43694</v>
      </c>
      <c r="K3299" s="6" t="str">
        <f>"175.000,00"</f>
        <v>175.000,00</v>
      </c>
      <c r="L3299" s="6" t="str">
        <f>"43.750,00"</f>
        <v>43.750,00</v>
      </c>
      <c r="M3299" s="6" t="str">
        <f>"218.750,00"</f>
        <v>218.750,00</v>
      </c>
      <c r="N3299" s="1" t="s">
        <v>117</v>
      </c>
      <c r="O3299" s="7"/>
      <c r="P3299" s="6" t="str">
        <f>""</f>
        <v/>
      </c>
      <c r="Q3299" s="7"/>
      <c r="R3299" s="1"/>
      <c r="S3299" s="1" t="str">
        <f>"GZ-UN-2018-509195"</f>
        <v>GZ-UN-2018-509195</v>
      </c>
      <c r="T3299" s="2" t="s">
        <v>29</v>
      </c>
    </row>
    <row r="3300" spans="1:20" ht="38.25" x14ac:dyDescent="0.25">
      <c r="A3300" s="1">
        <v>3296</v>
      </c>
      <c r="B3300" s="1" t="str">
        <f>"2018-3061"</f>
        <v>2018-3061</v>
      </c>
      <c r="C3300" s="2" t="s">
        <v>2070</v>
      </c>
      <c r="D3300" s="1" t="s">
        <v>910</v>
      </c>
      <c r="E3300" s="3" t="str">
        <f>""</f>
        <v/>
      </c>
      <c r="F3300" s="2" t="s">
        <v>1323</v>
      </c>
      <c r="G3300" s="2" t="str">
        <f>CONCATENATE("ZAGREBAČKI HOLDING D.O.O.,"," PODRUŽNICA ČISTOĆA,"," RADNIČKA CESTA 82,"," 10000 ZAGREB,"," OIB: 85584865987")</f>
        <v>ZAGREBAČKI HOLDING D.O.O., PODRUŽNICA ČISTOĆA, RADNIČKA CESTA 82, 10000 ZAGREB, OIB: 85584865987</v>
      </c>
      <c r="H3300" s="4"/>
      <c r="I3300" s="1" t="s">
        <v>362</v>
      </c>
      <c r="J3300" s="5">
        <v>43861</v>
      </c>
      <c r="K3300" s="6" t="str">
        <f>"30.842,82"</f>
        <v>30.842,82</v>
      </c>
      <c r="L3300" s="6" t="str">
        <f>"7.710,71"</f>
        <v>7.710,71</v>
      </c>
      <c r="M3300" s="6" t="str">
        <f>"38.553,53"</f>
        <v>38.553,53</v>
      </c>
      <c r="N3300" s="5">
        <v>43677</v>
      </c>
      <c r="O3300" s="7"/>
      <c r="P3300" s="6" t="str">
        <f>"22.065,22"</f>
        <v>22.065,22</v>
      </c>
      <c r="Q3300" s="7"/>
      <c r="R3300" s="1"/>
      <c r="S3300" s="1" t="str">
        <f>"GZ-UN-2018-512696"</f>
        <v>GZ-UN-2018-512696</v>
      </c>
      <c r="T3300" s="2" t="s">
        <v>60</v>
      </c>
    </row>
    <row r="3301" spans="1:20" ht="25.5" x14ac:dyDescent="0.25">
      <c r="A3301" s="1">
        <v>3297</v>
      </c>
      <c r="B3301" s="1" t="str">
        <f>"2018-2028"</f>
        <v>2018-2028</v>
      </c>
      <c r="C3301" s="2" t="s">
        <v>2071</v>
      </c>
      <c r="D3301" s="1" t="s">
        <v>1531</v>
      </c>
      <c r="E3301" s="3" t="str">
        <f>""</f>
        <v/>
      </c>
      <c r="F3301" s="2" t="s">
        <v>1323</v>
      </c>
      <c r="G3301" s="2" t="str">
        <f>CONCATENATE("LED ART D.O.O.,"," ZAVRTNICA 7,"," 10000 ZAGREB,"," OIB: 35748176219")</f>
        <v>LED ART D.O.O., ZAVRTNICA 7, 10000 ZAGREB, OIB: 35748176219</v>
      </c>
      <c r="H3301" s="4"/>
      <c r="I3301" s="1" t="s">
        <v>315</v>
      </c>
      <c r="J3301" s="5">
        <v>43718</v>
      </c>
      <c r="K3301" s="6" t="str">
        <f>"12.958,50"</f>
        <v>12.958,50</v>
      </c>
      <c r="L3301" s="6" t="str">
        <f>"3.239,63"</f>
        <v>3.239,63</v>
      </c>
      <c r="M3301" s="6" t="str">
        <f>"16.198,13"</f>
        <v>16.198,13</v>
      </c>
      <c r="N3301" s="1" t="s">
        <v>117</v>
      </c>
      <c r="O3301" s="7"/>
      <c r="P3301" s="6" t="str">
        <f>""</f>
        <v/>
      </c>
      <c r="Q3301" s="7"/>
      <c r="R3301" s="1"/>
      <c r="S3301" s="1" t="str">
        <f>"GZ-UN-2018-514627"</f>
        <v>GZ-UN-2018-514627</v>
      </c>
      <c r="T3301" s="2" t="s">
        <v>29</v>
      </c>
    </row>
    <row r="3302" spans="1:20" ht="51" x14ac:dyDescent="0.25">
      <c r="A3302" s="1">
        <v>3298</v>
      </c>
      <c r="B3302" s="1" t="str">
        <f>"2018-3058"</f>
        <v>2018-3058</v>
      </c>
      <c r="C3302" s="2" t="s">
        <v>2072</v>
      </c>
      <c r="D3302" s="1" t="s">
        <v>1503</v>
      </c>
      <c r="E3302" s="3" t="str">
        <f>""</f>
        <v/>
      </c>
      <c r="F3302" s="2" t="s">
        <v>1323</v>
      </c>
      <c r="G3302" s="2" t="str">
        <f>CONCATENATE("ELEKTRO-ENERGETIKA D.O.O.,"," RATARSKA 75A,"," 10000 ZAGREB,"," OIB: 48444972867")</f>
        <v>ELEKTRO-ENERGETIKA D.O.O., RATARSKA 75A, 10000 ZAGREB, OIB: 48444972867</v>
      </c>
      <c r="H3302" s="4"/>
      <c r="I3302" s="1" t="s">
        <v>134</v>
      </c>
      <c r="J3302" s="5">
        <v>43739</v>
      </c>
      <c r="K3302" s="6" t="str">
        <f>"52.468,00"</f>
        <v>52.468,00</v>
      </c>
      <c r="L3302" s="6" t="str">
        <f>"13.117,00"</f>
        <v>13.117,00</v>
      </c>
      <c r="M3302" s="6" t="str">
        <f>"65.585,00"</f>
        <v>65.585,00</v>
      </c>
      <c r="N3302" s="1" t="s">
        <v>117</v>
      </c>
      <c r="O3302" s="7"/>
      <c r="P3302" s="6" t="str">
        <f>""</f>
        <v/>
      </c>
      <c r="Q3302" s="7"/>
      <c r="R3302" s="1"/>
      <c r="S3302" s="1" t="str">
        <f>"GZ-UN-2018-521093"</f>
        <v>GZ-UN-2018-521093</v>
      </c>
      <c r="T3302" s="2" t="s">
        <v>29</v>
      </c>
    </row>
    <row r="3303" spans="1:20" ht="38.25" x14ac:dyDescent="0.25">
      <c r="A3303" s="1">
        <v>3299</v>
      </c>
      <c r="B3303" s="1" t="str">
        <f>"2018-2702"</f>
        <v>2018-2702</v>
      </c>
      <c r="C3303" s="2" t="s">
        <v>2073</v>
      </c>
      <c r="D3303" s="1" t="s">
        <v>164</v>
      </c>
      <c r="E3303" s="3" t="str">
        <f>""</f>
        <v/>
      </c>
      <c r="F3303" s="2" t="s">
        <v>1323</v>
      </c>
      <c r="G3303" s="2" t="str">
        <f>CONCATENATE("ZAGREBAČKI HOLDING D.O.O. DIREKCIJA,"," GRADA VUKOVARA 41,"," 10000 ZAGREB,"," OIB: 85584865987")</f>
        <v>ZAGREBAČKI HOLDING D.O.O. DIREKCIJA, GRADA VUKOVARA 41, 10000 ZAGREB, OIB: 85584865987</v>
      </c>
      <c r="H3303" s="4"/>
      <c r="I3303" s="1" t="s">
        <v>1124</v>
      </c>
      <c r="J3303" s="5">
        <v>43753</v>
      </c>
      <c r="K3303" s="6" t="str">
        <f>"195.000,00"</f>
        <v>195.000,00</v>
      </c>
      <c r="L3303" s="6" t="str">
        <f>"48.750,00"</f>
        <v>48.750,00</v>
      </c>
      <c r="M3303" s="6" t="str">
        <f>"243.750,00"</f>
        <v>243.750,00</v>
      </c>
      <c r="N3303" s="5">
        <v>43616</v>
      </c>
      <c r="O3303" s="7"/>
      <c r="P3303" s="6" t="str">
        <f>"20.312,50"</f>
        <v>20.312,50</v>
      </c>
      <c r="Q3303" s="7"/>
      <c r="R3303" s="1"/>
      <c r="S3303" s="1" t="str">
        <f>"GZ-UN-2018-524921"</f>
        <v>GZ-UN-2018-524921</v>
      </c>
      <c r="T3303" s="2" t="s">
        <v>29</v>
      </c>
    </row>
    <row r="3304" spans="1:20" ht="25.5" x14ac:dyDescent="0.25">
      <c r="A3304" s="1">
        <v>3300</v>
      </c>
      <c r="B3304" s="1" t="str">
        <f>"2018-1141"</f>
        <v>2018-1141</v>
      </c>
      <c r="C3304" s="2" t="s">
        <v>2074</v>
      </c>
      <c r="D3304" s="1" t="s">
        <v>1534</v>
      </c>
      <c r="E3304" s="3" t="str">
        <f>""</f>
        <v/>
      </c>
      <c r="F3304" s="2" t="s">
        <v>1323</v>
      </c>
      <c r="G3304" s="2" t="str">
        <f>CONCATENATE("KING ICT D.O.O.,"," BUZINSKI PRILAZ 10,"," 10010 ZAGREB,"," OIB: 67001695549")</f>
        <v>KING ICT D.O.O., BUZINSKI PRILAZ 10, 10010 ZAGREB, OIB: 67001695549</v>
      </c>
      <c r="H3304" s="4"/>
      <c r="I3304" s="1" t="s">
        <v>1124</v>
      </c>
      <c r="J3304" s="5">
        <v>43753</v>
      </c>
      <c r="K3304" s="6" t="str">
        <f>"196.612,27"</f>
        <v>196.612,27</v>
      </c>
      <c r="L3304" s="6" t="str">
        <f>"49.153,07"</f>
        <v>49.153,07</v>
      </c>
      <c r="M3304" s="6" t="str">
        <f>"245.765,34"</f>
        <v>245.765,34</v>
      </c>
      <c r="N3304" s="1" t="s">
        <v>117</v>
      </c>
      <c r="O3304" s="7"/>
      <c r="P3304" s="6" t="str">
        <f>""</f>
        <v/>
      </c>
      <c r="Q3304" s="7"/>
      <c r="R3304" s="1"/>
      <c r="S3304" s="1" t="str">
        <f>"GZ-UN-2018-524923"</f>
        <v>GZ-UN-2018-524923</v>
      </c>
      <c r="T3304" s="2" t="s">
        <v>29</v>
      </c>
    </row>
    <row r="3305" spans="1:20" ht="51" x14ac:dyDescent="0.25">
      <c r="A3305" s="1">
        <v>3301</v>
      </c>
      <c r="B3305" s="1" t="str">
        <f>"2018-3104"</f>
        <v>2018-3104</v>
      </c>
      <c r="C3305" s="2" t="s">
        <v>2075</v>
      </c>
      <c r="D3305" s="1" t="s">
        <v>2076</v>
      </c>
      <c r="E3305" s="3" t="str">
        <f>""</f>
        <v/>
      </c>
      <c r="F3305" s="2" t="s">
        <v>1323</v>
      </c>
      <c r="G3305" s="2" t="str">
        <f>CONCATENATE("MODUS INFINITUM D.O.O.,"," JURJA DENZLERA 28,"," 10000 ZAGREB,"," OIB: 03302370809")</f>
        <v>MODUS INFINITUM D.O.O., JURJA DENZLERA 28, 10000 ZAGREB, OIB: 03302370809</v>
      </c>
      <c r="H3305" s="4"/>
      <c r="I3305" s="1" t="s">
        <v>2077</v>
      </c>
      <c r="J3305" s="5">
        <v>43775</v>
      </c>
      <c r="K3305" s="6" t="str">
        <f>"19.992,00"</f>
        <v>19.992,00</v>
      </c>
      <c r="L3305" s="6" t="str">
        <f>"4.998,00"</f>
        <v>4.998,00</v>
      </c>
      <c r="M3305" s="6" t="str">
        <f>"24.990,00"</f>
        <v>24.990,00</v>
      </c>
      <c r="N3305" s="5">
        <v>43556</v>
      </c>
      <c r="O3305" s="7"/>
      <c r="P3305" s="6" t="str">
        <f>"16.660,00"</f>
        <v>16.660,00</v>
      </c>
      <c r="Q3305" s="7"/>
      <c r="R3305" s="1"/>
      <c r="S3305" s="1" t="str">
        <f>"GZ-UN-2018-530959"</f>
        <v>GZ-UN-2018-530959</v>
      </c>
      <c r="T3305" s="2" t="s">
        <v>60</v>
      </c>
    </row>
    <row r="3306" spans="1:20" ht="38.25" x14ac:dyDescent="0.25">
      <c r="A3306" s="1">
        <v>3302</v>
      </c>
      <c r="B3306" s="1" t="str">
        <f>"2018-2127"</f>
        <v>2018-2127</v>
      </c>
      <c r="C3306" s="2" t="s">
        <v>2078</v>
      </c>
      <c r="D3306" s="1" t="s">
        <v>819</v>
      </c>
      <c r="E3306" s="3" t="str">
        <f>""</f>
        <v/>
      </c>
      <c r="F3306" s="2" t="s">
        <v>1323</v>
      </c>
      <c r="G3306" s="2" t="str">
        <f>CONCATENATE("PIRIĆ-PROMET D.O.O.,"," KOLAROVA 2,"," 10000 ZAGREB,"," OIB: 17094516543")</f>
        <v>PIRIĆ-PROMET D.O.O., KOLAROVA 2, 10000 ZAGREB, OIB: 17094516543</v>
      </c>
      <c r="H3306" s="4"/>
      <c r="I3306" s="1" t="s">
        <v>2077</v>
      </c>
      <c r="J3306" s="5">
        <v>43775</v>
      </c>
      <c r="K3306" s="6" t="str">
        <f>"69.120,00"</f>
        <v>69.120,00</v>
      </c>
      <c r="L3306" s="6" t="str">
        <f>"17.280,00"</f>
        <v>17.280,00</v>
      </c>
      <c r="M3306" s="6" t="str">
        <f>"86.400,00"</f>
        <v>86.400,00</v>
      </c>
      <c r="N3306" s="5">
        <v>43699</v>
      </c>
      <c r="O3306" s="7"/>
      <c r="P3306" s="6" t="str">
        <f>"22.000,00"</f>
        <v>22.000,00</v>
      </c>
      <c r="Q3306" s="7"/>
      <c r="R3306" s="1"/>
      <c r="S3306" s="1" t="str">
        <f>"GZ-UN-2018-530981"</f>
        <v>GZ-UN-2018-530981</v>
      </c>
      <c r="T3306" s="2" t="s">
        <v>65</v>
      </c>
    </row>
    <row r="3307" spans="1:20" ht="25.5" x14ac:dyDescent="0.25">
      <c r="A3307" s="1">
        <v>3303</v>
      </c>
      <c r="B3307" s="1" t="str">
        <f>"2018-2376"</f>
        <v>2018-2376</v>
      </c>
      <c r="C3307" s="2" t="s">
        <v>2079</v>
      </c>
      <c r="D3307" s="1" t="s">
        <v>2080</v>
      </c>
      <c r="E3307" s="3" t="str">
        <f>""</f>
        <v/>
      </c>
      <c r="F3307" s="2" t="s">
        <v>1323</v>
      </c>
      <c r="G3307" s="2" t="str">
        <f>CONCATENATE("INFOART D.O.O.,"," LASTOVSKA 23,"," 10000 ZAGREB,"," OIB: 88255578438")</f>
        <v>INFOART D.O.O., LASTOVSKA 23, 10000 ZAGREB, OIB: 88255578438</v>
      </c>
      <c r="H3307" s="4"/>
      <c r="I3307" s="1" t="s">
        <v>668</v>
      </c>
      <c r="J3307" s="5">
        <v>43782</v>
      </c>
      <c r="K3307" s="6" t="str">
        <f>"192.600,00"</f>
        <v>192.600,00</v>
      </c>
      <c r="L3307" s="6" t="str">
        <f>"48.150,00"</f>
        <v>48.150,00</v>
      </c>
      <c r="M3307" s="6" t="str">
        <f>"240.750,00"</f>
        <v>240.750,00</v>
      </c>
      <c r="N3307" s="1" t="s">
        <v>117</v>
      </c>
      <c r="O3307" s="7"/>
      <c r="P3307" s="6" t="str">
        <f>""</f>
        <v/>
      </c>
      <c r="Q3307" s="7"/>
      <c r="R3307" s="1"/>
      <c r="S3307" s="1" t="str">
        <f>"GZ-UN-2018-533356"</f>
        <v>GZ-UN-2018-533356</v>
      </c>
      <c r="T3307" s="2" t="s">
        <v>29</v>
      </c>
    </row>
    <row r="3308" spans="1:20" ht="38.25" x14ac:dyDescent="0.25">
      <c r="A3308" s="1">
        <v>3304</v>
      </c>
      <c r="B3308" s="1" t="str">
        <f>"2018-2084"</f>
        <v>2018-2084</v>
      </c>
      <c r="C3308" s="2" t="s">
        <v>2081</v>
      </c>
      <c r="D3308" s="1" t="s">
        <v>2082</v>
      </c>
      <c r="E3308" s="3" t="str">
        <f>""</f>
        <v/>
      </c>
      <c r="F3308" s="2" t="s">
        <v>1323</v>
      </c>
      <c r="G3308" s="2" t="str">
        <f>CONCATENATE("JEDINSTVO KRAPINA D.O.O.,"," MIHALJEKOV JAREK 33,"," 49000 KRAPINA,"," OIB: 98656691838")</f>
        <v>JEDINSTVO KRAPINA D.O.O., MIHALJEKOV JAREK 33, 49000 KRAPINA, OIB: 98656691838</v>
      </c>
      <c r="H3308" s="4"/>
      <c r="I3308" s="1" t="s">
        <v>720</v>
      </c>
      <c r="J3308" s="5">
        <v>43789</v>
      </c>
      <c r="K3308" s="6" t="str">
        <f>"41.260,00"</f>
        <v>41.260,00</v>
      </c>
      <c r="L3308" s="6" t="str">
        <f>"10.315,00"</f>
        <v>10.315,00</v>
      </c>
      <c r="M3308" s="6" t="str">
        <f>"51.575,00"</f>
        <v>51.575,00</v>
      </c>
      <c r="N3308" s="1" t="s">
        <v>117</v>
      </c>
      <c r="O3308" s="7"/>
      <c r="P3308" s="6" t="str">
        <f>""</f>
        <v/>
      </c>
      <c r="Q3308" s="7"/>
      <c r="R3308" s="1"/>
      <c r="S3308" s="1" t="str">
        <f>"GZ-UN-2018-535327"</f>
        <v>GZ-UN-2018-535327</v>
      </c>
      <c r="T3308" s="2" t="s">
        <v>29</v>
      </c>
    </row>
    <row r="3309" spans="1:20" ht="25.5" x14ac:dyDescent="0.25">
      <c r="A3309" s="1">
        <v>3305</v>
      </c>
      <c r="B3309" s="1" t="str">
        <f>"2018-2755"</f>
        <v>2018-2755</v>
      </c>
      <c r="C3309" s="2" t="s">
        <v>2006</v>
      </c>
      <c r="D3309" s="1" t="s">
        <v>2007</v>
      </c>
      <c r="E3309" s="3" t="str">
        <f>""</f>
        <v/>
      </c>
      <c r="F3309" s="2" t="s">
        <v>1323</v>
      </c>
      <c r="G3309" s="2" t="str">
        <f>CONCATENATE("DELOITTE D.O.O.,"," RADNIČKA CESTA 80,"," 10000 ZAGREB,"," OIB: 1168645778")</f>
        <v>DELOITTE D.O.O., RADNIČKA CESTA 80, 10000 ZAGREB, OIB: 1168645778</v>
      </c>
      <c r="H3309" s="4"/>
      <c r="I3309" s="1" t="s">
        <v>1169</v>
      </c>
      <c r="J3309" s="5">
        <v>43795</v>
      </c>
      <c r="K3309" s="6" t="str">
        <f>"39.960,00"</f>
        <v>39.960,00</v>
      </c>
      <c r="L3309" s="6" t="str">
        <f>"9.990,00"</f>
        <v>9.990,00</v>
      </c>
      <c r="M3309" s="6" t="str">
        <f>"49.950,00"</f>
        <v>49.950,00</v>
      </c>
      <c r="N3309" s="5">
        <v>43705</v>
      </c>
      <c r="O3309" s="7"/>
      <c r="P3309" s="6" t="str">
        <f>"33.300,00"</f>
        <v>33.300,00</v>
      </c>
      <c r="Q3309" s="7"/>
      <c r="R3309" s="1"/>
      <c r="S3309" s="1" t="str">
        <f>"GZ-UN-2018-537404"</f>
        <v>GZ-UN-2018-537404</v>
      </c>
      <c r="T3309" s="2" t="s">
        <v>60</v>
      </c>
    </row>
    <row r="3310" spans="1:20" ht="38.25" x14ac:dyDescent="0.25">
      <c r="A3310" s="1">
        <v>3306</v>
      </c>
      <c r="B3310" s="1" t="str">
        <f>"2018-1801"</f>
        <v>2018-1801</v>
      </c>
      <c r="C3310" s="2" t="s">
        <v>2083</v>
      </c>
      <c r="D3310" s="1" t="s">
        <v>603</v>
      </c>
      <c r="E3310" s="3" t="str">
        <f>""</f>
        <v/>
      </c>
      <c r="F3310" s="2" t="s">
        <v>1323</v>
      </c>
      <c r="G3310" s="2" t="str">
        <f>CONCATENATE("JAKA D.O.O.,"," OGRIZOVIĆEVA 28/B,","  10 000 ZAGREB,"," OIB: 3770592196")</f>
        <v>JAKA D.O.O., OGRIZOVIĆEVA 28/B,  10 000 ZAGREB, OIB: 3770592196</v>
      </c>
      <c r="H3310" s="4"/>
      <c r="I3310" s="1" t="s">
        <v>1169</v>
      </c>
      <c r="J3310" s="5">
        <v>43795</v>
      </c>
      <c r="K3310" s="6" t="str">
        <f>"13.236,92"</f>
        <v>13.236,92</v>
      </c>
      <c r="L3310" s="6" t="str">
        <f>"3.309,23"</f>
        <v>3.309,23</v>
      </c>
      <c r="M3310" s="6" t="str">
        <f>"16.546,15"</f>
        <v>16.546,15</v>
      </c>
      <c r="N3310" s="5">
        <v>43690</v>
      </c>
      <c r="O3310" s="7"/>
      <c r="P3310" s="6" t="str">
        <f>"5.400,00"</f>
        <v>5.400,00</v>
      </c>
      <c r="Q3310" s="7"/>
      <c r="R3310" s="1"/>
      <c r="S3310" s="1" t="str">
        <f>"GZ-UN-2018-537407"</f>
        <v>GZ-UN-2018-537407</v>
      </c>
      <c r="T3310" s="2" t="s">
        <v>65</v>
      </c>
    </row>
    <row r="3311" spans="1:20" ht="38.25" x14ac:dyDescent="0.25">
      <c r="A3311" s="1">
        <v>3307</v>
      </c>
      <c r="B3311" s="1" t="str">
        <f>"2018-394"</f>
        <v>2018-394</v>
      </c>
      <c r="C3311" s="2" t="s">
        <v>2084</v>
      </c>
      <c r="D3311" s="1" t="s">
        <v>972</v>
      </c>
      <c r="E3311" s="3" t="str">
        <f>""</f>
        <v/>
      </c>
      <c r="F3311" s="2" t="s">
        <v>1323</v>
      </c>
      <c r="G3311" s="2" t="str">
        <f>CONCATENATE("CEPELIN,"," VL. ANAMARIJA MATIĆ,"," VELIKOPOLJSKA 2A,"," 10 010 VELIKO POLJE,"," OIB: 2821461386")</f>
        <v>CEPELIN, VL. ANAMARIJA MATIĆ, VELIKOPOLJSKA 2A, 10 010 VELIKO POLJE, OIB: 2821461386</v>
      </c>
      <c r="H3311" s="4"/>
      <c r="I3311" s="1" t="s">
        <v>144</v>
      </c>
      <c r="J3311" s="5">
        <v>43797</v>
      </c>
      <c r="K3311" s="6" t="str">
        <f>"99.460,00"</f>
        <v>99.460,00</v>
      </c>
      <c r="L3311" s="6" t="str">
        <f>"24.865,00"</f>
        <v>24.865,00</v>
      </c>
      <c r="M3311" s="6" t="str">
        <f>"124.325,00"</f>
        <v>124.325,00</v>
      </c>
      <c r="N3311" s="1" t="s">
        <v>117</v>
      </c>
      <c r="O3311" s="7"/>
      <c r="P3311" s="6" t="str">
        <f>""</f>
        <v/>
      </c>
      <c r="Q3311" s="7"/>
      <c r="R3311" s="1"/>
      <c r="S3311" s="1" t="str">
        <f>"GZ-UN-2018-537747"</f>
        <v>GZ-UN-2018-537747</v>
      </c>
      <c r="T3311" s="2" t="s">
        <v>29</v>
      </c>
    </row>
    <row r="3312" spans="1:20" ht="38.25" x14ac:dyDescent="0.25">
      <c r="A3312" s="1">
        <v>3308</v>
      </c>
      <c r="B3312" s="1" t="str">
        <f>"2018-2339"</f>
        <v>2018-2339</v>
      </c>
      <c r="C3312" s="2" t="s">
        <v>2056</v>
      </c>
      <c r="D3312" s="1" t="s">
        <v>212</v>
      </c>
      <c r="E3312" s="3" t="str">
        <f>""</f>
        <v/>
      </c>
      <c r="F3312" s="2" t="s">
        <v>1323</v>
      </c>
      <c r="G3312" s="2" t="str">
        <f>CONCATENATE("AG SJAJ D.O.O.,"," FALLEROVO ŠETALIŠTE 22,"," 10000 ZAGREB,"," OIB: 04807307105")</f>
        <v>AG SJAJ D.O.O., FALLEROVO ŠETALIŠTE 22, 10000 ZAGREB, OIB: 04807307105</v>
      </c>
      <c r="H3312" s="4"/>
      <c r="I3312" s="1" t="s">
        <v>182</v>
      </c>
      <c r="J3312" s="5">
        <v>43802</v>
      </c>
      <c r="K3312" s="6" t="str">
        <f>"66.185,61"</f>
        <v>66.185,61</v>
      </c>
      <c r="L3312" s="6" t="str">
        <f>"16.546,40"</f>
        <v>16.546,40</v>
      </c>
      <c r="M3312" s="6" t="str">
        <f>"82.732,01"</f>
        <v>82.732,01</v>
      </c>
      <c r="N3312" s="5">
        <v>43646</v>
      </c>
      <c r="O3312" s="7"/>
      <c r="P3312" s="6" t="str">
        <f>"82.732,01"</f>
        <v>82.732,01</v>
      </c>
      <c r="Q3312" s="7"/>
      <c r="R3312" s="1"/>
      <c r="S3312" s="1" t="str">
        <f>"GZ-UN-2018-539676"</f>
        <v>GZ-UN-2018-539676</v>
      </c>
      <c r="T3312" s="2" t="s">
        <v>60</v>
      </c>
    </row>
    <row r="3313" spans="1:20" ht="38.25" x14ac:dyDescent="0.25">
      <c r="A3313" s="1">
        <v>3309</v>
      </c>
      <c r="B3313" s="1" t="str">
        <f>"2018-561"</f>
        <v>2018-561</v>
      </c>
      <c r="C3313" s="2" t="s">
        <v>2085</v>
      </c>
      <c r="D3313" s="1" t="s">
        <v>2086</v>
      </c>
      <c r="E3313" s="3" t="str">
        <f>""</f>
        <v/>
      </c>
      <c r="F3313" s="2" t="s">
        <v>1323</v>
      </c>
      <c r="G3313" s="2" t="str">
        <f>CONCATENATE("TEB POSLOVNO SAVJETOVANJE D.O.O.,"," TRG ŽRTAVA FAŠIZMA 15/1,"," 10000 ZAGREB,"," OIB: 99944170669")</f>
        <v>TEB POSLOVNO SAVJETOVANJE D.O.O., TRG ŽRTAVA FAŠIZMA 15/1, 10000 ZAGREB, OIB: 99944170669</v>
      </c>
      <c r="H3313" s="4"/>
      <c r="I3313" s="1" t="s">
        <v>1687</v>
      </c>
      <c r="J3313" s="5">
        <v>43803</v>
      </c>
      <c r="K3313" s="6" t="str">
        <f>"1.415,93"</f>
        <v>1.415,93</v>
      </c>
      <c r="L3313" s="6" t="str">
        <f>"353,98"</f>
        <v>353,98</v>
      </c>
      <c r="M3313" s="6" t="str">
        <f>"1.769,91"</f>
        <v>1.769,91</v>
      </c>
      <c r="N3313" s="1" t="s">
        <v>117</v>
      </c>
      <c r="O3313" s="7"/>
      <c r="P3313" s="6" t="str">
        <f>""</f>
        <v/>
      </c>
      <c r="Q3313" s="7"/>
      <c r="R3313" s="1"/>
      <c r="S3313" s="1" t="str">
        <f>"GZ-UN-2018-539863"</f>
        <v>GZ-UN-2018-539863</v>
      </c>
      <c r="T3313" s="2" t="s">
        <v>60</v>
      </c>
    </row>
    <row r="3314" spans="1:20" ht="38.25" x14ac:dyDescent="0.25">
      <c r="A3314" s="1">
        <v>3310</v>
      </c>
      <c r="B3314" s="1" t="str">
        <f>"2018-2325"</f>
        <v>2018-2325</v>
      </c>
      <c r="C3314" s="2" t="s">
        <v>2087</v>
      </c>
      <c r="D3314" s="1" t="s">
        <v>2088</v>
      </c>
      <c r="E3314" s="3" t="str">
        <f>""</f>
        <v/>
      </c>
      <c r="F3314" s="2" t="s">
        <v>1323</v>
      </c>
      <c r="G3314" s="2" t="str">
        <f>CONCATENATE("ATIR D.O.O.,"," SUTINSKA VRELA bb,"," 10000 ZAGREB,"," OIB: 78047971448")</f>
        <v>ATIR D.O.O., SUTINSKA VRELA bb, 10000 ZAGREB, OIB: 78047971448</v>
      </c>
      <c r="H3314" s="4"/>
      <c r="I3314" s="1" t="s">
        <v>695</v>
      </c>
      <c r="J3314" s="5">
        <v>43852</v>
      </c>
      <c r="K3314" s="6" t="str">
        <f>"101.470,00"</f>
        <v>101.470,00</v>
      </c>
      <c r="L3314" s="6" t="str">
        <f>"25.367,50"</f>
        <v>25.367,50</v>
      </c>
      <c r="M3314" s="6" t="str">
        <f>"126.837,50"</f>
        <v>126.837,50</v>
      </c>
      <c r="N3314" s="5">
        <v>43696</v>
      </c>
      <c r="O3314" s="7"/>
      <c r="P3314" s="6" t="str">
        <f>"84.442,50"</f>
        <v>84.442,50</v>
      </c>
      <c r="Q3314" s="7"/>
      <c r="R3314" s="1"/>
      <c r="S3314" s="1" t="str">
        <f>"GZ-UN-2019-5542"</f>
        <v>GZ-UN-2019-5542</v>
      </c>
      <c r="T3314" s="2" t="s">
        <v>65</v>
      </c>
    </row>
    <row r="3315" spans="1:20" ht="25.5" x14ac:dyDescent="0.25">
      <c r="A3315" s="1">
        <v>3311</v>
      </c>
      <c r="B3315" s="1" t="str">
        <f>"2019-2450"</f>
        <v>2019-2450</v>
      </c>
      <c r="C3315" s="2" t="s">
        <v>2089</v>
      </c>
      <c r="D3315" s="1" t="s">
        <v>1860</v>
      </c>
      <c r="E3315" s="3" t="str">
        <f>""</f>
        <v/>
      </c>
      <c r="F3315" s="2" t="s">
        <v>1323</v>
      </c>
      <c r="G3315" s="2" t="str">
        <f>CONCATENATE("IDEA PROJEKT D.O.O.,"," FLANATIČKA 25,"," 521000 PULA,"," OIB: 0225710134")</f>
        <v>IDEA PROJEKT D.O.O., FLANATIČKA 25, 521000 PULA, OIB: 0225710134</v>
      </c>
      <c r="H3315" s="4"/>
      <c r="I3315" s="1" t="s">
        <v>293</v>
      </c>
      <c r="J3315" s="5">
        <v>43902</v>
      </c>
      <c r="K3315" s="6" t="str">
        <f>"479.917,45"</f>
        <v>479.917,45</v>
      </c>
      <c r="L3315" s="6" t="str">
        <f>"119.979,36"</f>
        <v>119.979,36</v>
      </c>
      <c r="M3315" s="6" t="str">
        <f>"599.896,81"</f>
        <v>599.896,81</v>
      </c>
      <c r="N3315" s="1" t="s">
        <v>117</v>
      </c>
      <c r="O3315" s="7"/>
      <c r="P3315" s="6" t="str">
        <f>""</f>
        <v/>
      </c>
      <c r="Q3315" s="7"/>
      <c r="R3315" s="1"/>
      <c r="S3315" s="1" t="str">
        <f>"GZ-UN-2019-20805"</f>
        <v>GZ-UN-2019-20805</v>
      </c>
      <c r="T3315" s="2" t="s">
        <v>33</v>
      </c>
    </row>
    <row r="3316" spans="1:20" ht="25.5" x14ac:dyDescent="0.25">
      <c r="A3316" s="1">
        <v>3312</v>
      </c>
      <c r="B3316" s="1" t="str">
        <f>"2019-2376"</f>
        <v>2019-2376</v>
      </c>
      <c r="C3316" s="2" t="s">
        <v>2090</v>
      </c>
      <c r="D3316" s="1" t="s">
        <v>119</v>
      </c>
      <c r="E3316" s="3" t="str">
        <f>""</f>
        <v/>
      </c>
      <c r="F3316" s="2" t="s">
        <v>1323</v>
      </c>
      <c r="G3316" s="2" t="str">
        <f>CONCATENATE("ELNA KABEL D.O.O.,"," SELSKA CESTA 217/1A,"," 10000 ZAGREB,"," OIB: 305405687")</f>
        <v>ELNA KABEL D.O.O., SELSKA CESTA 217/1A, 10000 ZAGREB, OIB: 305405687</v>
      </c>
      <c r="H3316" s="4"/>
      <c r="I3316" s="1" t="s">
        <v>293</v>
      </c>
      <c r="J3316" s="5">
        <v>43902</v>
      </c>
      <c r="K3316" s="6" t="str">
        <f>"469.660,00"</f>
        <v>469.660,00</v>
      </c>
      <c r="L3316" s="6" t="str">
        <f>"117.415,00"</f>
        <v>117.415,00</v>
      </c>
      <c r="M3316" s="6" t="str">
        <f>"587.075,00"</f>
        <v>587.075,00</v>
      </c>
      <c r="N3316" s="1" t="s">
        <v>117</v>
      </c>
      <c r="O3316" s="7"/>
      <c r="P3316" s="6" t="str">
        <f>""</f>
        <v/>
      </c>
      <c r="Q3316" s="7"/>
      <c r="R3316" s="1"/>
      <c r="S3316" s="1" t="str">
        <f>"GZ-UN-2019-20864"</f>
        <v>GZ-UN-2019-20864</v>
      </c>
      <c r="T3316" s="2" t="s">
        <v>33</v>
      </c>
    </row>
    <row r="3317" spans="1:20" ht="38.25" x14ac:dyDescent="0.25">
      <c r="A3317" s="1">
        <v>3313</v>
      </c>
      <c r="B3317" s="1" t="str">
        <f>"2019-461"</f>
        <v>2019-461</v>
      </c>
      <c r="C3317" s="2" t="s">
        <v>2050</v>
      </c>
      <c r="D3317" s="1" t="s">
        <v>651</v>
      </c>
      <c r="E3317" s="3" t="str">
        <f>""</f>
        <v/>
      </c>
      <c r="F3317" s="2" t="s">
        <v>1323</v>
      </c>
      <c r="G3317" s="2" t="str">
        <f>CONCATENATE("OMEGA SOFTWARE D.O.O.,"," KAMENARKA 37,"," 10010 ZAGREB-SLOBOŠTINA,"," OIB: 40102169932")</f>
        <v>OMEGA SOFTWARE D.O.O., KAMENARKA 37, 10010 ZAGREB-SLOBOŠTINA, OIB: 40102169932</v>
      </c>
      <c r="H3317" s="4"/>
      <c r="I3317" s="1" t="s">
        <v>423</v>
      </c>
      <c r="J3317" s="5">
        <v>43905</v>
      </c>
      <c r="K3317" s="6" t="str">
        <f>"198.000,00"</f>
        <v>198.000,00</v>
      </c>
      <c r="L3317" s="6" t="str">
        <f>"49.500,00"</f>
        <v>49.500,00</v>
      </c>
      <c r="M3317" s="6" t="str">
        <f>"247.500,00"</f>
        <v>247.500,00</v>
      </c>
      <c r="N3317" s="5">
        <v>43707</v>
      </c>
      <c r="O3317" s="7"/>
      <c r="P3317" s="6" t="str">
        <f>"75.000,00"</f>
        <v>75.000,00</v>
      </c>
      <c r="Q3317" s="7"/>
      <c r="R3317" s="1"/>
      <c r="S3317" s="1" t="str">
        <f>"GZ-UN-2019-22496"</f>
        <v>GZ-UN-2019-22496</v>
      </c>
      <c r="T3317" s="2" t="s">
        <v>60</v>
      </c>
    </row>
    <row r="3318" spans="1:20" ht="38.25" x14ac:dyDescent="0.25">
      <c r="A3318" s="1">
        <v>3314</v>
      </c>
      <c r="B3318" s="1" t="str">
        <f>"2019-1524"</f>
        <v>2019-1524</v>
      </c>
      <c r="C3318" s="2" t="s">
        <v>2046</v>
      </c>
      <c r="D3318" s="1" t="s">
        <v>819</v>
      </c>
      <c r="E3318" s="3" t="str">
        <f>""</f>
        <v/>
      </c>
      <c r="F3318" s="2" t="s">
        <v>1323</v>
      </c>
      <c r="G3318" s="2" t="str">
        <f>CONCATENATE("TEHMAR D.O.O.,"," STAJNIČKA 5,"," 10251 HRVATSKI LESKOVAC,"," OIB: 78055843019")</f>
        <v>TEHMAR D.O.O., STAJNIČKA 5, 10251 HRVATSKI LESKOVAC, OIB: 78055843019</v>
      </c>
      <c r="H3318" s="4"/>
      <c r="I3318" s="1" t="s">
        <v>277</v>
      </c>
      <c r="J3318" s="5">
        <v>43908</v>
      </c>
      <c r="K3318" s="6" t="str">
        <f>"67.436,00"</f>
        <v>67.436,00</v>
      </c>
      <c r="L3318" s="6" t="str">
        <f>"16.859,00"</f>
        <v>16.859,00</v>
      </c>
      <c r="M3318" s="6" t="str">
        <f>"84.295,00"</f>
        <v>84.295,00</v>
      </c>
      <c r="N3318" s="5">
        <v>43708</v>
      </c>
      <c r="O3318" s="7"/>
      <c r="P3318" s="6" t="str">
        <f>"41.207,50"</f>
        <v>41.207,50</v>
      </c>
      <c r="Q3318" s="7"/>
      <c r="R3318" s="1"/>
      <c r="S3318" s="1" t="str">
        <f>"GZ-UN-2019-23013"</f>
        <v>GZ-UN-2019-23013</v>
      </c>
      <c r="T3318" s="2" t="s">
        <v>65</v>
      </c>
    </row>
    <row r="3319" spans="1:20" ht="38.25" x14ac:dyDescent="0.25">
      <c r="A3319" s="1">
        <v>3315</v>
      </c>
      <c r="B3319" s="1" t="str">
        <f>"2019-1688"</f>
        <v>2019-1688</v>
      </c>
      <c r="C3319" s="2" t="s">
        <v>2091</v>
      </c>
      <c r="D3319" s="1" t="s">
        <v>603</v>
      </c>
      <c r="E3319" s="3" t="str">
        <f>""</f>
        <v/>
      </c>
      <c r="F3319" s="2" t="s">
        <v>1323</v>
      </c>
      <c r="G3319" s="2" t="str">
        <f>CONCATENATE("ELEKTROKEM D.O.O.,"," VUGROVEC,"," AUGUSTA ŠENOE 69,"," 10360 SESVETE,"," OIB: 38411868043")</f>
        <v>ELEKTROKEM D.O.O., VUGROVEC, AUGUSTA ŠENOE 69, 10360 SESVETE, OIB: 38411868043</v>
      </c>
      <c r="H3319" s="4"/>
      <c r="I3319" s="1" t="s">
        <v>566</v>
      </c>
      <c r="J3319" s="5">
        <v>43916</v>
      </c>
      <c r="K3319" s="6" t="str">
        <f>"6.870,00"</f>
        <v>6.870,00</v>
      </c>
      <c r="L3319" s="6" t="str">
        <f>"1.717,50"</f>
        <v>1.717,50</v>
      </c>
      <c r="M3319" s="6" t="str">
        <f>"8.587,50"</f>
        <v>8.587,50</v>
      </c>
      <c r="N3319" s="5">
        <v>43678</v>
      </c>
      <c r="O3319" s="7"/>
      <c r="P3319" s="6" t="str">
        <f>"2.300,00"</f>
        <v>2.300,00</v>
      </c>
      <c r="Q3319" s="7"/>
      <c r="R3319" s="1"/>
      <c r="S3319" s="1" t="str">
        <f>"GZ-UN-2019-25440"</f>
        <v>GZ-UN-2019-25440</v>
      </c>
      <c r="T3319" s="2" t="s">
        <v>65</v>
      </c>
    </row>
    <row r="3320" spans="1:20" ht="25.5" x14ac:dyDescent="0.25">
      <c r="A3320" s="1">
        <v>3316</v>
      </c>
      <c r="B3320" s="1" t="str">
        <f>"2019-1238"</f>
        <v>2019-1238</v>
      </c>
      <c r="C3320" s="2" t="s">
        <v>2092</v>
      </c>
      <c r="D3320" s="1" t="s">
        <v>2093</v>
      </c>
      <c r="E3320" s="3" t="str">
        <f>""</f>
        <v/>
      </c>
      <c r="F3320" s="2" t="s">
        <v>1323</v>
      </c>
      <c r="G3320" s="2" t="str">
        <f>CONCATENATE("ELEKTRONIČKI RAČUNI D.O.O.,"," ILICA 412A,"," 10000 ZAGREB,"," OIB: 42889250808")</f>
        <v>ELEKTRONIČKI RAČUNI D.O.O., ILICA 412A, 10000 ZAGREB, OIB: 42889250808</v>
      </c>
      <c r="H3320" s="4"/>
      <c r="I3320" s="1" t="s">
        <v>493</v>
      </c>
      <c r="J3320" s="5">
        <v>43925</v>
      </c>
      <c r="K3320" s="6" t="str">
        <f>"116.788,00"</f>
        <v>116.788,00</v>
      </c>
      <c r="L3320" s="6" t="str">
        <f>"29.197,00"</f>
        <v>29.197,00</v>
      </c>
      <c r="M3320" s="6" t="str">
        <f>"145.985,00"</f>
        <v>145.985,00</v>
      </c>
      <c r="N3320" s="5">
        <v>43677</v>
      </c>
      <c r="O3320" s="7"/>
      <c r="P3320" s="6" t="str">
        <f>"28.739,50"</f>
        <v>28.739,50</v>
      </c>
      <c r="Q3320" s="7"/>
      <c r="R3320" s="1"/>
      <c r="S3320" s="1" t="str">
        <f>"GZ-UN-2019-29317"</f>
        <v>GZ-UN-2019-29317</v>
      </c>
      <c r="T3320" s="2" t="s">
        <v>60</v>
      </c>
    </row>
    <row r="3321" spans="1:20" ht="38.25" x14ac:dyDescent="0.25">
      <c r="A3321" s="1">
        <v>3317</v>
      </c>
      <c r="B3321" s="1" t="str">
        <f>"2019-504"</f>
        <v>2019-504</v>
      </c>
      <c r="C3321" s="2" t="s">
        <v>2055</v>
      </c>
      <c r="D3321" s="1" t="s">
        <v>223</v>
      </c>
      <c r="E3321" s="3" t="str">
        <f>""</f>
        <v/>
      </c>
      <c r="F3321" s="2" t="s">
        <v>1323</v>
      </c>
      <c r="G3321" s="2" t="str">
        <f>CONCATENATE("CONSCIUS D.O.O.,"," KUTNJAČKI PUT 9,"," 10000 ZAGREB,"," OIB: 33925981016")</f>
        <v>CONSCIUS D.O.O., KUTNJAČKI PUT 9, 10000 ZAGREB, OIB: 33925981016</v>
      </c>
      <c r="H3321" s="4"/>
      <c r="I3321" s="1" t="s">
        <v>343</v>
      </c>
      <c r="J3321" s="5">
        <v>43931</v>
      </c>
      <c r="K3321" s="6" t="str">
        <f>"157.200,00"</f>
        <v>157.200,00</v>
      </c>
      <c r="L3321" s="6" t="str">
        <f>"39.300,00"</f>
        <v>39.300,00</v>
      </c>
      <c r="M3321" s="6" t="str">
        <f>"196.500,00"</f>
        <v>196.500,00</v>
      </c>
      <c r="N3321" s="5">
        <v>43707</v>
      </c>
      <c r="O3321" s="7"/>
      <c r="P3321" s="6" t="str">
        <f>"28.000,00"</f>
        <v>28.000,00</v>
      </c>
      <c r="Q3321" s="7"/>
      <c r="R3321" s="1"/>
      <c r="S3321" s="1" t="str">
        <f>"GZ-UN-2019-30806"</f>
        <v>GZ-UN-2019-30806</v>
      </c>
      <c r="T3321" s="2" t="s">
        <v>60</v>
      </c>
    </row>
    <row r="3322" spans="1:20" ht="38.25" x14ac:dyDescent="0.25">
      <c r="A3322" s="1">
        <v>3318</v>
      </c>
      <c r="B3322" s="1" t="str">
        <f>"2019-2448"</f>
        <v>2019-2448</v>
      </c>
      <c r="C3322" s="2" t="s">
        <v>2094</v>
      </c>
      <c r="D3322" s="1" t="s">
        <v>1325</v>
      </c>
      <c r="E3322" s="3" t="str">
        <f>""</f>
        <v/>
      </c>
      <c r="F3322" s="2" t="s">
        <v>1323</v>
      </c>
      <c r="G3322" s="2" t="str">
        <f>CONCATENATE("M.V.M. ZVON D.O.O.,"," TOPNIČKA 4,"," 10000 ZAGREB,"," OIB: 34963795933")</f>
        <v>M.V.M. ZVON D.O.O., TOPNIČKA 4, 10000 ZAGREB, OIB: 34963795933</v>
      </c>
      <c r="H3322" s="4"/>
      <c r="I3322" s="1" t="s">
        <v>318</v>
      </c>
      <c r="J3322" s="5">
        <v>43938</v>
      </c>
      <c r="K3322" s="6" t="str">
        <f>"8.450,00"</f>
        <v>8.450,00</v>
      </c>
      <c r="L3322" s="6" t="str">
        <f>"2.112,50"</f>
        <v>2.112,50</v>
      </c>
      <c r="M3322" s="6" t="str">
        <f>"10.562,50"</f>
        <v>10.562,50</v>
      </c>
      <c r="N3322" s="1" t="s">
        <v>117</v>
      </c>
      <c r="O3322" s="7"/>
      <c r="P3322" s="6" t="str">
        <f>""</f>
        <v/>
      </c>
      <c r="Q3322" s="7"/>
      <c r="R3322" s="1"/>
      <c r="S3322" s="1" t="str">
        <f>"GZ-UN-2019-32413"</f>
        <v>GZ-UN-2019-32413</v>
      </c>
      <c r="T3322" s="2" t="s">
        <v>33</v>
      </c>
    </row>
    <row r="3323" spans="1:20" ht="38.25" x14ac:dyDescent="0.25">
      <c r="A3323" s="1">
        <v>3319</v>
      </c>
      <c r="B3323" s="1" t="str">
        <f>"2019-183"</f>
        <v>2019-183</v>
      </c>
      <c r="C3323" s="2" t="s">
        <v>1945</v>
      </c>
      <c r="D3323" s="1" t="s">
        <v>1026</v>
      </c>
      <c r="E3323" s="3" t="str">
        <f>""</f>
        <v/>
      </c>
      <c r="F3323" s="2" t="s">
        <v>1323</v>
      </c>
      <c r="G3323" s="2" t="str">
        <f>CONCATENATE("SIGET DIZALA D.O.O.,"," OIB: 19841995263")</f>
        <v>SIGET DIZALA D.O.O., OIB: 19841995263</v>
      </c>
      <c r="H3323" s="4"/>
      <c r="I3323" s="1" t="s">
        <v>329</v>
      </c>
      <c r="J3323" s="5">
        <v>43939</v>
      </c>
      <c r="K3323" s="6" t="str">
        <f>"19.998,00"</f>
        <v>19.998,00</v>
      </c>
      <c r="L3323" s="6" t="str">
        <f>"4.999,50"</f>
        <v>4.999,50</v>
      </c>
      <c r="M3323" s="6" t="str">
        <f>"24.997,50"</f>
        <v>24.997,50</v>
      </c>
      <c r="N3323" s="5">
        <v>43677</v>
      </c>
      <c r="O3323" s="7"/>
      <c r="P3323" s="6" t="str">
        <f>"7.702,10"</f>
        <v>7.702,10</v>
      </c>
      <c r="Q3323" s="7"/>
      <c r="R3323" s="1"/>
      <c r="S3323" s="1" t="str">
        <f>"GZ-UN-2019-33356"</f>
        <v>GZ-UN-2019-33356</v>
      </c>
      <c r="T3323" s="2" t="s">
        <v>65</v>
      </c>
    </row>
    <row r="3324" spans="1:20" ht="38.25" x14ac:dyDescent="0.25">
      <c r="A3324" s="1">
        <v>3320</v>
      </c>
      <c r="B3324" s="1" t="str">
        <f>"2019-2447"</f>
        <v>2019-2447</v>
      </c>
      <c r="C3324" s="2" t="s">
        <v>2095</v>
      </c>
      <c r="D3324" s="1" t="s">
        <v>1325</v>
      </c>
      <c r="E3324" s="3" t="str">
        <f>""</f>
        <v/>
      </c>
      <c r="F3324" s="2" t="s">
        <v>1323</v>
      </c>
      <c r="G3324" s="2" t="str">
        <f>CONCATENATE("GIM D.O.O.,"," HERCEGOVAČKA 111,"," 10000 ZAGREB,"," OIB: 165495975")</f>
        <v>GIM D.O.O., HERCEGOVAČKA 111, 10000 ZAGREB, OIB: 165495975</v>
      </c>
      <c r="H3324" s="4"/>
      <c r="I3324" s="1" t="s">
        <v>332</v>
      </c>
      <c r="J3324" s="5">
        <v>43944</v>
      </c>
      <c r="K3324" s="6" t="str">
        <f>"16.000,00"</f>
        <v>16.000,00</v>
      </c>
      <c r="L3324" s="6" t="str">
        <f>"4.000,00"</f>
        <v>4.000,00</v>
      </c>
      <c r="M3324" s="6" t="str">
        <f>"20.000,00"</f>
        <v>20.000,00</v>
      </c>
      <c r="N3324" s="1" t="s">
        <v>117</v>
      </c>
      <c r="O3324" s="7"/>
      <c r="P3324" s="6" t="str">
        <f>""</f>
        <v/>
      </c>
      <c r="Q3324" s="7"/>
      <c r="R3324" s="1"/>
      <c r="S3324" s="1" t="str">
        <f>"GZ-UN-2019-33616"</f>
        <v>GZ-UN-2019-33616</v>
      </c>
      <c r="T3324" s="2" t="s">
        <v>33</v>
      </c>
    </row>
    <row r="3325" spans="1:20" ht="38.25" x14ac:dyDescent="0.25">
      <c r="A3325" s="1">
        <v>3321</v>
      </c>
      <c r="B3325" s="1" t="str">
        <f>"2019-727"</f>
        <v>2019-727</v>
      </c>
      <c r="C3325" s="2" t="s">
        <v>2063</v>
      </c>
      <c r="D3325" s="1" t="s">
        <v>239</v>
      </c>
      <c r="E3325" s="3" t="str">
        <f>""</f>
        <v/>
      </c>
      <c r="F3325" s="2" t="s">
        <v>1323</v>
      </c>
      <c r="G3325" s="2" t="str">
        <f>CONCATENATE("DRÄGER SAFETY D.O.O.,"," AVENIJA VEĆESLAVA HOLJEVCA 40,"," 10010 ZAGREB,"," OIB: 32874587842")</f>
        <v>DRÄGER SAFETY D.O.O., AVENIJA VEĆESLAVA HOLJEVCA 40, 10010 ZAGREB, OIB: 32874587842</v>
      </c>
      <c r="H3325" s="4"/>
      <c r="I3325" s="1" t="s">
        <v>464</v>
      </c>
      <c r="J3325" s="5">
        <v>43960</v>
      </c>
      <c r="K3325" s="6" t="str">
        <f>"40.151,35"</f>
        <v>40.151,35</v>
      </c>
      <c r="L3325" s="6" t="str">
        <f>"10.037,84"</f>
        <v>10.037,84</v>
      </c>
      <c r="M3325" s="6" t="str">
        <f>"50.189,19"</f>
        <v>50.189,19</v>
      </c>
      <c r="N3325" s="1" t="s">
        <v>117</v>
      </c>
      <c r="O3325" s="7"/>
      <c r="P3325" s="6" t="str">
        <f>""</f>
        <v/>
      </c>
      <c r="Q3325" s="7"/>
      <c r="R3325" s="1"/>
      <c r="S3325" s="1" t="str">
        <f>"GZ-UN-2019-38941"</f>
        <v>GZ-UN-2019-38941</v>
      </c>
      <c r="T3325" s="2" t="s">
        <v>29</v>
      </c>
    </row>
    <row r="3326" spans="1:20" ht="38.25" x14ac:dyDescent="0.25">
      <c r="A3326" s="1">
        <v>3322</v>
      </c>
      <c r="B3326" s="1" t="str">
        <f>"2019-2125"</f>
        <v>2019-2125</v>
      </c>
      <c r="C3326" s="2" t="s">
        <v>2084</v>
      </c>
      <c r="D3326" s="1" t="s">
        <v>972</v>
      </c>
      <c r="E3326" s="3" t="str">
        <f>""</f>
        <v/>
      </c>
      <c r="F3326" s="2" t="s">
        <v>1323</v>
      </c>
      <c r="G3326" s="2" t="str">
        <f>CONCATENATE("CEPELIN,"," VL. ANAMARIJA MATIĆ,"," VELIKOPOLJSKA 2A,"," 10 010 VELIKO POLJE,"," OIB: 2821461386")</f>
        <v>CEPELIN, VL. ANAMARIJA MATIĆ, VELIKOPOLJSKA 2A, 10 010 VELIKO POLJE, OIB: 2821461386</v>
      </c>
      <c r="H3326" s="4"/>
      <c r="I3326" s="1" t="s">
        <v>361</v>
      </c>
      <c r="J3326" s="5">
        <v>43973</v>
      </c>
      <c r="K3326" s="6" t="str">
        <f>"104.233,00"</f>
        <v>104.233,00</v>
      </c>
      <c r="L3326" s="6" t="str">
        <f>"26.058,25"</f>
        <v>26.058,25</v>
      </c>
      <c r="M3326" s="6" t="str">
        <f>"130.291,25"</f>
        <v>130.291,25</v>
      </c>
      <c r="N3326" s="1" t="s">
        <v>117</v>
      </c>
      <c r="O3326" s="7"/>
      <c r="P3326" s="6" t="str">
        <f>""</f>
        <v/>
      </c>
      <c r="Q3326" s="7"/>
      <c r="R3326" s="1"/>
      <c r="S3326" s="1" t="str">
        <f>"GZ-UN-2019-42477"</f>
        <v>GZ-UN-2019-42477</v>
      </c>
      <c r="T3326" s="2" t="s">
        <v>29</v>
      </c>
    </row>
    <row r="3327" spans="1:20" ht="38.25" x14ac:dyDescent="0.25">
      <c r="A3327" s="1">
        <v>3323</v>
      </c>
      <c r="B3327" s="1" t="str">
        <f>"2019-1117"</f>
        <v>2019-1117</v>
      </c>
      <c r="C3327" s="2" t="s">
        <v>2096</v>
      </c>
      <c r="D3327" s="1" t="s">
        <v>1853</v>
      </c>
      <c r="E3327" s="3" t="str">
        <f>""</f>
        <v/>
      </c>
      <c r="F3327" s="2" t="s">
        <v>1323</v>
      </c>
      <c r="G3327" s="2" t="str">
        <f>CONCATENATE("TEHMAR D.O.O.,"," STAJNIČKA 5,"," 10251 HRVATSKI LESKOVAC,"," OIB: 78055843019")</f>
        <v>TEHMAR D.O.O., STAJNIČKA 5, 10251 HRVATSKI LESKOVAC, OIB: 78055843019</v>
      </c>
      <c r="H3327" s="4"/>
      <c r="I3327" s="1" t="s">
        <v>361</v>
      </c>
      <c r="J3327" s="5">
        <v>43973</v>
      </c>
      <c r="K3327" s="6" t="str">
        <f>"96.864,00"</f>
        <v>96.864,00</v>
      </c>
      <c r="L3327" s="6" t="str">
        <f>"24.216,00"</f>
        <v>24.216,00</v>
      </c>
      <c r="M3327" s="6" t="str">
        <f>"121.080,00"</f>
        <v>121.080,00</v>
      </c>
      <c r="N3327" s="1" t="s">
        <v>117</v>
      </c>
      <c r="O3327" s="7"/>
      <c r="P3327" s="6" t="str">
        <f>""</f>
        <v/>
      </c>
      <c r="Q3327" s="7"/>
      <c r="R3327" s="1"/>
      <c r="S3327" s="1" t="str">
        <f>"GZ-UN-2019-42848"</f>
        <v>GZ-UN-2019-42848</v>
      </c>
      <c r="T3327" s="2" t="s">
        <v>65</v>
      </c>
    </row>
    <row r="3328" spans="1:20" ht="25.5" x14ac:dyDescent="0.25">
      <c r="A3328" s="1">
        <v>3324</v>
      </c>
      <c r="B3328" s="1" t="str">
        <f>"2019-2085"</f>
        <v>2019-2085</v>
      </c>
      <c r="C3328" s="2" t="s">
        <v>2097</v>
      </c>
      <c r="D3328" s="1" t="s">
        <v>2067</v>
      </c>
      <c r="E3328" s="3" t="str">
        <f>""</f>
        <v/>
      </c>
      <c r="F3328" s="2" t="s">
        <v>1323</v>
      </c>
      <c r="G3328" s="2" t="str">
        <f>CONCATENATE("CONTROLMATIK D.O.O.,"," PRIMORSKA 1,"," 42000 VARAŽDIN,"," OIB: 25020037517")</f>
        <v>CONTROLMATIK D.O.O., PRIMORSKA 1, 42000 VARAŽDIN, OIB: 25020037517</v>
      </c>
      <c r="H3328" s="4"/>
      <c r="I3328" s="1" t="s">
        <v>320</v>
      </c>
      <c r="J3328" s="5">
        <v>43985</v>
      </c>
      <c r="K3328" s="6" t="str">
        <f>"117.460,00"</f>
        <v>117.460,00</v>
      </c>
      <c r="L3328" s="6" t="str">
        <f>"29.365,00"</f>
        <v>29.365,00</v>
      </c>
      <c r="M3328" s="6" t="str">
        <f>"146.825,00"</f>
        <v>146.825,00</v>
      </c>
      <c r="N3328" s="1" t="s">
        <v>117</v>
      </c>
      <c r="O3328" s="7"/>
      <c r="P3328" s="6" t="str">
        <f>""</f>
        <v/>
      </c>
      <c r="Q3328" s="7"/>
      <c r="R3328" s="1"/>
      <c r="S3328" s="1" t="str">
        <f>"GZ-UN-2019-46947"</f>
        <v>GZ-UN-2019-46947</v>
      </c>
      <c r="T3328" s="2" t="s">
        <v>29</v>
      </c>
    </row>
    <row r="3329" spans="1:20" ht="38.25" x14ac:dyDescent="0.25">
      <c r="A3329" s="1">
        <v>3325</v>
      </c>
      <c r="B3329" s="1" t="str">
        <f>"2019-1118"</f>
        <v>2019-1118</v>
      </c>
      <c r="C3329" s="2" t="s">
        <v>2056</v>
      </c>
      <c r="D3329" s="1" t="s">
        <v>212</v>
      </c>
      <c r="E3329" s="3" t="str">
        <f>""</f>
        <v/>
      </c>
      <c r="F3329" s="2" t="s">
        <v>1323</v>
      </c>
      <c r="G3329" s="2" t="str">
        <f>CONCATENATE("AG SJAJ D.O.O.,"," FALLEROVO ŠETALIŠTE 22,"," 10000 ZAGREB,"," OIB: 04807307105")</f>
        <v>AG SJAJ D.O.O., FALLEROVO ŠETALIŠTE 22, 10000 ZAGREB, OIB: 04807307105</v>
      </c>
      <c r="H3329" s="4"/>
      <c r="I3329" s="1" t="s">
        <v>162</v>
      </c>
      <c r="J3329" s="5">
        <v>43830</v>
      </c>
      <c r="K3329" s="6" t="str">
        <f>"66.185,61"</f>
        <v>66.185,61</v>
      </c>
      <c r="L3329" s="6" t="str">
        <f>"16.546,40"</f>
        <v>16.546,40</v>
      </c>
      <c r="M3329" s="6" t="str">
        <f>"82.732,01"</f>
        <v>82.732,01</v>
      </c>
      <c r="N3329" s="5">
        <v>43708</v>
      </c>
      <c r="O3329" s="7"/>
      <c r="P3329" s="6" t="str">
        <f>"27.577,34"</f>
        <v>27.577,34</v>
      </c>
      <c r="Q3329" s="7"/>
      <c r="R3329" s="1"/>
      <c r="S3329" s="1" t="str">
        <f>"GZ-UN-2019-47718"</f>
        <v>GZ-UN-2019-47718</v>
      </c>
      <c r="T3329" s="2" t="s">
        <v>60</v>
      </c>
    </row>
    <row r="3330" spans="1:20" ht="25.5" x14ac:dyDescent="0.25">
      <c r="A3330" s="1">
        <v>3326</v>
      </c>
      <c r="B3330" s="1" t="str">
        <f>"2019-2449"</f>
        <v>2019-2449</v>
      </c>
      <c r="C3330" s="2" t="s">
        <v>2098</v>
      </c>
      <c r="D3330" s="1" t="s">
        <v>2099</v>
      </c>
      <c r="E3330" s="3" t="str">
        <f>""</f>
        <v/>
      </c>
      <c r="F3330" s="2" t="s">
        <v>1323</v>
      </c>
      <c r="G3330" s="2" t="str">
        <f>CONCATENATE("DOMIN-PLIN D.O.O.,"," G. PODOTOČJE 57,"," 10410 VELIKA GORICA,"," OIB: 90332893585")</f>
        <v>DOMIN-PLIN D.O.O., G. PODOTOČJE 57, 10410 VELIKA GORICA, OIB: 90332893585</v>
      </c>
      <c r="H3330" s="4"/>
      <c r="I3330" s="1" t="s">
        <v>579</v>
      </c>
      <c r="J3330" s="5">
        <v>43995</v>
      </c>
      <c r="K3330" s="6" t="str">
        <f>"116.000,00"</f>
        <v>116.000,00</v>
      </c>
      <c r="L3330" s="6" t="str">
        <f>"29.000,00"</f>
        <v>29.000,00</v>
      </c>
      <c r="M3330" s="6" t="str">
        <f>"145.000,00"</f>
        <v>145.000,00</v>
      </c>
      <c r="N3330" s="1" t="s">
        <v>117</v>
      </c>
      <c r="O3330" s="7"/>
      <c r="P3330" s="6" t="str">
        <f>""</f>
        <v/>
      </c>
      <c r="Q3330" s="7"/>
      <c r="R3330" s="1"/>
      <c r="S3330" s="1" t="str">
        <f>"GZ-UN-2019-50719"</f>
        <v>GZ-UN-2019-50719</v>
      </c>
      <c r="T3330" s="2" t="s">
        <v>660</v>
      </c>
    </row>
    <row r="3331" spans="1:20" ht="25.5" x14ac:dyDescent="0.25">
      <c r="A3331" s="1">
        <v>3327</v>
      </c>
      <c r="B3331" s="1" t="str">
        <f>"2019-2364"</f>
        <v>2019-2364</v>
      </c>
      <c r="C3331" s="2" t="s">
        <v>2100</v>
      </c>
      <c r="D3331" s="1" t="s">
        <v>582</v>
      </c>
      <c r="E3331" s="3" t="str">
        <f>""</f>
        <v/>
      </c>
      <c r="F3331" s="2" t="s">
        <v>1323</v>
      </c>
      <c r="G3331" s="2" t="str">
        <f>CONCATENATE("BLUEMONT D.O.O.,"," VINCEKOV BREG 20,"," 10000 ZAGREB,"," OIB: 54895392358")</f>
        <v>BLUEMONT D.O.O., VINCEKOV BREG 20, 10000 ZAGREB, OIB: 54895392358</v>
      </c>
      <c r="H3331" s="4"/>
      <c r="I3331" s="1" t="s">
        <v>269</v>
      </c>
      <c r="J3331" s="5">
        <v>43999</v>
      </c>
      <c r="K3331" s="6" t="str">
        <f>"12.220,00"</f>
        <v>12.220,00</v>
      </c>
      <c r="L3331" s="6" t="str">
        <f>"3.055,00"</f>
        <v>3.055,00</v>
      </c>
      <c r="M3331" s="6" t="str">
        <f>"15.275,00"</f>
        <v>15.275,00</v>
      </c>
      <c r="N3331" s="1" t="s">
        <v>117</v>
      </c>
      <c r="O3331" s="7"/>
      <c r="P3331" s="6" t="str">
        <f>""</f>
        <v/>
      </c>
      <c r="Q3331" s="7"/>
      <c r="R3331" s="1"/>
      <c r="S3331" s="1" t="str">
        <f>"GZ-UN-2019-50912"</f>
        <v>GZ-UN-2019-50912</v>
      </c>
      <c r="T3331" s="2" t="s">
        <v>60</v>
      </c>
    </row>
    <row r="3332" spans="1:20" ht="25.5" x14ac:dyDescent="0.25">
      <c r="A3332" s="1">
        <v>3328</v>
      </c>
      <c r="B3332" s="1" t="str">
        <f>"2017-1397"</f>
        <v>2017-1397</v>
      </c>
      <c r="C3332" s="2" t="s">
        <v>2101</v>
      </c>
      <c r="D3332" s="1" t="s">
        <v>2102</v>
      </c>
      <c r="E3332" s="3" t="str">
        <f>""</f>
        <v/>
      </c>
      <c r="F3332" s="2" t="s">
        <v>1323</v>
      </c>
      <c r="G3332" s="2" t="str">
        <f>CONCATENATE("TERRA AGRO D.O.O.,"," ŠIROKI PUT 121,"," 32000 VUKOVAR,"," OIB: 26680443552")</f>
        <v>TERRA AGRO D.O.O., ŠIROKI PUT 121, 32000 VUKOVAR, OIB: 26680443552</v>
      </c>
      <c r="H3332" s="4"/>
      <c r="I3332" s="1" t="s">
        <v>2103</v>
      </c>
      <c r="J3332" s="5">
        <v>43560</v>
      </c>
      <c r="K3332" s="6" t="str">
        <f>"193.600,00"</f>
        <v>193.600,00</v>
      </c>
      <c r="L3332" s="6" t="str">
        <f>"48.400,00"</f>
        <v>48.400,00</v>
      </c>
      <c r="M3332" s="6" t="str">
        <f>"242.000,00"</f>
        <v>242.000,00</v>
      </c>
      <c r="N3332" s="5">
        <v>43513</v>
      </c>
      <c r="O3332" s="7"/>
      <c r="P3332" s="6" t="str">
        <f>"79.305,00"</f>
        <v>79.305,00</v>
      </c>
      <c r="Q3332" s="7"/>
      <c r="R3332" s="1"/>
      <c r="S3332" s="1" t="str">
        <f>"J-UN-2017-4157"</f>
        <v>J-UN-2017-4157</v>
      </c>
      <c r="T3332" s="2" t="s">
        <v>33</v>
      </c>
    </row>
    <row r="3333" spans="1:20" ht="38.25" x14ac:dyDescent="0.25">
      <c r="A3333" s="1">
        <v>3329</v>
      </c>
      <c r="B3333" s="1" t="str">
        <f>"2018-2755"</f>
        <v>2018-2755</v>
      </c>
      <c r="C3333" s="2" t="s">
        <v>2006</v>
      </c>
      <c r="D3333" s="1" t="s">
        <v>2007</v>
      </c>
      <c r="E3333" s="3" t="str">
        <f>""</f>
        <v/>
      </c>
      <c r="F3333" s="2" t="s">
        <v>1323</v>
      </c>
      <c r="G3333" s="2" t="str">
        <f>CONCATENATE("ČEVIZOVIĆ IVAN J.T.D.,"," ULICA LJUDEVITA POSAVSKOG 36/B,"," 10 000 ZAGREB,"," OIB: 31134973534")</f>
        <v>ČEVIZOVIĆ IVAN J.T.D., ULICA LJUDEVITA POSAVSKOG 36/B, 10 000 ZAGREB, OIB: 31134973534</v>
      </c>
      <c r="H3333" s="4"/>
      <c r="I3333" s="1" t="s">
        <v>149</v>
      </c>
      <c r="J3333" s="5">
        <v>43524</v>
      </c>
      <c r="K3333" s="6" t="str">
        <f>"50.000,00"</f>
        <v>50.000,00</v>
      </c>
      <c r="L3333" s="6" t="str">
        <f>"12.500,00"</f>
        <v>12.500,00</v>
      </c>
      <c r="M3333" s="6" t="str">
        <f>"62.500,00"</f>
        <v>62.500,00</v>
      </c>
      <c r="N3333" s="5">
        <v>43553</v>
      </c>
      <c r="O3333" s="7"/>
      <c r="P3333" s="6" t="str">
        <f>"59.375,00"</f>
        <v>59.375,00</v>
      </c>
      <c r="Q3333" s="7"/>
      <c r="R3333" s="1"/>
      <c r="S3333" s="1" t="str">
        <f>"J-UN-2018-54"</f>
        <v>J-UN-2018-54</v>
      </c>
      <c r="T3333" s="2" t="s">
        <v>33</v>
      </c>
    </row>
    <row r="3334" spans="1:20" ht="25.5" x14ac:dyDescent="0.25">
      <c r="A3334" s="1">
        <v>3330</v>
      </c>
      <c r="B3334" s="1" t="str">
        <f>"2018-1910"</f>
        <v>2018-1910</v>
      </c>
      <c r="C3334" s="2" t="s">
        <v>2104</v>
      </c>
      <c r="D3334" s="1" t="s">
        <v>223</v>
      </c>
      <c r="E3334" s="3" t="str">
        <f>""</f>
        <v/>
      </c>
      <c r="F3334" s="2" t="s">
        <v>1323</v>
      </c>
      <c r="G3334" s="2" t="str">
        <f>CONCATENATE("INFOKOM D.O.O,"," SAVSKA 129,"," 10000 ZAGREB,"," OIB: 68111664044")</f>
        <v>INFOKOM D.O.O, SAVSKA 129, 10000 ZAGREB, OIB: 68111664044</v>
      </c>
      <c r="H3334" s="4"/>
      <c r="I3334" s="1" t="s">
        <v>1564</v>
      </c>
      <c r="J3334" s="5">
        <v>43609</v>
      </c>
      <c r="K3334" s="6" t="str">
        <f>"198.400,00"</f>
        <v>198.400,00</v>
      </c>
      <c r="L3334" s="6" t="str">
        <f>"49.600,00"</f>
        <v>49.600,00</v>
      </c>
      <c r="M3334" s="6" t="str">
        <f>"248.000,00"</f>
        <v>248.000,00</v>
      </c>
      <c r="N3334" s="5">
        <v>43646</v>
      </c>
      <c r="O3334" s="7"/>
      <c r="P3334" s="6" t="str">
        <f>"242.862,50"</f>
        <v>242.862,50</v>
      </c>
      <c r="Q3334" s="7"/>
      <c r="R3334" s="1"/>
      <c r="S3334" s="1" t="str">
        <f>"J-UN-2018-296"</f>
        <v>J-UN-2018-296</v>
      </c>
      <c r="T3334" s="2" t="s">
        <v>33</v>
      </c>
    </row>
    <row r="3335" spans="1:20" ht="25.5" x14ac:dyDescent="0.25">
      <c r="A3335" s="1">
        <v>3331</v>
      </c>
      <c r="B3335" s="1" t="str">
        <f>"2018-46"</f>
        <v>2018-46</v>
      </c>
      <c r="C3335" s="2" t="s">
        <v>2105</v>
      </c>
      <c r="D3335" s="1" t="s">
        <v>188</v>
      </c>
      <c r="E3335" s="3" t="str">
        <f>""</f>
        <v/>
      </c>
      <c r="F3335" s="2" t="s">
        <v>1323</v>
      </c>
      <c r="G3335" s="2" t="str">
        <f>CONCATENATE("TPZ D.O.O.,"," NOVOSELSKA 25,"," 10000 ZAGREB,"," OIB: 68119083236")</f>
        <v>TPZ D.O.O., NOVOSELSKA 25, 10000 ZAGREB, OIB: 68119083236</v>
      </c>
      <c r="H3335" s="4"/>
      <c r="I3335" s="1" t="s">
        <v>2106</v>
      </c>
      <c r="J3335" s="5">
        <v>43613</v>
      </c>
      <c r="K3335" s="6" t="str">
        <f>"69.600,00"</f>
        <v>69.600,00</v>
      </c>
      <c r="L3335" s="6" t="str">
        <f>"17.400,00"</f>
        <v>17.400,00</v>
      </c>
      <c r="M3335" s="6" t="str">
        <f>"87.000,00"</f>
        <v>87.000,00</v>
      </c>
      <c r="N3335" s="5">
        <v>43616</v>
      </c>
      <c r="O3335" s="7"/>
      <c r="P3335" s="6" t="str">
        <f>"87.000,00"</f>
        <v>87.000,00</v>
      </c>
      <c r="Q3335" s="7"/>
      <c r="R3335" s="1"/>
      <c r="S3335" s="1" t="str">
        <f>"J-UN-2018-317"</f>
        <v>J-UN-2018-317</v>
      </c>
      <c r="T3335" s="2" t="s">
        <v>33</v>
      </c>
    </row>
    <row r="3336" spans="1:20" ht="38.25" x14ac:dyDescent="0.25">
      <c r="A3336" s="1">
        <v>3332</v>
      </c>
      <c r="B3336" s="1" t="str">
        <f>"2018-1968"</f>
        <v>2018-1968</v>
      </c>
      <c r="C3336" s="2" t="s">
        <v>2107</v>
      </c>
      <c r="D3336" s="1" t="s">
        <v>2108</v>
      </c>
      <c r="E3336" s="3" t="str">
        <f>""</f>
        <v/>
      </c>
      <c r="F3336" s="2" t="s">
        <v>1323</v>
      </c>
      <c r="G3336" s="2" t="str">
        <f>CONCATENATE("VETERINARSKA STANICA SESVETE D.O.O.,"," JELKOVEČKA 2,"," 10360 SESVETE,"," OIB: 85969503819")</f>
        <v>VETERINARSKA STANICA SESVETE D.O.O., JELKOVEČKA 2, 10360 SESVETE, OIB: 85969503819</v>
      </c>
      <c r="H3336" s="4"/>
      <c r="I3336" s="1" t="s">
        <v>2057</v>
      </c>
      <c r="J3336" s="5">
        <v>43585</v>
      </c>
      <c r="K3336" s="6" t="str">
        <f>"95.580,00"</f>
        <v>95.580,00</v>
      </c>
      <c r="L3336" s="6" t="str">
        <f>"23.895,00"</f>
        <v>23.895,00</v>
      </c>
      <c r="M3336" s="6" t="str">
        <f>"119.475,00"</f>
        <v>119.475,00</v>
      </c>
      <c r="N3336" s="5">
        <v>43585</v>
      </c>
      <c r="O3336" s="7"/>
      <c r="P3336" s="6" t="str">
        <f>"119.475,00"</f>
        <v>119.475,00</v>
      </c>
      <c r="Q3336" s="7"/>
      <c r="R3336" s="1"/>
      <c r="S3336" s="1" t="str">
        <f>"J-UN-2018-578"</f>
        <v>J-UN-2018-578</v>
      </c>
      <c r="T3336" s="2" t="s">
        <v>33</v>
      </c>
    </row>
    <row r="3337" spans="1:20" ht="38.25" x14ac:dyDescent="0.25">
      <c r="A3337" s="1">
        <v>3333</v>
      </c>
      <c r="B3337" s="1" t="str">
        <f>"2018-2062"</f>
        <v>2018-2062</v>
      </c>
      <c r="C3337" s="2" t="s">
        <v>2109</v>
      </c>
      <c r="D3337" s="1" t="s">
        <v>2110</v>
      </c>
      <c r="E3337" s="3" t="str">
        <f>""</f>
        <v/>
      </c>
      <c r="F3337" s="2" t="s">
        <v>1323</v>
      </c>
      <c r="G3337" s="2" t="str">
        <f>CONCATENATE("FUCHS MAZIVA D.O.O.,"," DOMASLOVEC,"," I KRMICA 8,"," 10430 SAMOBOR,"," OIB: 99694525219")</f>
        <v>FUCHS MAZIVA D.O.O., DOMASLOVEC, I KRMICA 8, 10430 SAMOBOR, OIB: 99694525219</v>
      </c>
      <c r="H3337" s="4"/>
      <c r="I3337" s="1" t="s">
        <v>601</v>
      </c>
      <c r="J3337" s="5">
        <v>43646</v>
      </c>
      <c r="K3337" s="6" t="str">
        <f>"184.500,00"</f>
        <v>184.500,00</v>
      </c>
      <c r="L3337" s="6" t="str">
        <f>"46.125,00"</f>
        <v>46.125,00</v>
      </c>
      <c r="M3337" s="6" t="str">
        <f>"230.625,00"</f>
        <v>230.625,00</v>
      </c>
      <c r="N3337" s="5">
        <v>43677</v>
      </c>
      <c r="O3337" s="7"/>
      <c r="P3337" s="6" t="str">
        <f>"230.625,00"</f>
        <v>230.625,00</v>
      </c>
      <c r="Q3337" s="7"/>
      <c r="R3337" s="1"/>
      <c r="S3337" s="1" t="str">
        <f>"J-UN-2018-1197"</f>
        <v>J-UN-2018-1197</v>
      </c>
      <c r="T3337" s="2" t="s">
        <v>33</v>
      </c>
    </row>
    <row r="3338" spans="1:20" ht="25.5" x14ac:dyDescent="0.25">
      <c r="A3338" s="1">
        <v>3334</v>
      </c>
      <c r="B3338" s="1" t="str">
        <f>"2018-772"</f>
        <v>2018-772</v>
      </c>
      <c r="C3338" s="2" t="s">
        <v>2111</v>
      </c>
      <c r="D3338" s="1" t="s">
        <v>2112</v>
      </c>
      <c r="E3338" s="3" t="str">
        <f>""</f>
        <v/>
      </c>
      <c r="F3338" s="2" t="s">
        <v>1323</v>
      </c>
      <c r="G3338" s="2" t="str">
        <f>CONCATENATE("TRIGLAV OSIGURANJE D. D.,"," OIB: 29743547503")</f>
        <v>TRIGLAV OSIGURANJE D. D., OIB: 29743547503</v>
      </c>
      <c r="H3338" s="4"/>
      <c r="I3338" s="1" t="s">
        <v>1964</v>
      </c>
      <c r="J3338" s="5">
        <v>43684</v>
      </c>
      <c r="K3338" s="6" t="str">
        <f>"176.064,16"</f>
        <v>176.064,16</v>
      </c>
      <c r="L3338" s="6" t="str">
        <f>"44.016,04"</f>
        <v>44.016,04</v>
      </c>
      <c r="M3338" s="6" t="str">
        <f>"220.080,20"</f>
        <v>220.080,20</v>
      </c>
      <c r="N3338" s="1" t="s">
        <v>117</v>
      </c>
      <c r="O3338" s="7"/>
      <c r="P3338" s="6" t="str">
        <f>""</f>
        <v/>
      </c>
      <c r="Q3338" s="7"/>
      <c r="R3338" s="1"/>
      <c r="S3338" s="1" t="str">
        <f>"J-UN-2018-1249"</f>
        <v>J-UN-2018-1249</v>
      </c>
      <c r="T3338" s="2" t="s">
        <v>33</v>
      </c>
    </row>
    <row r="3339" spans="1:20" ht="25.5" x14ac:dyDescent="0.25">
      <c r="A3339" s="1">
        <v>3335</v>
      </c>
      <c r="B3339" s="1" t="str">
        <f>"2018-87"</f>
        <v>2018-87</v>
      </c>
      <c r="C3339" s="2" t="s">
        <v>2113</v>
      </c>
      <c r="D3339" s="1" t="s">
        <v>2114</v>
      </c>
      <c r="E3339" s="3" t="str">
        <f>""</f>
        <v/>
      </c>
      <c r="F3339" s="2" t="s">
        <v>1323</v>
      </c>
      <c r="G3339" s="2" t="str">
        <f>CONCATENATE("MEDIA VAL D.O.O.,"," BUDMANIJEVA 5/2,"," 10000 ZAGREB,"," OIB: 81877196963")</f>
        <v>MEDIA VAL D.O.O., BUDMANIJEVA 5/2, 10000 ZAGREB, OIB: 81877196963</v>
      </c>
      <c r="H3339" s="4"/>
      <c r="I3339" s="1" t="s">
        <v>39</v>
      </c>
      <c r="J3339" s="5">
        <v>43466</v>
      </c>
      <c r="K3339" s="6" t="str">
        <f>"168.930,00"</f>
        <v>168.930,00</v>
      </c>
      <c r="L3339" s="6" t="str">
        <f>"42.232,50"</f>
        <v>42.232,50</v>
      </c>
      <c r="M3339" s="6" t="str">
        <f>"211.162,50"</f>
        <v>211.162,50</v>
      </c>
      <c r="N3339" s="5">
        <v>43467</v>
      </c>
      <c r="O3339" s="7"/>
      <c r="P3339" s="6" t="str">
        <f>"211.162,50"</f>
        <v>211.162,50</v>
      </c>
      <c r="Q3339" s="7"/>
      <c r="R3339" s="1"/>
      <c r="S3339" s="1" t="str">
        <f>"J-UN-2018-1522"</f>
        <v>J-UN-2018-1522</v>
      </c>
      <c r="T3339" s="2" t="s">
        <v>33</v>
      </c>
    </row>
    <row r="3340" spans="1:20" ht="51" x14ac:dyDescent="0.25">
      <c r="A3340" s="1">
        <v>3336</v>
      </c>
      <c r="B3340" s="1" t="str">
        <f>"2018-769"</f>
        <v>2018-769</v>
      </c>
      <c r="C3340" s="2" t="s">
        <v>2115</v>
      </c>
      <c r="D3340" s="1" t="s">
        <v>603</v>
      </c>
      <c r="E3340" s="3" t="str">
        <f>""</f>
        <v/>
      </c>
      <c r="F3340" s="2" t="s">
        <v>1323</v>
      </c>
      <c r="G3340" s="2" t="str">
        <f>CONCATENATE("EUROKOD PISAČIĆ D.O.O.,"," RUDEŠKA CESTA 16,"," 10000 ZAGREB,"," OIB: 8329104842")</f>
        <v>EUROKOD PISAČIĆ D.O.O., RUDEŠKA CESTA 16, 10000 ZAGREB, OIB: 8329104842</v>
      </c>
      <c r="H3340" s="4"/>
      <c r="I3340" s="1" t="s">
        <v>659</v>
      </c>
      <c r="J3340" s="5">
        <v>43708</v>
      </c>
      <c r="K3340" s="6" t="str">
        <f>"46.200,00"</f>
        <v>46.200,00</v>
      </c>
      <c r="L3340" s="6" t="str">
        <f>"11.550,00"</f>
        <v>11.550,00</v>
      </c>
      <c r="M3340" s="6" t="str">
        <f>"57.750,00"</f>
        <v>57.750,00</v>
      </c>
      <c r="N3340" s="5">
        <v>43677</v>
      </c>
      <c r="O3340" s="7"/>
      <c r="P3340" s="6" t="str">
        <f>"52.937,50"</f>
        <v>52.937,50</v>
      </c>
      <c r="Q3340" s="7"/>
      <c r="R3340" s="1"/>
      <c r="S3340" s="1" t="str">
        <f>"J-UN-2018-1666"</f>
        <v>J-UN-2018-1666</v>
      </c>
      <c r="T3340" s="2" t="s">
        <v>33</v>
      </c>
    </row>
    <row r="3341" spans="1:20" ht="38.25" x14ac:dyDescent="0.25">
      <c r="A3341" s="1">
        <v>3337</v>
      </c>
      <c r="B3341" s="1" t="str">
        <f>"2018-1922"</f>
        <v>2018-1922</v>
      </c>
      <c r="C3341" s="2" t="s">
        <v>2116</v>
      </c>
      <c r="D3341" s="1" t="s">
        <v>2117</v>
      </c>
      <c r="E3341" s="3" t="str">
        <f>""</f>
        <v/>
      </c>
      <c r="F3341" s="2" t="s">
        <v>1323</v>
      </c>
      <c r="G3341" s="2" t="str">
        <f>CONCATENATE("LEONARDO MEDIA D.O.O.,"," GJURE SZABA 4/2,"," 10000 ZAGREB,"," OIB: 90240160025")</f>
        <v>LEONARDO MEDIA D.O.O., GJURE SZABA 4/2, 10000 ZAGREB, OIB: 90240160025</v>
      </c>
      <c r="H3341" s="4"/>
      <c r="I3341" s="1" t="s">
        <v>1151</v>
      </c>
      <c r="J3341" s="5">
        <v>43555</v>
      </c>
      <c r="K3341" s="6" t="str">
        <f>"75.978,00"</f>
        <v>75.978,00</v>
      </c>
      <c r="L3341" s="6" t="str">
        <f>"18.994,50"</f>
        <v>18.994,50</v>
      </c>
      <c r="M3341" s="6" t="str">
        <f>"94.972,50"</f>
        <v>94.972,50</v>
      </c>
      <c r="N3341" s="1" t="s">
        <v>117</v>
      </c>
      <c r="O3341" s="7"/>
      <c r="P3341" s="6" t="str">
        <f>""</f>
        <v/>
      </c>
      <c r="Q3341" s="7"/>
      <c r="R3341" s="1"/>
      <c r="S3341" s="1" t="str">
        <f>"J-UN-2018-2233"</f>
        <v>J-UN-2018-2233</v>
      </c>
      <c r="T3341" s="2" t="s">
        <v>33</v>
      </c>
    </row>
    <row r="3342" spans="1:20" ht="25.5" x14ac:dyDescent="0.25">
      <c r="A3342" s="1">
        <v>3338</v>
      </c>
      <c r="B3342" s="1" t="str">
        <f>"2018-2168"</f>
        <v>2018-2168</v>
      </c>
      <c r="C3342" s="2" t="s">
        <v>2118</v>
      </c>
      <c r="D3342" s="1" t="s">
        <v>152</v>
      </c>
      <c r="E3342" s="3" t="str">
        <f>""</f>
        <v/>
      </c>
      <c r="F3342" s="2" t="s">
        <v>1323</v>
      </c>
      <c r="G3342" s="2" t="str">
        <f>CONCATENATE("VIBROTEH D.O.O.,"," PLEŠKA ULICA 7,"," 10410 VELIKA GORICA,"," OIB: 6099326029")</f>
        <v>VIBROTEH D.O.O., PLEŠKA ULICA 7, 10410 VELIKA GORICA, OIB: 6099326029</v>
      </c>
      <c r="H3342" s="4"/>
      <c r="I3342" s="1" t="s">
        <v>319</v>
      </c>
      <c r="J3342" s="5">
        <v>43830</v>
      </c>
      <c r="K3342" s="6" t="str">
        <f>"16.385,70"</f>
        <v>16.385,70</v>
      </c>
      <c r="L3342" s="6" t="str">
        <f>"4.096,43"</f>
        <v>4.096,43</v>
      </c>
      <c r="M3342" s="6" t="str">
        <f>"20.482,13"</f>
        <v>20.482,13</v>
      </c>
      <c r="N3342" s="5">
        <v>43470</v>
      </c>
      <c r="O3342" s="7"/>
      <c r="P3342" s="6" t="str">
        <f>"20.482,12"</f>
        <v>20.482,12</v>
      </c>
      <c r="Q3342" s="7"/>
      <c r="R3342" s="1"/>
      <c r="S3342" s="1" t="str">
        <f>"J-UN-2018-2594"</f>
        <v>J-UN-2018-2594</v>
      </c>
      <c r="T3342" s="2" t="s">
        <v>33</v>
      </c>
    </row>
    <row r="3343" spans="1:20" ht="38.25" x14ac:dyDescent="0.25">
      <c r="A3343" s="1">
        <v>3339</v>
      </c>
      <c r="B3343" s="1" t="str">
        <f>"2018-2285"</f>
        <v>2018-2285</v>
      </c>
      <c r="C3343" s="2" t="s">
        <v>2119</v>
      </c>
      <c r="D3343" s="1" t="s">
        <v>2120</v>
      </c>
      <c r="E3343" s="3" t="str">
        <f>""</f>
        <v/>
      </c>
      <c r="F3343" s="2" t="s">
        <v>1323</v>
      </c>
      <c r="G3343" s="2" t="str">
        <f>CONCATENATE("SMIT-COMMERCE D.O.O.,"," GORNJOSTUPNIČKA 9B,"," 10255 GORNJI STUPNIK,"," OIB: 9524348214")</f>
        <v>SMIT-COMMERCE D.O.O., GORNJOSTUPNIČKA 9B, 10255 GORNJI STUPNIK, OIB: 9524348214</v>
      </c>
      <c r="H3343" s="4"/>
      <c r="I3343" s="1" t="s">
        <v>261</v>
      </c>
      <c r="J3343" s="5">
        <v>43525</v>
      </c>
      <c r="K3343" s="6" t="str">
        <f>"3.328,00"</f>
        <v>3.328,00</v>
      </c>
      <c r="L3343" s="6" t="str">
        <f>"832,00"</f>
        <v>832,00</v>
      </c>
      <c r="M3343" s="6" t="str">
        <f>"4.160,00"</f>
        <v>4.160,00</v>
      </c>
      <c r="N3343" s="5">
        <v>43579</v>
      </c>
      <c r="O3343" s="7"/>
      <c r="P3343" s="6" t="str">
        <f>"4.160,00"</f>
        <v>4.160,00</v>
      </c>
      <c r="Q3343" s="7"/>
      <c r="R3343" s="1"/>
      <c r="S3343" s="1" t="str">
        <f>"J-UN-2018-2721"</f>
        <v>J-UN-2018-2721</v>
      </c>
      <c r="T3343" s="2" t="s">
        <v>33</v>
      </c>
    </row>
    <row r="3344" spans="1:20" ht="38.25" x14ac:dyDescent="0.25">
      <c r="A3344" s="1">
        <v>3340</v>
      </c>
      <c r="B3344" s="1" t="str">
        <f>"2018-1994"</f>
        <v>2018-1994</v>
      </c>
      <c r="C3344" s="2" t="s">
        <v>2121</v>
      </c>
      <c r="D3344" s="1" t="s">
        <v>727</v>
      </c>
      <c r="E3344" s="3" t="str">
        <f>""</f>
        <v/>
      </c>
      <c r="F3344" s="2" t="s">
        <v>1323</v>
      </c>
      <c r="G3344" s="2" t="str">
        <f>CONCATENATE("DRAVA INTERNATIONAL D.O.O.,"," STJEPANA RADIĆA 15,"," 31000 OSIJEK,"," OIB: 40223379376")</f>
        <v>DRAVA INTERNATIONAL D.O.O., STJEPANA RADIĆA 15, 31000 OSIJEK, OIB: 40223379376</v>
      </c>
      <c r="H3344" s="4"/>
      <c r="I3344" s="1" t="s">
        <v>41</v>
      </c>
      <c r="J3344" s="5">
        <v>43585</v>
      </c>
      <c r="K3344" s="6" t="str">
        <f>"18.375,00"</f>
        <v>18.375,00</v>
      </c>
      <c r="L3344" s="6" t="str">
        <f>"4.593,75"</f>
        <v>4.593,75</v>
      </c>
      <c r="M3344" s="6" t="str">
        <f>"22.968,75"</f>
        <v>22.968,75</v>
      </c>
      <c r="N3344" s="5">
        <v>43453</v>
      </c>
      <c r="O3344" s="7"/>
      <c r="P3344" s="6" t="str">
        <f>"22.968,75"</f>
        <v>22.968,75</v>
      </c>
      <c r="Q3344" s="7"/>
      <c r="R3344" s="1"/>
      <c r="S3344" s="1" t="str">
        <f>"J-UN-2018-2737"</f>
        <v>J-UN-2018-2737</v>
      </c>
      <c r="T3344" s="2" t="s">
        <v>33</v>
      </c>
    </row>
    <row r="3345" spans="1:20" ht="25.5" x14ac:dyDescent="0.25">
      <c r="A3345" s="1">
        <v>3341</v>
      </c>
      <c r="B3345" s="1" t="str">
        <f>"2018-2953"</f>
        <v>2018-2953</v>
      </c>
      <c r="C3345" s="2" t="s">
        <v>2122</v>
      </c>
      <c r="D3345" s="1" t="s">
        <v>1494</v>
      </c>
      <c r="E3345" s="3" t="str">
        <f>""</f>
        <v/>
      </c>
      <c r="F3345" s="2" t="s">
        <v>1323</v>
      </c>
      <c r="G3345" s="2" t="str">
        <f>CONCATENATE("PALACE D.O.O.,"," PLANINSKA 13A,"," 10000 ZAGREB,"," OIB: 71999757503")</f>
        <v>PALACE D.O.O., PLANINSKA 13A, 10000 ZAGREB, OIB: 71999757503</v>
      </c>
      <c r="H3345" s="4"/>
      <c r="I3345" s="1" t="s">
        <v>929</v>
      </c>
      <c r="J3345" s="5">
        <v>43448</v>
      </c>
      <c r="K3345" s="6" t="str">
        <f>"318.193,80"</f>
        <v>318.193,80</v>
      </c>
      <c r="L3345" s="6" t="str">
        <f>"79.548,45"</f>
        <v>79.548,45</v>
      </c>
      <c r="M3345" s="6" t="str">
        <f>"397.742,25"</f>
        <v>397.742,25</v>
      </c>
      <c r="N3345" s="5">
        <v>43607</v>
      </c>
      <c r="O3345" s="7"/>
      <c r="P3345" s="6" t="str">
        <f>"397.742,25"</f>
        <v>397.742,25</v>
      </c>
      <c r="Q3345" s="7"/>
      <c r="R3345" s="1"/>
      <c r="S3345" s="1" t="str">
        <f>"J-UN-2018-2771"</f>
        <v>J-UN-2018-2771</v>
      </c>
      <c r="T3345" s="2" t="s">
        <v>33</v>
      </c>
    </row>
    <row r="3346" spans="1:20" ht="25.5" x14ac:dyDescent="0.25">
      <c r="A3346" s="1">
        <v>3342</v>
      </c>
      <c r="B3346" s="1" t="str">
        <f>"2018-3057"</f>
        <v>2018-3057</v>
      </c>
      <c r="C3346" s="2" t="s">
        <v>2123</v>
      </c>
      <c r="D3346" s="1" t="s">
        <v>1325</v>
      </c>
      <c r="E3346" s="3" t="str">
        <f>""</f>
        <v/>
      </c>
      <c r="F3346" s="2" t="s">
        <v>1323</v>
      </c>
      <c r="G3346" s="2" t="str">
        <f>CONCATENATE("INSTITUT IGH D.D.,"," JANKA RAKUŠE 1,"," 10000 ZAGREB,"," OIB: 79766124714")</f>
        <v>INSTITUT IGH D.D., JANKA RAKUŠE 1, 10000 ZAGREB, OIB: 79766124714</v>
      </c>
      <c r="H3346" s="4"/>
      <c r="I3346" s="1" t="s">
        <v>139</v>
      </c>
      <c r="J3346" s="5">
        <v>43830</v>
      </c>
      <c r="K3346" s="6" t="str">
        <f>"24.480,00"</f>
        <v>24.480,00</v>
      </c>
      <c r="L3346" s="6" t="str">
        <f>"6.120,00"</f>
        <v>6.120,00</v>
      </c>
      <c r="M3346" s="6" t="str">
        <f>"30.600,00"</f>
        <v>30.600,00</v>
      </c>
      <c r="N3346" s="5">
        <v>43555</v>
      </c>
      <c r="O3346" s="7"/>
      <c r="P3346" s="6" t="str">
        <f>"28.574,29"</f>
        <v>28.574,29</v>
      </c>
      <c r="Q3346" s="7"/>
      <c r="R3346" s="1"/>
      <c r="S3346" s="1" t="str">
        <f>"J-UN-2018-2944"</f>
        <v>J-UN-2018-2944</v>
      </c>
      <c r="T3346" s="2" t="s">
        <v>33</v>
      </c>
    </row>
    <row r="3347" spans="1:20" ht="38.25" x14ac:dyDescent="0.25">
      <c r="A3347" s="1">
        <v>3343</v>
      </c>
      <c r="B3347" s="1" t="str">
        <f>"2018-178"</f>
        <v>2018-178</v>
      </c>
      <c r="C3347" s="2" t="s">
        <v>2124</v>
      </c>
      <c r="D3347" s="1" t="s">
        <v>502</v>
      </c>
      <c r="E3347" s="3" t="str">
        <f>""</f>
        <v/>
      </c>
      <c r="F3347" s="2" t="s">
        <v>1323</v>
      </c>
      <c r="G3347" s="2" t="str">
        <f>CONCATENATE("ZAVOD ZA INTEGRALNU KONTROLU D.O.O.,"," MAKSIMIRSKA 57A,"," 10000 ZAGREB,"," OIB: 51028550278")</f>
        <v>ZAVOD ZA INTEGRALNU KONTROLU D.O.O., MAKSIMIRSKA 57A, 10000 ZAGREB, OIB: 51028550278</v>
      </c>
      <c r="H3347" s="4"/>
      <c r="I3347" s="1" t="s">
        <v>379</v>
      </c>
      <c r="J3347" s="5">
        <v>43469</v>
      </c>
      <c r="K3347" s="6" t="str">
        <f>"1.960,00"</f>
        <v>1.960,00</v>
      </c>
      <c r="L3347" s="6" t="str">
        <f>"490,00"</f>
        <v>490,00</v>
      </c>
      <c r="M3347" s="6" t="str">
        <f>"2.450,00"</f>
        <v>2.450,00</v>
      </c>
      <c r="N3347" s="5">
        <v>43488</v>
      </c>
      <c r="O3347" s="7"/>
      <c r="P3347" s="6" t="str">
        <f>"2.450,00"</f>
        <v>2.450,00</v>
      </c>
      <c r="Q3347" s="7"/>
      <c r="R3347" s="1"/>
      <c r="S3347" s="1" t="str">
        <f>"J-UN-2018-2971"</f>
        <v>J-UN-2018-2971</v>
      </c>
      <c r="T3347" s="2" t="s">
        <v>33</v>
      </c>
    </row>
    <row r="3348" spans="1:20" ht="38.25" x14ac:dyDescent="0.25">
      <c r="A3348" s="1">
        <v>3344</v>
      </c>
      <c r="B3348" s="1" t="str">
        <f>"2018-659"</f>
        <v>2018-659</v>
      </c>
      <c r="C3348" s="2" t="s">
        <v>2125</v>
      </c>
      <c r="D3348" s="1" t="s">
        <v>1325</v>
      </c>
      <c r="E3348" s="3" t="str">
        <f>""</f>
        <v/>
      </c>
      <c r="F3348" s="2" t="s">
        <v>1323</v>
      </c>
      <c r="G3348" s="2" t="str">
        <f>CONCATENATE("ZEBAU D.O.O.,"," BRAĆE BUKOVINA 38C,"," 10290 ZAPREŠIĆ,"," OIB: 4049684908")</f>
        <v>ZEBAU D.O.O., BRAĆE BUKOVINA 38C, 10290 ZAPREŠIĆ, OIB: 4049684908</v>
      </c>
      <c r="H3348" s="4"/>
      <c r="I3348" s="1" t="s">
        <v>200</v>
      </c>
      <c r="J3348" s="5">
        <v>43819</v>
      </c>
      <c r="K3348" s="6" t="str">
        <f>"24.900,00"</f>
        <v>24.900,00</v>
      </c>
      <c r="L3348" s="6" t="str">
        <f>"6.225,00"</f>
        <v>6.225,00</v>
      </c>
      <c r="M3348" s="6" t="str">
        <f>"31.125,00"</f>
        <v>31.125,00</v>
      </c>
      <c r="N3348" s="5">
        <v>43621</v>
      </c>
      <c r="O3348" s="7"/>
      <c r="P3348" s="6" t="str">
        <f>"15.562,50"</f>
        <v>15.562,50</v>
      </c>
      <c r="Q3348" s="7"/>
      <c r="R3348" s="1"/>
      <c r="S3348" s="1" t="str">
        <f>"J-UN-2018-2975"</f>
        <v>J-UN-2018-2975</v>
      </c>
      <c r="T3348" s="2" t="s">
        <v>33</v>
      </c>
    </row>
    <row r="3349" spans="1:20" ht="25.5" x14ac:dyDescent="0.25">
      <c r="A3349" s="1">
        <v>3345</v>
      </c>
      <c r="B3349" s="1" t="str">
        <f>"2018-3138"</f>
        <v>2018-3138</v>
      </c>
      <c r="C3349" s="2" t="s">
        <v>2126</v>
      </c>
      <c r="D3349" s="1" t="s">
        <v>313</v>
      </c>
      <c r="E3349" s="3" t="str">
        <f>""</f>
        <v/>
      </c>
      <c r="F3349" s="2" t="s">
        <v>1323</v>
      </c>
      <c r="G3349" s="2" t="str">
        <f>CONCATENATE("EUROKOD D.O.O.,"," RADNIČKA CESTA 52,"," 10000 ZAGREB,"," OIB: 40703856288")</f>
        <v>EUROKOD D.O.O., RADNIČKA CESTA 52, 10000 ZAGREB, OIB: 40703856288</v>
      </c>
      <c r="H3349" s="4"/>
      <c r="I3349" s="1" t="s">
        <v>379</v>
      </c>
      <c r="J3349" s="5">
        <v>43472</v>
      </c>
      <c r="K3349" s="6" t="str">
        <f>"197.899,92"</f>
        <v>197.899,92</v>
      </c>
      <c r="L3349" s="6" t="str">
        <f>"49.474,98"</f>
        <v>49.474,98</v>
      </c>
      <c r="M3349" s="6" t="str">
        <f>"247.374,90"</f>
        <v>247.374,90</v>
      </c>
      <c r="N3349" s="1" t="s">
        <v>117</v>
      </c>
      <c r="O3349" s="7"/>
      <c r="P3349" s="6" t="str">
        <f>""</f>
        <v/>
      </c>
      <c r="Q3349" s="7"/>
      <c r="R3349" s="1"/>
      <c r="S3349" s="1" t="str">
        <f>"J-UN-2018-3041"</f>
        <v>J-UN-2018-3041</v>
      </c>
      <c r="T3349" s="2" t="s">
        <v>33</v>
      </c>
    </row>
    <row r="3350" spans="1:20" ht="25.5" x14ac:dyDescent="0.25">
      <c r="A3350" s="1">
        <v>3346</v>
      </c>
      <c r="B3350" s="1" t="str">
        <f>"2018-1188"</f>
        <v>2018-1188</v>
      </c>
      <c r="C3350" s="2" t="s">
        <v>2127</v>
      </c>
      <c r="D3350" s="1" t="s">
        <v>119</v>
      </c>
      <c r="E3350" s="3" t="str">
        <f>""</f>
        <v/>
      </c>
      <c r="F3350" s="2" t="s">
        <v>1323</v>
      </c>
      <c r="G3350" s="2" t="str">
        <f>CONCATENATE("ELNA KABEL D.O.O.,"," SELSKA CESTA 217/1A,"," 10000 ZAGREB,"," OIB: 305405687")</f>
        <v>ELNA KABEL D.O.O., SELSKA CESTA 217/1A, 10000 ZAGREB, OIB: 305405687</v>
      </c>
      <c r="H3350" s="4"/>
      <c r="I3350" s="1" t="s">
        <v>175</v>
      </c>
      <c r="J3350" s="5">
        <v>43830</v>
      </c>
      <c r="K3350" s="6" t="str">
        <f>"474.857,22"</f>
        <v>474.857,22</v>
      </c>
      <c r="L3350" s="6" t="str">
        <f>"118.714,31"</f>
        <v>118.714,31</v>
      </c>
      <c r="M3350" s="6" t="str">
        <f>"593.571,53"</f>
        <v>593.571,53</v>
      </c>
      <c r="N3350" s="5">
        <v>43635</v>
      </c>
      <c r="O3350" s="7"/>
      <c r="P3350" s="6" t="str">
        <f>"302.695,32"</f>
        <v>302.695,32</v>
      </c>
      <c r="Q3350" s="7"/>
      <c r="R3350" s="1"/>
      <c r="S3350" s="1" t="str">
        <f>"J-UN-2018-3078"</f>
        <v>J-UN-2018-3078</v>
      </c>
      <c r="T3350" s="2" t="s">
        <v>33</v>
      </c>
    </row>
    <row r="3351" spans="1:20" ht="38.25" x14ac:dyDescent="0.25">
      <c r="A3351" s="1">
        <v>3347</v>
      </c>
      <c r="B3351" s="1" t="str">
        <f>"2018-1110"</f>
        <v>2018-1110</v>
      </c>
      <c r="C3351" s="2" t="s">
        <v>2128</v>
      </c>
      <c r="D3351" s="1" t="s">
        <v>2129</v>
      </c>
      <c r="E3351" s="3" t="str">
        <f>""</f>
        <v/>
      </c>
      <c r="F3351" s="2" t="s">
        <v>1323</v>
      </c>
      <c r="G3351" s="2" t="str">
        <f>CONCATENATE("PRIMAT-LOGISTIKA D.O.O.,"," ZASTAVNICE 11,"," 10251 HRVATSKI LESKOVAC,"," OIB: 64645054565")</f>
        <v>PRIMAT-LOGISTIKA D.O.O., ZASTAVNICE 11, 10251 HRVATSKI LESKOVAC, OIB: 64645054565</v>
      </c>
      <c r="H3351" s="4"/>
      <c r="I3351" s="1" t="s">
        <v>1113</v>
      </c>
      <c r="J3351" s="5">
        <v>43475</v>
      </c>
      <c r="K3351" s="6" t="str">
        <f>"19.468,00"</f>
        <v>19.468,00</v>
      </c>
      <c r="L3351" s="6" t="str">
        <f>"4.867,00"</f>
        <v>4.867,00</v>
      </c>
      <c r="M3351" s="6" t="str">
        <f>"24.335,00"</f>
        <v>24.335,00</v>
      </c>
      <c r="N3351" s="5">
        <v>43494</v>
      </c>
      <c r="O3351" s="7"/>
      <c r="P3351" s="6" t="str">
        <f>"24.335,00"</f>
        <v>24.335,00</v>
      </c>
      <c r="Q3351" s="7"/>
      <c r="R3351" s="1"/>
      <c r="S3351" s="1" t="str">
        <f>"J-UN-2018-3106"</f>
        <v>J-UN-2018-3106</v>
      </c>
      <c r="T3351" s="2" t="s">
        <v>33</v>
      </c>
    </row>
    <row r="3352" spans="1:20" ht="38.25" x14ac:dyDescent="0.25">
      <c r="A3352" s="1">
        <v>3348</v>
      </c>
      <c r="B3352" s="1" t="str">
        <f>"2018-1928"</f>
        <v>2018-1928</v>
      </c>
      <c r="C3352" s="2" t="s">
        <v>2130</v>
      </c>
      <c r="D3352" s="1" t="s">
        <v>2117</v>
      </c>
      <c r="E3352" s="3" t="str">
        <f>""</f>
        <v/>
      </c>
      <c r="F3352" s="2" t="s">
        <v>1323</v>
      </c>
      <c r="G3352" s="2" t="str">
        <f>CONCATENATE("STUDIO ANEGDOTA J.D.O.O.,"," MILIVOJA MATOŠECA 5,"," 10000 ZAGREB,"," OIB: 235890552")</f>
        <v>STUDIO ANEGDOTA J.D.O.O., MILIVOJA MATOŠECA 5, 10000 ZAGREB, OIB: 235890552</v>
      </c>
      <c r="H3352" s="4"/>
      <c r="I3352" s="1" t="s">
        <v>53</v>
      </c>
      <c r="J3352" s="5">
        <v>43830</v>
      </c>
      <c r="K3352" s="6" t="str">
        <f>"11.250,00"</f>
        <v>11.250,00</v>
      </c>
      <c r="L3352" s="6" t="str">
        <f>"2.812,50"</f>
        <v>2.812,50</v>
      </c>
      <c r="M3352" s="6" t="str">
        <f>"14.062,50"</f>
        <v>14.062,50</v>
      </c>
      <c r="N3352" s="1" t="s">
        <v>117</v>
      </c>
      <c r="O3352" s="7"/>
      <c r="P3352" s="6" t="str">
        <f>""</f>
        <v/>
      </c>
      <c r="Q3352" s="7"/>
      <c r="R3352" s="1"/>
      <c r="S3352" s="1" t="str">
        <f>"J-UN-2018-3108"</f>
        <v>J-UN-2018-3108</v>
      </c>
      <c r="T3352" s="2" t="s">
        <v>33</v>
      </c>
    </row>
    <row r="3353" spans="1:20" ht="25.5" x14ac:dyDescent="0.25">
      <c r="A3353" s="1">
        <v>3349</v>
      </c>
      <c r="B3353" s="1" t="str">
        <f>"2018-2474"</f>
        <v>2018-2474</v>
      </c>
      <c r="C3353" s="2" t="s">
        <v>2131</v>
      </c>
      <c r="D3353" s="1" t="s">
        <v>2132</v>
      </c>
      <c r="E3353" s="3" t="str">
        <f>""</f>
        <v/>
      </c>
      <c r="F3353" s="2" t="s">
        <v>1323</v>
      </c>
      <c r="G3353" s="2" t="str">
        <f>CONCATENATE("INVENTA D.O.O.,"," LAŠČINSKA CESTA 97,"," 10000 ZAGREB,"," OIB: 99213847706")</f>
        <v>INVENTA D.O.O., LAŠČINSKA CESTA 97, 10000 ZAGREB, OIB: 99213847706</v>
      </c>
      <c r="H3353" s="4"/>
      <c r="I3353" s="1" t="s">
        <v>53</v>
      </c>
      <c r="J3353" s="5">
        <v>43643</v>
      </c>
      <c r="K3353" s="6" t="str">
        <f>"59.825,00"</f>
        <v>59.825,00</v>
      </c>
      <c r="L3353" s="6" t="str">
        <f>"14.956,25"</f>
        <v>14.956,25</v>
      </c>
      <c r="M3353" s="6" t="str">
        <f>"74.781,25"</f>
        <v>74.781,25</v>
      </c>
      <c r="N3353" s="5">
        <v>43585</v>
      </c>
      <c r="O3353" s="7"/>
      <c r="P3353" s="6" t="str">
        <f>"30.239,44"</f>
        <v>30.239,44</v>
      </c>
      <c r="Q3353" s="7"/>
      <c r="R3353" s="1"/>
      <c r="S3353" s="1" t="str">
        <f>"J-UN-2018-3109"</f>
        <v>J-UN-2018-3109</v>
      </c>
      <c r="T3353" s="2" t="s">
        <v>33</v>
      </c>
    </row>
    <row r="3354" spans="1:20" ht="25.5" x14ac:dyDescent="0.25">
      <c r="A3354" s="1">
        <v>3350</v>
      </c>
      <c r="B3354" s="1" t="str">
        <f>"2018-2602"</f>
        <v>2018-2602</v>
      </c>
      <c r="C3354" s="2" t="s">
        <v>2133</v>
      </c>
      <c r="D3354" s="1" t="s">
        <v>2117</v>
      </c>
      <c r="E3354" s="3" t="str">
        <f>""</f>
        <v/>
      </c>
      <c r="F3354" s="2" t="s">
        <v>1323</v>
      </c>
      <c r="G3354" s="2" t="str">
        <f>CONCATENATE("LEONARDO MEDIA D.O.O.,"," GJURE SZABA 4/2,"," 10000 ZAGREB,"," OIB: 90240160025")</f>
        <v>LEONARDO MEDIA D.O.O., GJURE SZABA 4/2, 10000 ZAGREB, OIB: 90240160025</v>
      </c>
      <c r="H3354" s="4"/>
      <c r="I3354" s="1" t="s">
        <v>53</v>
      </c>
      <c r="J3354" s="5">
        <v>43830</v>
      </c>
      <c r="K3354" s="6" t="str">
        <f>"90.700,00"</f>
        <v>90.700,00</v>
      </c>
      <c r="L3354" s="6" t="str">
        <f>"22.675,00"</f>
        <v>22.675,00</v>
      </c>
      <c r="M3354" s="6" t="str">
        <f>"113.375,00"</f>
        <v>113.375,00</v>
      </c>
      <c r="N3354" s="5">
        <v>43608</v>
      </c>
      <c r="O3354" s="7"/>
      <c r="P3354" s="6" t="str">
        <f>"52.168,75"</f>
        <v>52.168,75</v>
      </c>
      <c r="Q3354" s="7"/>
      <c r="R3354" s="1"/>
      <c r="S3354" s="1" t="str">
        <f>"J-UN-2018-3110"</f>
        <v>J-UN-2018-3110</v>
      </c>
      <c r="T3354" s="2" t="s">
        <v>33</v>
      </c>
    </row>
    <row r="3355" spans="1:20" ht="38.25" x14ac:dyDescent="0.25">
      <c r="A3355" s="1">
        <v>3351</v>
      </c>
      <c r="B3355" s="1" t="str">
        <f>"2018-1922"</f>
        <v>2018-1922</v>
      </c>
      <c r="C3355" s="2" t="s">
        <v>2116</v>
      </c>
      <c r="D3355" s="1" t="s">
        <v>2117</v>
      </c>
      <c r="E3355" s="3" t="str">
        <f>""</f>
        <v/>
      </c>
      <c r="F3355" s="2" t="s">
        <v>1323</v>
      </c>
      <c r="G3355" s="2" t="str">
        <f>CONCATENATE("KADEI 360 D.O.O.,"," IVE MALLINA 30,"," 10000 ZAGREB,"," OIB: 7082163502")</f>
        <v>KADEI 360 D.O.O., IVE MALLINA 30, 10000 ZAGREB, OIB: 7082163502</v>
      </c>
      <c r="H3355" s="4"/>
      <c r="I3355" s="1" t="s">
        <v>53</v>
      </c>
      <c r="J3355" s="5">
        <v>43467</v>
      </c>
      <c r="K3355" s="6" t="str">
        <f>"13.500,00"</f>
        <v>13.500,00</v>
      </c>
      <c r="L3355" s="6" t="str">
        <f>"3.375,00"</f>
        <v>3.375,00</v>
      </c>
      <c r="M3355" s="6" t="str">
        <f>"16.875,00"</f>
        <v>16.875,00</v>
      </c>
      <c r="N3355" s="5">
        <v>43494</v>
      </c>
      <c r="O3355" s="7"/>
      <c r="P3355" s="6" t="str">
        <f>"16.875,00"</f>
        <v>16.875,00</v>
      </c>
      <c r="Q3355" s="7"/>
      <c r="R3355" s="1"/>
      <c r="S3355" s="1" t="str">
        <f>"J-UN-2018-3111"</f>
        <v>J-UN-2018-3111</v>
      </c>
      <c r="T3355" s="2" t="s">
        <v>33</v>
      </c>
    </row>
    <row r="3356" spans="1:20" ht="25.5" x14ac:dyDescent="0.25">
      <c r="A3356" s="1">
        <v>3352</v>
      </c>
      <c r="B3356" s="1" t="str">
        <f>"2018-1572"</f>
        <v>2018-1572</v>
      </c>
      <c r="C3356" s="2" t="s">
        <v>2134</v>
      </c>
      <c r="D3356" s="1" t="s">
        <v>1819</v>
      </c>
      <c r="E3356" s="3" t="str">
        <f>""</f>
        <v/>
      </c>
      <c r="F3356" s="2" t="s">
        <v>1323</v>
      </c>
      <c r="G3356" s="2" t="str">
        <f>CONCATENATE("RV77 VL. RANKO VUČINIĆ,"," RADNIČKI DOL 1,"," 10000 ZAGREB,"," OIB: 61152043202")</f>
        <v>RV77 VL. RANKO VUČINIĆ, RADNIČKI DOL 1, 10000 ZAGREB, OIB: 61152043202</v>
      </c>
      <c r="H3356" s="4"/>
      <c r="I3356" s="1" t="s">
        <v>140</v>
      </c>
      <c r="J3356" s="5">
        <v>43482</v>
      </c>
      <c r="K3356" s="6" t="str">
        <f>"79.219,60"</f>
        <v>79.219,60</v>
      </c>
      <c r="L3356" s="6" t="str">
        <f>"19.804,90"</f>
        <v>19.804,90</v>
      </c>
      <c r="M3356" s="6" t="str">
        <f>"99.024,50"</f>
        <v>99.024,50</v>
      </c>
      <c r="N3356" s="1" t="s">
        <v>117</v>
      </c>
      <c r="O3356" s="7"/>
      <c r="P3356" s="6" t="str">
        <f>""</f>
        <v/>
      </c>
      <c r="Q3356" s="7"/>
      <c r="R3356" s="1"/>
      <c r="S3356" s="1" t="str">
        <f>"J-UN-2018-3113"</f>
        <v>J-UN-2018-3113</v>
      </c>
      <c r="T3356" s="2" t="s">
        <v>33</v>
      </c>
    </row>
    <row r="3357" spans="1:20" ht="25.5" x14ac:dyDescent="0.25">
      <c r="A3357" s="1">
        <v>3353</v>
      </c>
      <c r="B3357" s="1" t="str">
        <f>"2019-6"</f>
        <v>2019-6</v>
      </c>
      <c r="C3357" s="2" t="s">
        <v>2135</v>
      </c>
      <c r="D3357" s="1" t="s">
        <v>2136</v>
      </c>
      <c r="E3357" s="3" t="str">
        <f>""</f>
        <v/>
      </c>
      <c r="F3357" s="2" t="s">
        <v>1323</v>
      </c>
      <c r="G3357" s="2" t="str">
        <f>CONCATENATE("EUROADRIA D.O.O.,"," MAKSIMIRSKA CESTA 9,"," 10000 ZAGREB,"," OIB: 84526969754")</f>
        <v>EUROADRIA D.O.O., MAKSIMIRSKA CESTA 9, 10000 ZAGREB, OIB: 84526969754</v>
      </c>
      <c r="H3357" s="4"/>
      <c r="I3357" s="1" t="s">
        <v>451</v>
      </c>
      <c r="J3357" s="5">
        <v>43488</v>
      </c>
      <c r="K3357" s="6" t="str">
        <f>"5.942,83"</f>
        <v>5.942,83</v>
      </c>
      <c r="L3357" s="6" t="str">
        <f>"1.485,71"</f>
        <v>1.485,71</v>
      </c>
      <c r="M3357" s="6" t="str">
        <f>"7.428,54"</f>
        <v>7.428,54</v>
      </c>
      <c r="N3357" s="5">
        <v>43486</v>
      </c>
      <c r="O3357" s="7"/>
      <c r="P3357" s="6" t="str">
        <f>"7.428,54"</f>
        <v>7.428,54</v>
      </c>
      <c r="Q3357" s="7"/>
      <c r="R3357" s="1"/>
      <c r="S3357" s="1" t="str">
        <f>"J-UN-2019-3119"</f>
        <v>J-UN-2019-3119</v>
      </c>
      <c r="T3357" s="2" t="s">
        <v>33</v>
      </c>
    </row>
    <row r="3358" spans="1:20" ht="25.5" x14ac:dyDescent="0.25">
      <c r="A3358" s="1">
        <v>3354</v>
      </c>
      <c r="B3358" s="1" t="str">
        <f>"2019-6"</f>
        <v>2019-6</v>
      </c>
      <c r="C3358" s="2" t="s">
        <v>2135</v>
      </c>
      <c r="D3358" s="1" t="s">
        <v>2136</v>
      </c>
      <c r="E3358" s="3" t="str">
        <f>""</f>
        <v/>
      </c>
      <c r="F3358" s="2" t="s">
        <v>1323</v>
      </c>
      <c r="G3358" s="2" t="str">
        <f>CONCATENATE("GASTRO LP D.O.O.,"," BUKOVAČKI VIJENAC 17,"," 10000 ZAGREB,"," OIB: 40121715817")</f>
        <v>GASTRO LP D.O.O., BUKOVAČKI VIJENAC 17, 10000 ZAGREB, OIB: 40121715817</v>
      </c>
      <c r="H3358" s="4"/>
      <c r="I3358" s="1" t="s">
        <v>1510</v>
      </c>
      <c r="J3358" s="5">
        <v>43503</v>
      </c>
      <c r="K3358" s="6" t="str">
        <f>"39.800,00"</f>
        <v>39.800,00</v>
      </c>
      <c r="L3358" s="6" t="str">
        <f>"9.950,00"</f>
        <v>9.950,00</v>
      </c>
      <c r="M3358" s="6" t="str">
        <f>"49.750,00"</f>
        <v>49.750,00</v>
      </c>
      <c r="N3358" s="5">
        <v>43503</v>
      </c>
      <c r="O3358" s="7"/>
      <c r="P3358" s="6" t="str">
        <f>"49.750,00"</f>
        <v>49.750,00</v>
      </c>
      <c r="Q3358" s="7"/>
      <c r="R3358" s="1"/>
      <c r="S3358" s="1" t="str">
        <f>"J-UN-2019-3125"</f>
        <v>J-UN-2019-3125</v>
      </c>
      <c r="T3358" s="2" t="s">
        <v>33</v>
      </c>
    </row>
    <row r="3359" spans="1:20" ht="38.25" x14ac:dyDescent="0.25">
      <c r="A3359" s="1">
        <v>3355</v>
      </c>
      <c r="B3359" s="1" t="str">
        <f>"2019-1819"</f>
        <v>2019-1819</v>
      </c>
      <c r="C3359" s="2" t="s">
        <v>2137</v>
      </c>
      <c r="D3359" s="1" t="s">
        <v>1819</v>
      </c>
      <c r="E3359" s="3" t="str">
        <f>""</f>
        <v/>
      </c>
      <c r="F3359" s="2" t="s">
        <v>1323</v>
      </c>
      <c r="G3359" s="2" t="str">
        <f>CONCATENATE("BDO SAVJETOVANJE D.O.O.,"," TRG JOHN FITZGERALD KENNEDY 6B,"," 10000 ZAGREB,"," OIB: 67503563095")</f>
        <v>BDO SAVJETOVANJE D.O.O., TRG JOHN FITZGERALD KENNEDY 6B, 10000 ZAGREB, OIB: 67503563095</v>
      </c>
      <c r="H3359" s="4"/>
      <c r="I3359" s="1" t="s">
        <v>254</v>
      </c>
      <c r="J3359" s="5">
        <v>43522</v>
      </c>
      <c r="K3359" s="6" t="str">
        <f>"15.000,00"</f>
        <v>15.000,00</v>
      </c>
      <c r="L3359" s="6" t="str">
        <f>"3.750,00"</f>
        <v>3.750,00</v>
      </c>
      <c r="M3359" s="6" t="str">
        <f>"18.750,00"</f>
        <v>18.750,00</v>
      </c>
      <c r="N3359" s="5">
        <v>43623</v>
      </c>
      <c r="O3359" s="7"/>
      <c r="P3359" s="6" t="str">
        <f>"18.750,00"</f>
        <v>18.750,00</v>
      </c>
      <c r="Q3359" s="7"/>
      <c r="R3359" s="1"/>
      <c r="S3359" s="1" t="str">
        <f>"J-UN-2019-3130"</f>
        <v>J-UN-2019-3130</v>
      </c>
      <c r="T3359" s="2" t="s">
        <v>33</v>
      </c>
    </row>
    <row r="3360" spans="1:20" ht="25.5" x14ac:dyDescent="0.25">
      <c r="A3360" s="1">
        <v>3356</v>
      </c>
      <c r="B3360" s="1" t="str">
        <f>"2019-2205"</f>
        <v>2019-2205</v>
      </c>
      <c r="C3360" s="2" t="s">
        <v>2138</v>
      </c>
      <c r="D3360" s="1" t="s">
        <v>49</v>
      </c>
      <c r="E3360" s="3" t="str">
        <f>""</f>
        <v/>
      </c>
      <c r="F3360" s="2" t="s">
        <v>1323</v>
      </c>
      <c r="G3360" s="2" t="str">
        <f>CONCATENATE("KING ICT D.O.O.,"," BUZINSKI PRILAZ 10,"," 10010 ZAGREB,"," OIB: 67001695549")</f>
        <v>KING ICT D.O.O., BUZINSKI PRILAZ 10, 10010 ZAGREB, OIB: 67001695549</v>
      </c>
      <c r="H3360" s="4"/>
      <c r="I3360" s="1" t="s">
        <v>204</v>
      </c>
      <c r="J3360" s="5">
        <v>43623</v>
      </c>
      <c r="K3360" s="6" t="str">
        <f>"83.492,43"</f>
        <v>83.492,43</v>
      </c>
      <c r="L3360" s="6" t="str">
        <f>"20.873,11"</f>
        <v>20.873,11</v>
      </c>
      <c r="M3360" s="6" t="str">
        <f>"104.365,54"</f>
        <v>104.365,54</v>
      </c>
      <c r="N3360" s="5">
        <v>43599</v>
      </c>
      <c r="O3360" s="7"/>
      <c r="P3360" s="6" t="str">
        <f>"104.365,54"</f>
        <v>104.365,54</v>
      </c>
      <c r="Q3360" s="7"/>
      <c r="R3360" s="1"/>
      <c r="S3360" s="1" t="str">
        <f>"J-UN-2019-3132"</f>
        <v>J-UN-2019-3132</v>
      </c>
      <c r="T3360" s="2" t="s">
        <v>33</v>
      </c>
    </row>
    <row r="3361" spans="1:20" ht="25.5" x14ac:dyDescent="0.25">
      <c r="A3361" s="1">
        <v>3357</v>
      </c>
      <c r="B3361" s="1" t="str">
        <f>"2019-5"</f>
        <v>2019-5</v>
      </c>
      <c r="C3361" s="2" t="s">
        <v>2139</v>
      </c>
      <c r="D3361" s="1" t="s">
        <v>1759</v>
      </c>
      <c r="E3361" s="3" t="str">
        <f>""</f>
        <v/>
      </c>
      <c r="F3361" s="2" t="s">
        <v>1323</v>
      </c>
      <c r="G3361" s="2" t="str">
        <f>CONCATENATE("KING ICT D.O.O.,"," BUZINSKI PRILAZ 10,"," 10010 ZAGREB,"," OIB: 67001695549")</f>
        <v>KING ICT D.O.O., BUZINSKI PRILAZ 10, 10010 ZAGREB, OIB: 67001695549</v>
      </c>
      <c r="H3361" s="4"/>
      <c r="I3361" s="1" t="s">
        <v>280</v>
      </c>
      <c r="J3361" s="5">
        <v>43830</v>
      </c>
      <c r="K3361" s="6" t="str">
        <f>"27.150,00"</f>
        <v>27.150,00</v>
      </c>
      <c r="L3361" s="6" t="str">
        <f>"6.787,50"</f>
        <v>6.787,50</v>
      </c>
      <c r="M3361" s="6" t="str">
        <f>"33.937,50"</f>
        <v>33.937,50</v>
      </c>
      <c r="N3361" s="5">
        <v>43594</v>
      </c>
      <c r="O3361" s="7"/>
      <c r="P3361" s="6" t="str">
        <f>"33.937,50"</f>
        <v>33.937,50</v>
      </c>
      <c r="Q3361" s="7"/>
      <c r="R3361" s="1"/>
      <c r="S3361" s="1" t="str">
        <f>"J-UN-2019-3133"</f>
        <v>J-UN-2019-3133</v>
      </c>
      <c r="T3361" s="2" t="s">
        <v>33</v>
      </c>
    </row>
    <row r="3362" spans="1:20" ht="38.25" x14ac:dyDescent="0.25">
      <c r="A3362" s="1">
        <v>3358</v>
      </c>
      <c r="B3362" s="1" t="str">
        <f>"2019-12"</f>
        <v>2019-12</v>
      </c>
      <c r="C3362" s="2" t="s">
        <v>2140</v>
      </c>
      <c r="D3362" s="1" t="s">
        <v>1720</v>
      </c>
      <c r="E3362" s="3" t="str">
        <f>""</f>
        <v/>
      </c>
      <c r="F3362" s="2" t="s">
        <v>1323</v>
      </c>
      <c r="G3362" s="2" t="str">
        <f>CONCATENATE("JADRAN-IMPEX D.O.O.,"," OIB: 87545147669")</f>
        <v>JADRAN-IMPEX D.O.O., OIB: 87545147669</v>
      </c>
      <c r="H3362" s="4"/>
      <c r="I3362" s="1" t="s">
        <v>373</v>
      </c>
      <c r="J3362" s="5">
        <v>43529</v>
      </c>
      <c r="K3362" s="6" t="str">
        <f>"5.776,10"</f>
        <v>5.776,10</v>
      </c>
      <c r="L3362" s="6" t="str">
        <f>"1.444,03"</f>
        <v>1.444,03</v>
      </c>
      <c r="M3362" s="6" t="str">
        <f>"7.220,13"</f>
        <v>7.220,13</v>
      </c>
      <c r="N3362" s="5">
        <v>43564</v>
      </c>
      <c r="O3362" s="7"/>
      <c r="P3362" s="6" t="str">
        <f>"7.220,08"</f>
        <v>7.220,08</v>
      </c>
      <c r="Q3362" s="7"/>
      <c r="R3362" s="1"/>
      <c r="S3362" s="1" t="str">
        <f>"J-UN-2019-3135"</f>
        <v>J-UN-2019-3135</v>
      </c>
      <c r="T3362" s="2" t="s">
        <v>33</v>
      </c>
    </row>
    <row r="3363" spans="1:20" ht="25.5" x14ac:dyDescent="0.25">
      <c r="A3363" s="1">
        <v>3359</v>
      </c>
      <c r="B3363" s="1" t="str">
        <f>"2019-2468"</f>
        <v>2019-2468</v>
      </c>
      <c r="C3363" s="2" t="s">
        <v>2141</v>
      </c>
      <c r="D3363" s="1" t="s">
        <v>2142</v>
      </c>
      <c r="E3363" s="3" t="str">
        <f>""</f>
        <v/>
      </c>
      <c r="F3363" s="2" t="s">
        <v>1323</v>
      </c>
      <c r="G3363" s="2" t="str">
        <f>CONCATENATE("AGM D.O.O.,"," MIHANOVIĆEVA 28,"," 10000 ZAGREB,"," OIB: 37620818018")</f>
        <v>AGM D.O.O., MIHANOVIĆEVA 28, 10000 ZAGREB, OIB: 37620818018</v>
      </c>
      <c r="H3363" s="4"/>
      <c r="I3363" s="1" t="s">
        <v>204</v>
      </c>
      <c r="J3363" s="5">
        <v>43530</v>
      </c>
      <c r="K3363" s="6" t="str">
        <f>"190.926,18"</f>
        <v>190.926,18</v>
      </c>
      <c r="L3363" s="6" t="str">
        <f>"47.731,55"</f>
        <v>47.731,55</v>
      </c>
      <c r="M3363" s="6" t="str">
        <f>"238.657,73"</f>
        <v>238.657,73</v>
      </c>
      <c r="N3363" s="1" t="s">
        <v>117</v>
      </c>
      <c r="O3363" s="7"/>
      <c r="P3363" s="6" t="str">
        <f>""</f>
        <v/>
      </c>
      <c r="Q3363" s="7"/>
      <c r="R3363" s="1"/>
      <c r="S3363" s="1" t="str">
        <f>"J-UN-2019-3142"</f>
        <v>J-UN-2019-3142</v>
      </c>
      <c r="T3363" s="2" t="s">
        <v>33</v>
      </c>
    </row>
    <row r="3364" spans="1:20" ht="25.5" x14ac:dyDescent="0.25">
      <c r="A3364" s="1">
        <v>3360</v>
      </c>
      <c r="B3364" s="1" t="str">
        <f>"2019-174"</f>
        <v>2019-174</v>
      </c>
      <c r="C3364" s="2" t="s">
        <v>2143</v>
      </c>
      <c r="D3364" s="1" t="s">
        <v>860</v>
      </c>
      <c r="E3364" s="3" t="str">
        <f>""</f>
        <v/>
      </c>
      <c r="F3364" s="2" t="s">
        <v>1323</v>
      </c>
      <c r="G3364" s="2" t="str">
        <f>CONCATENATE("ERG D.O.O.,"," KUČANSKA 4,"," 42000 VARAŽDIN,"," OIB: 81424995264")</f>
        <v>ERG D.O.O., KUČANSKA 4, 42000 VARAŽDIN, OIB: 81424995264</v>
      </c>
      <c r="H3364" s="4"/>
      <c r="I3364" s="1" t="s">
        <v>277</v>
      </c>
      <c r="J3364" s="5">
        <v>43543</v>
      </c>
      <c r="K3364" s="6" t="str">
        <f>"13.552,00"</f>
        <v>13.552,00</v>
      </c>
      <c r="L3364" s="6" t="str">
        <f>"3.388,00"</f>
        <v>3.388,00</v>
      </c>
      <c r="M3364" s="6" t="str">
        <f>"16.940,00"</f>
        <v>16.940,00</v>
      </c>
      <c r="N3364" s="1" t="s">
        <v>117</v>
      </c>
      <c r="O3364" s="7"/>
      <c r="P3364" s="6" t="str">
        <f>""</f>
        <v/>
      </c>
      <c r="Q3364" s="7"/>
      <c r="R3364" s="1"/>
      <c r="S3364" s="1" t="str">
        <f>"J-UN-2019-3149"</f>
        <v>J-UN-2019-3149</v>
      </c>
      <c r="T3364" s="2" t="s">
        <v>33</v>
      </c>
    </row>
    <row r="3365" spans="1:20" ht="38.25" x14ac:dyDescent="0.25">
      <c r="A3365" s="1">
        <v>3361</v>
      </c>
      <c r="B3365" s="1" t="str">
        <f>"2019-12"</f>
        <v>2019-12</v>
      </c>
      <c r="C3365" s="2" t="s">
        <v>2140</v>
      </c>
      <c r="D3365" s="1" t="s">
        <v>1720</v>
      </c>
      <c r="E3365" s="3" t="str">
        <f>""</f>
        <v/>
      </c>
      <c r="F3365" s="2" t="s">
        <v>1323</v>
      </c>
      <c r="G3365" s="2" t="str">
        <f>CONCATENATE("VID-MAR D.O.O.,"," BENIĆI 52,"," 51260 CRIKVENICA,"," OIB: 342349582")</f>
        <v>VID-MAR D.O.O., BENIĆI 52, 51260 CRIKVENICA, OIB: 342349582</v>
      </c>
      <c r="H3365" s="4"/>
      <c r="I3365" s="1" t="s">
        <v>670</v>
      </c>
      <c r="J3365" s="5">
        <v>43532</v>
      </c>
      <c r="K3365" s="6" t="str">
        <f>"3.342,40"</f>
        <v>3.342,40</v>
      </c>
      <c r="L3365" s="6" t="str">
        <f>"835,60"</f>
        <v>835,60</v>
      </c>
      <c r="M3365" s="6" t="str">
        <f>"4.178,00"</f>
        <v>4.178,00</v>
      </c>
      <c r="N3365" s="5">
        <v>43554</v>
      </c>
      <c r="O3365" s="7"/>
      <c r="P3365" s="6" t="str">
        <f>"4.178,00"</f>
        <v>4.178,00</v>
      </c>
      <c r="Q3365" s="7"/>
      <c r="R3365" s="1"/>
      <c r="S3365" s="1" t="str">
        <f>"J-UN-2019-3150"</f>
        <v>J-UN-2019-3150</v>
      </c>
      <c r="T3365" s="2" t="s">
        <v>33</v>
      </c>
    </row>
    <row r="3366" spans="1:20" ht="38.25" x14ac:dyDescent="0.25">
      <c r="A3366" s="1">
        <v>3362</v>
      </c>
      <c r="B3366" s="1" t="str">
        <f>"2019-972"</f>
        <v>2019-972</v>
      </c>
      <c r="C3366" s="2" t="s">
        <v>2144</v>
      </c>
      <c r="D3366" s="1" t="s">
        <v>2117</v>
      </c>
      <c r="E3366" s="3" t="str">
        <f>""</f>
        <v/>
      </c>
      <c r="F3366" s="2" t="s">
        <v>1323</v>
      </c>
      <c r="G3366" s="2" t="str">
        <f>CONCATENATE("EFECTUS INFO D.O.O.,"," 3. PODBREŽJE 18,"," 10000 ZAGREB,"," OIB: 8322577665")</f>
        <v>EFECTUS INFO D.O.O., 3. PODBREŽJE 18, 10000 ZAGREB, OIB: 8322577665</v>
      </c>
      <c r="H3366" s="4"/>
      <c r="I3366" s="1" t="s">
        <v>297</v>
      </c>
      <c r="J3366" s="5">
        <v>43549</v>
      </c>
      <c r="K3366" s="6" t="str">
        <f>"187.000,00"</f>
        <v>187.000,00</v>
      </c>
      <c r="L3366" s="6" t="str">
        <f>"46.750,00"</f>
        <v>46.750,00</v>
      </c>
      <c r="M3366" s="6" t="str">
        <f>"233.750,00"</f>
        <v>233.750,00</v>
      </c>
      <c r="N3366" s="5">
        <v>43557</v>
      </c>
      <c r="O3366" s="7"/>
      <c r="P3366" s="6" t="str">
        <f>"233.750,00"</f>
        <v>233.750,00</v>
      </c>
      <c r="Q3366" s="7"/>
      <c r="R3366" s="1"/>
      <c r="S3366" s="1" t="str">
        <f>"J-UN-2019-3153"</f>
        <v>J-UN-2019-3153</v>
      </c>
      <c r="T3366" s="2" t="s">
        <v>33</v>
      </c>
    </row>
    <row r="3367" spans="1:20" ht="25.5" x14ac:dyDescent="0.25">
      <c r="A3367" s="1">
        <v>3363</v>
      </c>
      <c r="B3367" s="1" t="str">
        <f>"2019-14"</f>
        <v>2019-14</v>
      </c>
      <c r="C3367" s="2" t="s">
        <v>2145</v>
      </c>
      <c r="D3367" s="1" t="s">
        <v>725</v>
      </c>
      <c r="E3367" s="3" t="str">
        <f>""</f>
        <v/>
      </c>
      <c r="F3367" s="2" t="s">
        <v>1323</v>
      </c>
      <c r="G3367" s="2" t="str">
        <f>CONCATENATE("DREZGA D.O.O.,"," OBRTNIČKA 2,"," 10437 BESTOVJE,"," OIB: 46535283602")</f>
        <v>DREZGA D.O.O., OBRTNIČKA 2, 10437 BESTOVJE, OIB: 46535283602</v>
      </c>
      <c r="H3367" s="4"/>
      <c r="I3367" s="1" t="s">
        <v>566</v>
      </c>
      <c r="J3367" s="5">
        <v>43551</v>
      </c>
      <c r="K3367" s="6" t="str">
        <f>"90.000,00"</f>
        <v>90.000,00</v>
      </c>
      <c r="L3367" s="6" t="str">
        <f>"22.500,00"</f>
        <v>22.500,00</v>
      </c>
      <c r="M3367" s="6" t="str">
        <f>"112.500,00"</f>
        <v>112.500,00</v>
      </c>
      <c r="N3367" s="5">
        <v>43619</v>
      </c>
      <c r="O3367" s="7"/>
      <c r="P3367" s="6" t="str">
        <f>"112.500,00"</f>
        <v>112.500,00</v>
      </c>
      <c r="Q3367" s="7"/>
      <c r="R3367" s="1"/>
      <c r="S3367" s="1" t="str">
        <f>"J-UN-2019-3163"</f>
        <v>J-UN-2019-3163</v>
      </c>
      <c r="T3367" s="2" t="s">
        <v>33</v>
      </c>
    </row>
    <row r="3368" spans="1:20" ht="38.25" x14ac:dyDescent="0.25">
      <c r="A3368" s="1">
        <v>3364</v>
      </c>
      <c r="B3368" s="1" t="str">
        <f>"2019-12"</f>
        <v>2019-12</v>
      </c>
      <c r="C3368" s="2" t="s">
        <v>2140</v>
      </c>
      <c r="D3368" s="1" t="s">
        <v>1720</v>
      </c>
      <c r="E3368" s="3" t="str">
        <f>""</f>
        <v/>
      </c>
      <c r="F3368" s="2" t="s">
        <v>1323</v>
      </c>
      <c r="G3368" s="2" t="str">
        <f>CONCATENATE("BROLEX D.O.O.,"," MOMJANSKA ULICA 2,"," 52460 BUJE (BUIE),"," OIB: 99214387")</f>
        <v>BROLEX D.O.O., MOMJANSKA ULICA 2, 52460 BUJE (BUIE), OIB: 99214387</v>
      </c>
      <c r="H3368" s="4"/>
      <c r="I3368" s="1" t="s">
        <v>277</v>
      </c>
      <c r="J3368" s="5">
        <v>43543</v>
      </c>
      <c r="K3368" s="6" t="str">
        <f>"4.200,00"</f>
        <v>4.200,00</v>
      </c>
      <c r="L3368" s="6" t="str">
        <f>"1.050,00"</f>
        <v>1.050,00</v>
      </c>
      <c r="M3368" s="6" t="str">
        <f>"5.250,00"</f>
        <v>5.250,00</v>
      </c>
      <c r="N3368" s="5">
        <v>43552</v>
      </c>
      <c r="O3368" s="7"/>
      <c r="P3368" s="6" t="str">
        <f>"5.250,00"</f>
        <v>5.250,00</v>
      </c>
      <c r="Q3368" s="7"/>
      <c r="R3368" s="1"/>
      <c r="S3368" s="1" t="str">
        <f>"J-UN-2019-3164"</f>
        <v>J-UN-2019-3164</v>
      </c>
      <c r="T3368" s="2" t="s">
        <v>33</v>
      </c>
    </row>
    <row r="3369" spans="1:20" ht="38.25" x14ac:dyDescent="0.25">
      <c r="A3369" s="1">
        <v>3365</v>
      </c>
      <c r="B3369" s="1" t="str">
        <f>"2019-13"</f>
        <v>2019-13</v>
      </c>
      <c r="C3369" s="2" t="s">
        <v>2146</v>
      </c>
      <c r="D3369" s="1" t="s">
        <v>2147</v>
      </c>
      <c r="E3369" s="3" t="str">
        <f>""</f>
        <v/>
      </c>
      <c r="F3369" s="2" t="s">
        <v>1323</v>
      </c>
      <c r="G3369" s="2" t="str">
        <f>CONCATENATE("MLD-USLUGE D.O.O.,"," IVANA GENERALIĆA BB,"," 48000 KOPRIVNICA,"," OIB: 48278869268")</f>
        <v>MLD-USLUGE D.O.O., IVANA GENERALIĆA BB, 48000 KOPRIVNICA, OIB: 48278869268</v>
      </c>
      <c r="H3369" s="4"/>
      <c r="I3369" s="1" t="s">
        <v>277</v>
      </c>
      <c r="J3369" s="5">
        <v>43542</v>
      </c>
      <c r="K3369" s="6" t="str">
        <f>"3.270,00"</f>
        <v>3.270,00</v>
      </c>
      <c r="L3369" s="6" t="str">
        <f>"817,50"</f>
        <v>817,50</v>
      </c>
      <c r="M3369" s="6" t="str">
        <f>"4.087,50"</f>
        <v>4.087,50</v>
      </c>
      <c r="N3369" s="5">
        <v>43546</v>
      </c>
      <c r="O3369" s="7"/>
      <c r="P3369" s="6" t="str">
        <f>"4.087,50"</f>
        <v>4.087,50</v>
      </c>
      <c r="Q3369" s="7"/>
      <c r="R3369" s="1"/>
      <c r="S3369" s="1" t="str">
        <f>"J-UN-2019-3166"</f>
        <v>J-UN-2019-3166</v>
      </c>
      <c r="T3369" s="2" t="s">
        <v>33</v>
      </c>
    </row>
    <row r="3370" spans="1:20" ht="25.5" x14ac:dyDescent="0.25">
      <c r="A3370" s="1">
        <v>3366</v>
      </c>
      <c r="B3370" s="1" t="str">
        <f>"2019-783"</f>
        <v>2019-783</v>
      </c>
      <c r="C3370" s="2" t="s">
        <v>2148</v>
      </c>
      <c r="D3370" s="1" t="s">
        <v>295</v>
      </c>
      <c r="E3370" s="3" t="str">
        <f>""</f>
        <v/>
      </c>
      <c r="F3370" s="2" t="s">
        <v>1323</v>
      </c>
      <c r="G3370" s="2" t="str">
        <f>CONCATENATE("LIDER MEDIA D.O.O.,"," SAVSKA CESTA 41,"," 10000 ZAGREB,"," OIB: 75374786952")</f>
        <v>LIDER MEDIA D.O.O., SAVSKA CESTA 41, 10000 ZAGREB, OIB: 75374786952</v>
      </c>
      <c r="H3370" s="4"/>
      <c r="I3370" s="1" t="s">
        <v>470</v>
      </c>
      <c r="J3370" s="5">
        <v>43544</v>
      </c>
      <c r="K3370" s="6" t="str">
        <f>"7.000,00"</f>
        <v>7.000,00</v>
      </c>
      <c r="L3370" s="6" t="str">
        <f>"1.750,00"</f>
        <v>1.750,00</v>
      </c>
      <c r="M3370" s="6" t="str">
        <f>"8.750,00"</f>
        <v>8.750,00</v>
      </c>
      <c r="N3370" s="1" t="s">
        <v>117</v>
      </c>
      <c r="O3370" s="7"/>
      <c r="P3370" s="6" t="str">
        <f>""</f>
        <v/>
      </c>
      <c r="Q3370" s="7"/>
      <c r="R3370" s="1"/>
      <c r="S3370" s="1" t="str">
        <f>"J-UN-2019-3175"</f>
        <v>J-UN-2019-3175</v>
      </c>
      <c r="T3370" s="2" t="s">
        <v>33</v>
      </c>
    </row>
    <row r="3371" spans="1:20" ht="38.25" x14ac:dyDescent="0.25">
      <c r="A3371" s="1">
        <v>3367</v>
      </c>
      <c r="B3371" s="1" t="str">
        <f>"2019-1321"</f>
        <v>2019-1321</v>
      </c>
      <c r="C3371" s="2" t="s">
        <v>2149</v>
      </c>
      <c r="D3371" s="1" t="s">
        <v>388</v>
      </c>
      <c r="E3371" s="3" t="str">
        <f>""</f>
        <v/>
      </c>
      <c r="F3371" s="2" t="s">
        <v>1323</v>
      </c>
      <c r="G3371" s="2" t="str">
        <f>CONCATENATE("SELMET D.O.O.,"," OIB: 25531283613")</f>
        <v>SELMET D.O.O., OIB: 25531283613</v>
      </c>
      <c r="H3371" s="4"/>
      <c r="I3371" s="1" t="s">
        <v>470</v>
      </c>
      <c r="J3371" s="5">
        <v>43544</v>
      </c>
      <c r="K3371" s="6" t="str">
        <f>"1.163,00"</f>
        <v>1.163,00</v>
      </c>
      <c r="L3371" s="6" t="str">
        <f>"290,75"</f>
        <v>290,75</v>
      </c>
      <c r="M3371" s="6" t="str">
        <f>"1.453,75"</f>
        <v>1.453,75</v>
      </c>
      <c r="N3371" s="5">
        <v>43550</v>
      </c>
      <c r="O3371" s="7"/>
      <c r="P3371" s="6" t="str">
        <f>"1.453,75"</f>
        <v>1.453,75</v>
      </c>
      <c r="Q3371" s="7"/>
      <c r="R3371" s="1"/>
      <c r="S3371" s="1" t="str">
        <f>"J-UN-2019-3176"</f>
        <v>J-UN-2019-3176</v>
      </c>
      <c r="T3371" s="2" t="s">
        <v>33</v>
      </c>
    </row>
    <row r="3372" spans="1:20" ht="38.25" x14ac:dyDescent="0.25">
      <c r="A3372" s="1">
        <v>3368</v>
      </c>
      <c r="B3372" s="1" t="str">
        <f>"2019-1321"</f>
        <v>2019-1321</v>
      </c>
      <c r="C3372" s="2" t="s">
        <v>2149</v>
      </c>
      <c r="D3372" s="1" t="s">
        <v>388</v>
      </c>
      <c r="E3372" s="3" t="str">
        <f>""</f>
        <v/>
      </c>
      <c r="F3372" s="2" t="s">
        <v>1323</v>
      </c>
      <c r="G3372" s="2" t="str">
        <f>CONCATENATE("SELMET D.O.O.,"," OIB: 25531283613")</f>
        <v>SELMET D.O.O., OIB: 25531283613</v>
      </c>
      <c r="H3372" s="4"/>
      <c r="I3372" s="1" t="s">
        <v>339</v>
      </c>
      <c r="J3372" s="5">
        <v>43545</v>
      </c>
      <c r="K3372" s="6" t="str">
        <f>"2.478,00"</f>
        <v>2.478,00</v>
      </c>
      <c r="L3372" s="6" t="str">
        <f>"619,50"</f>
        <v>619,50</v>
      </c>
      <c r="M3372" s="6" t="str">
        <f>"3.097,50"</f>
        <v>3.097,50</v>
      </c>
      <c r="N3372" s="5">
        <v>43550</v>
      </c>
      <c r="O3372" s="7"/>
      <c r="P3372" s="6" t="str">
        <f>"3.097,50"</f>
        <v>3.097,50</v>
      </c>
      <c r="Q3372" s="7"/>
      <c r="R3372" s="1"/>
      <c r="S3372" s="1" t="str">
        <f>"J-UN-2019-3177"</f>
        <v>J-UN-2019-3177</v>
      </c>
      <c r="T3372" s="2" t="s">
        <v>33</v>
      </c>
    </row>
    <row r="3373" spans="1:20" ht="38.25" x14ac:dyDescent="0.25">
      <c r="A3373" s="1">
        <v>3369</v>
      </c>
      <c r="B3373" s="1" t="str">
        <f>"2019-14"</f>
        <v>2019-14</v>
      </c>
      <c r="C3373" s="2" t="s">
        <v>2145</v>
      </c>
      <c r="D3373" s="1" t="s">
        <v>725</v>
      </c>
      <c r="E3373" s="3" t="str">
        <f>""</f>
        <v/>
      </c>
      <c r="F3373" s="2" t="s">
        <v>1323</v>
      </c>
      <c r="G3373" s="2" t="str">
        <f>CONCATENATE("USLUŽNI OBRT PINIA,"," VL. MIHAEL MIČIĆ,"," SLAVOJNA 6A,"," 51551 VELI LOŠINJ,"," OIB: 48313428695")</f>
        <v>USLUŽNI OBRT PINIA, VL. MIHAEL MIČIĆ, SLAVOJNA 6A, 51551 VELI LOŠINJ, OIB: 48313428695</v>
      </c>
      <c r="H3373" s="4"/>
      <c r="I3373" s="1" t="s">
        <v>302</v>
      </c>
      <c r="J3373" s="5">
        <v>43556</v>
      </c>
      <c r="K3373" s="6" t="str">
        <f>"58.450,00"</f>
        <v>58.450,00</v>
      </c>
      <c r="L3373" s="6" t="str">
        <f>"14.612,50"</f>
        <v>14.612,50</v>
      </c>
      <c r="M3373" s="6" t="str">
        <f>"73.062,50"</f>
        <v>73.062,50</v>
      </c>
      <c r="N3373" s="5">
        <v>43609</v>
      </c>
      <c r="O3373" s="7"/>
      <c r="P3373" s="6" t="str">
        <f>"73.062,50"</f>
        <v>73.062,50</v>
      </c>
      <c r="Q3373" s="7"/>
      <c r="R3373" s="1"/>
      <c r="S3373" s="1" t="str">
        <f>"J-UN-2019-3184"</f>
        <v>J-UN-2019-3184</v>
      </c>
      <c r="T3373" s="2" t="s">
        <v>33</v>
      </c>
    </row>
    <row r="3374" spans="1:20" ht="25.5" x14ac:dyDescent="0.25">
      <c r="A3374" s="1">
        <v>3370</v>
      </c>
      <c r="B3374" s="1" t="str">
        <f>"2019-900"</f>
        <v>2019-900</v>
      </c>
      <c r="C3374" s="2" t="s">
        <v>2150</v>
      </c>
      <c r="D3374" s="1" t="s">
        <v>860</v>
      </c>
      <c r="E3374" s="3" t="str">
        <f>""</f>
        <v/>
      </c>
      <c r="F3374" s="2" t="s">
        <v>1323</v>
      </c>
      <c r="G3374" s="2" t="str">
        <f>CONCATENATE("HÖRMANN HRVATSKA D.O.O.,"," NOVA CESTA 50,"," 10000 ZAGREB,"," OIB: 67604071454")</f>
        <v>HÖRMANN HRVATSKA D.O.O., NOVA CESTA 50, 10000 ZAGREB, OIB: 67604071454</v>
      </c>
      <c r="H3374" s="4"/>
      <c r="I3374" s="1" t="s">
        <v>566</v>
      </c>
      <c r="J3374" s="5">
        <v>43550</v>
      </c>
      <c r="K3374" s="6" t="str">
        <f>"14.497,00"</f>
        <v>14.497,00</v>
      </c>
      <c r="L3374" s="6" t="str">
        <f>"3.624,25"</f>
        <v>3.624,25</v>
      </c>
      <c r="M3374" s="6" t="str">
        <f>"18.121,25"</f>
        <v>18.121,25</v>
      </c>
      <c r="N3374" s="5">
        <v>43543</v>
      </c>
      <c r="O3374" s="7"/>
      <c r="P3374" s="6" t="str">
        <f>"18.121,25"</f>
        <v>18.121,25</v>
      </c>
      <c r="Q3374" s="7"/>
      <c r="R3374" s="1"/>
      <c r="S3374" s="1" t="str">
        <f>"J-UN-2019-3190"</f>
        <v>J-UN-2019-3190</v>
      </c>
      <c r="T3374" s="2" t="s">
        <v>33</v>
      </c>
    </row>
    <row r="3375" spans="1:20" ht="25.5" x14ac:dyDescent="0.25">
      <c r="A3375" s="1">
        <v>3371</v>
      </c>
      <c r="B3375" s="1" t="str">
        <f>"2019-1641"</f>
        <v>2019-1641</v>
      </c>
      <c r="C3375" s="2" t="s">
        <v>2151</v>
      </c>
      <c r="D3375" s="1" t="s">
        <v>2152</v>
      </c>
      <c r="E3375" s="3" t="str">
        <f>""</f>
        <v/>
      </c>
      <c r="F3375" s="2" t="s">
        <v>1323</v>
      </c>
      <c r="G3375" s="2" t="str">
        <f>CONCATENATE("CROTEH D.O.O.,"," OIB: 58574865616")</f>
        <v>CROTEH D.O.O., OIB: 58574865616</v>
      </c>
      <c r="H3375" s="4"/>
      <c r="I3375" s="1" t="s">
        <v>394</v>
      </c>
      <c r="J3375" s="5">
        <v>43558</v>
      </c>
      <c r="K3375" s="6" t="str">
        <f>"13.000,00"</f>
        <v>13.000,00</v>
      </c>
      <c r="L3375" s="6" t="str">
        <f>"3.250,00"</f>
        <v>3.250,00</v>
      </c>
      <c r="M3375" s="6" t="str">
        <f>"16.250,00"</f>
        <v>16.250,00</v>
      </c>
      <c r="N3375" s="1" t="s">
        <v>117</v>
      </c>
      <c r="O3375" s="7"/>
      <c r="P3375" s="6" t="str">
        <f>""</f>
        <v/>
      </c>
      <c r="Q3375" s="7"/>
      <c r="R3375" s="1"/>
      <c r="S3375" s="1" t="str">
        <f>"J-UN-2019-3191"</f>
        <v>J-UN-2019-3191</v>
      </c>
      <c r="T3375" s="2" t="s">
        <v>33</v>
      </c>
    </row>
    <row r="3376" spans="1:20" ht="38.25" x14ac:dyDescent="0.25">
      <c r="A3376" s="1">
        <v>3372</v>
      </c>
      <c r="B3376" s="1" t="str">
        <f>"2019-1337"</f>
        <v>2019-1337</v>
      </c>
      <c r="C3376" s="2" t="s">
        <v>2153</v>
      </c>
      <c r="D3376" s="1" t="s">
        <v>1971</v>
      </c>
      <c r="E3376" s="3" t="str">
        <f>""</f>
        <v/>
      </c>
      <c r="F3376" s="2" t="s">
        <v>1323</v>
      </c>
      <c r="G3376" s="2" t="str">
        <f>CONCATENATE("GEOTEHNIČKI FAKULTET SVEUČILIŠTA U ZAGREBU,"," HALLEROVA ALEJA 7,"," 42000 VARAŽDIN,"," OIB: 16146181375")</f>
        <v>GEOTEHNIČKI FAKULTET SVEUČILIŠTA U ZAGREBU, HALLEROVA ALEJA 7, 42000 VARAŽDIN, OIB: 16146181375</v>
      </c>
      <c r="H3376" s="4"/>
      <c r="I3376" s="1" t="s">
        <v>203</v>
      </c>
      <c r="J3376" s="5">
        <v>43559</v>
      </c>
      <c r="K3376" s="6" t="str">
        <f>"29.950,00"</f>
        <v>29.950,00</v>
      </c>
      <c r="L3376" s="6" t="str">
        <f>"7.487,50"</f>
        <v>7.487,50</v>
      </c>
      <c r="M3376" s="6" t="str">
        <f>"37.437,50"</f>
        <v>37.437,50</v>
      </c>
      <c r="N3376" s="5">
        <v>43634</v>
      </c>
      <c r="O3376" s="7"/>
      <c r="P3376" s="6" t="str">
        <f>"37.437,50"</f>
        <v>37.437,50</v>
      </c>
      <c r="Q3376" s="7"/>
      <c r="R3376" s="1"/>
      <c r="S3376" s="1" t="str">
        <f>"J-UN-2019-3193"</f>
        <v>J-UN-2019-3193</v>
      </c>
      <c r="T3376" s="2" t="s">
        <v>33</v>
      </c>
    </row>
    <row r="3377" spans="1:20" ht="25.5" x14ac:dyDescent="0.25">
      <c r="A3377" s="1">
        <v>3373</v>
      </c>
      <c r="B3377" s="1" t="str">
        <f>"2019-1136"</f>
        <v>2019-1136</v>
      </c>
      <c r="C3377" s="2" t="s">
        <v>2154</v>
      </c>
      <c r="D3377" s="1" t="s">
        <v>2155</v>
      </c>
      <c r="E3377" s="3" t="str">
        <f>""</f>
        <v/>
      </c>
      <c r="F3377" s="2" t="s">
        <v>1323</v>
      </c>
      <c r="G3377" s="2" t="str">
        <f>CONCATENATE("GASTRO LP D.O.O.,"," BUKOVAČKI VIJENAC 17,"," 10000 ZAGREB,"," OIB: 40121715817")</f>
        <v>GASTRO LP D.O.O., BUKOVAČKI VIJENAC 17, 10000 ZAGREB, OIB: 40121715817</v>
      </c>
      <c r="H3377" s="4"/>
      <c r="I3377" s="1" t="s">
        <v>302</v>
      </c>
      <c r="J3377" s="5">
        <v>43553</v>
      </c>
      <c r="K3377" s="6" t="str">
        <f>"31.500,00"</f>
        <v>31.500,00</v>
      </c>
      <c r="L3377" s="6" t="str">
        <f>"7.875,00"</f>
        <v>7.875,00</v>
      </c>
      <c r="M3377" s="6" t="str">
        <f>"39.375,00"</f>
        <v>39.375,00</v>
      </c>
      <c r="N3377" s="5">
        <v>43553</v>
      </c>
      <c r="O3377" s="7"/>
      <c r="P3377" s="6" t="str">
        <f>"39.375,00"</f>
        <v>39.375,00</v>
      </c>
      <c r="Q3377" s="7"/>
      <c r="R3377" s="1"/>
      <c r="S3377" s="1" t="str">
        <f>"J-UN-2019-3202"</f>
        <v>J-UN-2019-3202</v>
      </c>
      <c r="T3377" s="2" t="s">
        <v>33</v>
      </c>
    </row>
    <row r="3378" spans="1:20" ht="25.5" x14ac:dyDescent="0.25">
      <c r="A3378" s="1">
        <v>3374</v>
      </c>
      <c r="B3378" s="1" t="str">
        <f>"2019-1456"</f>
        <v>2019-1456</v>
      </c>
      <c r="C3378" s="2" t="s">
        <v>2156</v>
      </c>
      <c r="D3378" s="1" t="s">
        <v>1416</v>
      </c>
      <c r="E3378" s="3" t="str">
        <f>""</f>
        <v/>
      </c>
      <c r="F3378" s="2" t="s">
        <v>1323</v>
      </c>
      <c r="G3378" s="2" t="str">
        <f>CONCATENATE("AUTO BENUSSI D.O.O.,"," INDUSTRIJSKA 2D,"," 52100 PULA,"," OIB: 96262119913")</f>
        <v>AUTO BENUSSI D.O.O., INDUSTRIJSKA 2D, 52100 PULA, OIB: 96262119913</v>
      </c>
      <c r="H3378" s="4"/>
      <c r="I3378" s="1" t="s">
        <v>203</v>
      </c>
      <c r="J3378" s="5">
        <v>43559</v>
      </c>
      <c r="K3378" s="6" t="str">
        <f>"80.300,00"</f>
        <v>80.300,00</v>
      </c>
      <c r="L3378" s="6" t="str">
        <f>"20.075,00"</f>
        <v>20.075,00</v>
      </c>
      <c r="M3378" s="6" t="str">
        <f>"100.375,00"</f>
        <v>100.375,00</v>
      </c>
      <c r="N3378" s="1" t="s">
        <v>117</v>
      </c>
      <c r="O3378" s="7"/>
      <c r="P3378" s="6" t="str">
        <f>""</f>
        <v/>
      </c>
      <c r="Q3378" s="7"/>
      <c r="R3378" s="1"/>
      <c r="S3378" s="1" t="str">
        <f>"J-UN-2019-3207"</f>
        <v>J-UN-2019-3207</v>
      </c>
      <c r="T3378" s="2" t="s">
        <v>33</v>
      </c>
    </row>
    <row r="3379" spans="1:20" ht="25.5" x14ac:dyDescent="0.25">
      <c r="A3379" s="1">
        <v>3375</v>
      </c>
      <c r="B3379" s="1" t="str">
        <f>"2019-149"</f>
        <v>2019-149</v>
      </c>
      <c r="C3379" s="2" t="s">
        <v>2157</v>
      </c>
      <c r="D3379" s="1" t="s">
        <v>2158</v>
      </c>
      <c r="E3379" s="3" t="str">
        <f>""</f>
        <v/>
      </c>
      <c r="F3379" s="2" t="s">
        <v>1323</v>
      </c>
      <c r="G3379" s="2" t="str">
        <f>CONCATENATE("ALFA PRINT D.O.O.,"," ANTE MIKE TRIPALA 9,"," 10000 ZAGREB,"," OIB: 197473974")</f>
        <v>ALFA PRINT D.O.O., ANTE MIKE TRIPALA 9, 10000 ZAGREB, OIB: 197473974</v>
      </c>
      <c r="H3379" s="4"/>
      <c r="I3379" s="1" t="s">
        <v>340</v>
      </c>
      <c r="J3379" s="5">
        <v>43564</v>
      </c>
      <c r="K3379" s="6" t="str">
        <f>"28.953,00"</f>
        <v>28.953,00</v>
      </c>
      <c r="L3379" s="6" t="str">
        <f>"7.238,25"</f>
        <v>7.238,25</v>
      </c>
      <c r="M3379" s="6" t="str">
        <f>"36.191,25"</f>
        <v>36.191,25</v>
      </c>
      <c r="N3379" s="5">
        <v>43606</v>
      </c>
      <c r="O3379" s="7"/>
      <c r="P3379" s="6" t="str">
        <f>"36.191,25"</f>
        <v>36.191,25</v>
      </c>
      <c r="Q3379" s="7"/>
      <c r="R3379" s="1"/>
      <c r="S3379" s="1" t="str">
        <f>"J-UN-2019-3209"</f>
        <v>J-UN-2019-3209</v>
      </c>
      <c r="T3379" s="2" t="s">
        <v>33</v>
      </c>
    </row>
    <row r="3380" spans="1:20" ht="25.5" x14ac:dyDescent="0.25">
      <c r="A3380" s="1">
        <v>3376</v>
      </c>
      <c r="B3380" s="1" t="str">
        <f>"2019-388"</f>
        <v>2019-388</v>
      </c>
      <c r="C3380" s="2" t="s">
        <v>2159</v>
      </c>
      <c r="D3380" s="1" t="s">
        <v>1419</v>
      </c>
      <c r="E3380" s="3" t="str">
        <f>""</f>
        <v/>
      </c>
      <c r="F3380" s="2" t="s">
        <v>1323</v>
      </c>
      <c r="G3380" s="2" t="str">
        <f>CONCATENATE("DIGITAL MEDIA D.O.O.,"," MARŠALA TITA 39,"," 40000 ŠENKOVEC,"," OIB: 3705901566")</f>
        <v>DIGITAL MEDIA D.O.O., MARŠALA TITA 39, 40000 ŠENKOVEC, OIB: 3705901566</v>
      </c>
      <c r="H3380" s="4"/>
      <c r="I3380" s="1" t="s">
        <v>203</v>
      </c>
      <c r="J3380" s="5">
        <v>43559</v>
      </c>
      <c r="K3380" s="6" t="str">
        <f>"11.030,00"</f>
        <v>11.030,00</v>
      </c>
      <c r="L3380" s="6" t="str">
        <f>"2.757,50"</f>
        <v>2.757,50</v>
      </c>
      <c r="M3380" s="6" t="str">
        <f>"13.787,50"</f>
        <v>13.787,50</v>
      </c>
      <c r="N3380" s="5">
        <v>43565</v>
      </c>
      <c r="O3380" s="7"/>
      <c r="P3380" s="6" t="str">
        <f>"13.787,50"</f>
        <v>13.787,50</v>
      </c>
      <c r="Q3380" s="7"/>
      <c r="R3380" s="1"/>
      <c r="S3380" s="1" t="str">
        <f>"J-UN-2019-3211"</f>
        <v>J-UN-2019-3211</v>
      </c>
      <c r="T3380" s="2" t="s">
        <v>33</v>
      </c>
    </row>
    <row r="3381" spans="1:20" ht="25.5" x14ac:dyDescent="0.25">
      <c r="A3381" s="1">
        <v>3377</v>
      </c>
      <c r="B3381" s="1" t="str">
        <f>"2019-364"</f>
        <v>2019-364</v>
      </c>
      <c r="C3381" s="2" t="s">
        <v>2160</v>
      </c>
      <c r="D3381" s="1" t="s">
        <v>1534</v>
      </c>
      <c r="E3381" s="3" t="str">
        <f>""</f>
        <v/>
      </c>
      <c r="F3381" s="2" t="s">
        <v>1323</v>
      </c>
      <c r="G3381" s="2" t="str">
        <f>CONCATENATE("ECCOS-INŽENJERING D.O.O.,"," BANI 110,"," 10000 ZAGREB,"," OIB: 71629027685")</f>
        <v>ECCOS-INŽENJERING D.O.O., BANI 110, 10000 ZAGREB, OIB: 71629027685</v>
      </c>
      <c r="H3381" s="4"/>
      <c r="I3381" s="1" t="s">
        <v>322</v>
      </c>
      <c r="J3381" s="5">
        <v>43565</v>
      </c>
      <c r="K3381" s="6" t="str">
        <f>"1.800,00"</f>
        <v>1.800,00</v>
      </c>
      <c r="L3381" s="6" t="str">
        <f>"450,00"</f>
        <v>450,00</v>
      </c>
      <c r="M3381" s="6" t="str">
        <f>"2.250,00"</f>
        <v>2.250,00</v>
      </c>
      <c r="N3381" s="5">
        <v>43565</v>
      </c>
      <c r="O3381" s="7"/>
      <c r="P3381" s="6" t="str">
        <f>"2.250,00"</f>
        <v>2.250,00</v>
      </c>
      <c r="Q3381" s="7"/>
      <c r="R3381" s="1"/>
      <c r="S3381" s="1" t="str">
        <f>"J-UN-2019-3214"</f>
        <v>J-UN-2019-3214</v>
      </c>
      <c r="T3381" s="2" t="s">
        <v>33</v>
      </c>
    </row>
    <row r="3382" spans="1:20" ht="25.5" x14ac:dyDescent="0.25">
      <c r="A3382" s="1">
        <v>3378</v>
      </c>
      <c r="B3382" s="1" t="str">
        <f>"2019-2600"</f>
        <v>2019-2600</v>
      </c>
      <c r="C3382" s="2" t="s">
        <v>2161</v>
      </c>
      <c r="D3382" s="1" t="s">
        <v>727</v>
      </c>
      <c r="E3382" s="3" t="str">
        <f>""</f>
        <v/>
      </c>
      <c r="F3382" s="2" t="s">
        <v>1323</v>
      </c>
      <c r="G3382" s="2" t="str">
        <f>CONCATENATE("VV-OBUĆA TRGOVINA D.O.O.,"," BRAĆE KAZIĆ 7,"," 10450 JASTREBARSKO,"," OIB: 92982101845")</f>
        <v>VV-OBUĆA TRGOVINA D.O.O., BRAĆE KAZIĆ 7, 10450 JASTREBARSKO, OIB: 92982101845</v>
      </c>
      <c r="H3382" s="4"/>
      <c r="I3382" s="1" t="s">
        <v>266</v>
      </c>
      <c r="J3382" s="5">
        <v>43572</v>
      </c>
      <c r="K3382" s="6" t="str">
        <f>"142.177,90"</f>
        <v>142.177,90</v>
      </c>
      <c r="L3382" s="6" t="str">
        <f>"35.544,48"</f>
        <v>35.544,48</v>
      </c>
      <c r="M3382" s="6" t="str">
        <f>"177.722,38"</f>
        <v>177.722,38</v>
      </c>
      <c r="N3382" s="5">
        <v>43595</v>
      </c>
      <c r="O3382" s="7"/>
      <c r="P3382" s="6" t="str">
        <f>"177.722,38"</f>
        <v>177.722,38</v>
      </c>
      <c r="Q3382" s="7"/>
      <c r="R3382" s="1"/>
      <c r="S3382" s="1" t="str">
        <f>"J-UN-2019-3215"</f>
        <v>J-UN-2019-3215</v>
      </c>
      <c r="T3382" s="2" t="s">
        <v>33</v>
      </c>
    </row>
    <row r="3383" spans="1:20" ht="38.25" x14ac:dyDescent="0.25">
      <c r="A3383" s="1">
        <v>3379</v>
      </c>
      <c r="B3383" s="1" t="str">
        <f>"2019-328"</f>
        <v>2019-328</v>
      </c>
      <c r="C3383" s="2" t="s">
        <v>2162</v>
      </c>
      <c r="D3383" s="1" t="s">
        <v>2163</v>
      </c>
      <c r="E3383" s="3" t="str">
        <f>""</f>
        <v/>
      </c>
      <c r="F3383" s="2" t="s">
        <v>1323</v>
      </c>
      <c r="G3383" s="2" t="str">
        <f>CONCATENATE("EKOTEH DOZIMETRIJA D.O.O.,"," VLADIMIRA RUŽDJAKA 21,"," 10000 ZAGREB,"," OIB: 44716804217")</f>
        <v>EKOTEH DOZIMETRIJA D.O.O., VLADIMIRA RUŽDJAKA 21, 10000 ZAGREB, OIB: 44716804217</v>
      </c>
      <c r="H3383" s="4"/>
      <c r="I3383" s="1" t="s">
        <v>322</v>
      </c>
      <c r="J3383" s="5">
        <v>43565</v>
      </c>
      <c r="K3383" s="6" t="str">
        <f>"3.000,00"</f>
        <v>3.000,00</v>
      </c>
      <c r="L3383" s="6" t="str">
        <f>"750,00"</f>
        <v>750,00</v>
      </c>
      <c r="M3383" s="6" t="str">
        <f>"3.750,00"</f>
        <v>3.750,00</v>
      </c>
      <c r="N3383" s="5">
        <v>43606</v>
      </c>
      <c r="O3383" s="7"/>
      <c r="P3383" s="6" t="str">
        <f>"3.750,00"</f>
        <v>3.750,00</v>
      </c>
      <c r="Q3383" s="7"/>
      <c r="R3383" s="1"/>
      <c r="S3383" s="1" t="str">
        <f>"J-UN-2019-3216"</f>
        <v>J-UN-2019-3216</v>
      </c>
      <c r="T3383" s="2" t="s">
        <v>33</v>
      </c>
    </row>
    <row r="3384" spans="1:20" ht="38.25" x14ac:dyDescent="0.25">
      <c r="A3384" s="1">
        <v>3380</v>
      </c>
      <c r="B3384" s="1" t="str">
        <f>"2019-553"</f>
        <v>2019-553</v>
      </c>
      <c r="C3384" s="2" t="s">
        <v>2164</v>
      </c>
      <c r="D3384" s="1" t="s">
        <v>2117</v>
      </c>
      <c r="E3384" s="3" t="str">
        <f>""</f>
        <v/>
      </c>
      <c r="F3384" s="2" t="s">
        <v>1323</v>
      </c>
      <c r="G3384" s="2" t="str">
        <f>CONCATENATE("KADEI 360 D.O.O.,"," IVE MALLINA 30,"," 10000 ZAGREB,"," OIB: 7082163502")</f>
        <v>KADEI 360 D.O.O., IVE MALLINA 30, 10000 ZAGREB, OIB: 7082163502</v>
      </c>
      <c r="H3384" s="4"/>
      <c r="I3384" s="1" t="s">
        <v>318</v>
      </c>
      <c r="J3384" s="5">
        <v>43573</v>
      </c>
      <c r="K3384" s="6" t="str">
        <f>"26.900,05"</f>
        <v>26.900,05</v>
      </c>
      <c r="L3384" s="6" t="str">
        <f>"6.725,01"</f>
        <v>6.725,01</v>
      </c>
      <c r="M3384" s="6" t="str">
        <f>"33.625,06"</f>
        <v>33.625,06</v>
      </c>
      <c r="N3384" s="5">
        <v>43578</v>
      </c>
      <c r="O3384" s="7"/>
      <c r="P3384" s="6" t="str">
        <f>"33.625,06"</f>
        <v>33.625,06</v>
      </c>
      <c r="Q3384" s="7"/>
      <c r="R3384" s="1"/>
      <c r="S3384" s="1" t="str">
        <f>"J-UN-2019-3217"</f>
        <v>J-UN-2019-3217</v>
      </c>
      <c r="T3384" s="2" t="s">
        <v>33</v>
      </c>
    </row>
    <row r="3385" spans="1:20" ht="25.5" x14ac:dyDescent="0.25">
      <c r="A3385" s="1">
        <v>3381</v>
      </c>
      <c r="B3385" s="1" t="str">
        <f>"2019-916"</f>
        <v>2019-916</v>
      </c>
      <c r="C3385" s="2" t="s">
        <v>2165</v>
      </c>
      <c r="D3385" s="1" t="s">
        <v>2166</v>
      </c>
      <c r="E3385" s="3" t="str">
        <f>""</f>
        <v/>
      </c>
      <c r="F3385" s="2" t="s">
        <v>1323</v>
      </c>
      <c r="G3385" s="2" t="str">
        <f>CONCATENATE("R.U.T.T. D.O.O.,"," NOVA VES 35,"," 10000 ZAGREB,"," OIB: 1367070088")</f>
        <v>R.U.T.T. D.O.O., NOVA VES 35, 10000 ZAGREB, OIB: 1367070088</v>
      </c>
      <c r="H3385" s="4"/>
      <c r="I3385" s="1" t="s">
        <v>318</v>
      </c>
      <c r="J3385" s="5">
        <v>43573</v>
      </c>
      <c r="K3385" s="6" t="str">
        <f>"17.190,00"</f>
        <v>17.190,00</v>
      </c>
      <c r="L3385" s="6" t="str">
        <f>"4.297,50"</f>
        <v>4.297,50</v>
      </c>
      <c r="M3385" s="6" t="str">
        <f>"21.487,50"</f>
        <v>21.487,50</v>
      </c>
      <c r="N3385" s="5">
        <v>43606</v>
      </c>
      <c r="O3385" s="7"/>
      <c r="P3385" s="6" t="str">
        <f>"21.487,50"</f>
        <v>21.487,50</v>
      </c>
      <c r="Q3385" s="7"/>
      <c r="R3385" s="1"/>
      <c r="S3385" s="1" t="str">
        <f>"J-UN-2019-3240"</f>
        <v>J-UN-2019-3240</v>
      </c>
      <c r="T3385" s="2" t="s">
        <v>33</v>
      </c>
    </row>
    <row r="3386" spans="1:20" ht="25.5" x14ac:dyDescent="0.25">
      <c r="A3386" s="1">
        <v>3382</v>
      </c>
      <c r="B3386" s="1" t="str">
        <f>"2019-1551"</f>
        <v>2019-1551</v>
      </c>
      <c r="C3386" s="2" t="s">
        <v>2167</v>
      </c>
      <c r="D3386" s="1" t="s">
        <v>2168</v>
      </c>
      <c r="E3386" s="3" t="str">
        <f>""</f>
        <v/>
      </c>
      <c r="F3386" s="2" t="s">
        <v>1323</v>
      </c>
      <c r="G3386" s="2" t="str">
        <f>CONCATENATE("VAGE D.O.O.,"," KOLEDOVČINA 2A,"," 10000 ZAGREB,"," OIB: 30335873024")</f>
        <v>VAGE D.O.O., KOLEDOVČINA 2A, 10000 ZAGREB, OIB: 30335873024</v>
      </c>
      <c r="H3386" s="4"/>
      <c r="I3386" s="1" t="s">
        <v>30</v>
      </c>
      <c r="J3386" s="5">
        <v>43570</v>
      </c>
      <c r="K3386" s="6" t="str">
        <f>"18.000,00"</f>
        <v>18.000,00</v>
      </c>
      <c r="L3386" s="6" t="str">
        <f>"4.500,00"</f>
        <v>4.500,00</v>
      </c>
      <c r="M3386" s="6" t="str">
        <f>"22.500,00"</f>
        <v>22.500,00</v>
      </c>
      <c r="N3386" s="5">
        <v>43581</v>
      </c>
      <c r="O3386" s="7"/>
      <c r="P3386" s="6" t="str">
        <f>"22.500,00"</f>
        <v>22.500,00</v>
      </c>
      <c r="Q3386" s="7"/>
      <c r="R3386" s="1"/>
      <c r="S3386" s="1" t="str">
        <f>"J-UN-2019-3241"</f>
        <v>J-UN-2019-3241</v>
      </c>
      <c r="T3386" s="2" t="s">
        <v>33</v>
      </c>
    </row>
    <row r="3387" spans="1:20" ht="38.25" x14ac:dyDescent="0.25">
      <c r="A3387" s="1">
        <v>3383</v>
      </c>
      <c r="B3387" s="1" t="str">
        <f>"2019-13"</f>
        <v>2019-13</v>
      </c>
      <c r="C3387" s="2" t="s">
        <v>2146</v>
      </c>
      <c r="D3387" s="1" t="s">
        <v>2147</v>
      </c>
      <c r="E3387" s="3" t="str">
        <f>""</f>
        <v/>
      </c>
      <c r="F3387" s="2" t="s">
        <v>1323</v>
      </c>
      <c r="G3387" s="2" t="str">
        <f>CONCATENATE("IDEA PROJEKT D.O.O.,"," FLANATIČKA 25,"," 521000 PULA,"," OIB: 0225710134")</f>
        <v>IDEA PROJEKT D.O.O., FLANATIČKA 25, 521000 PULA, OIB: 0225710134</v>
      </c>
      <c r="H3387" s="4"/>
      <c r="I3387" s="1" t="s">
        <v>494</v>
      </c>
      <c r="J3387" s="5">
        <v>43584</v>
      </c>
      <c r="K3387" s="6" t="str">
        <f>"26.829,00"</f>
        <v>26.829,00</v>
      </c>
      <c r="L3387" s="6" t="str">
        <f>"6.707,25"</f>
        <v>6.707,25</v>
      </c>
      <c r="M3387" s="6" t="str">
        <f>"33.536,25"</f>
        <v>33.536,25</v>
      </c>
      <c r="N3387" s="5">
        <v>43619</v>
      </c>
      <c r="O3387" s="7"/>
      <c r="P3387" s="6" t="str">
        <f>"33.536,25"</f>
        <v>33.536,25</v>
      </c>
      <c r="Q3387" s="7"/>
      <c r="R3387" s="1"/>
      <c r="S3387" s="1" t="str">
        <f>"J-UN-2019-3257"</f>
        <v>J-UN-2019-3257</v>
      </c>
      <c r="T3387" s="2" t="s">
        <v>33</v>
      </c>
    </row>
    <row r="3388" spans="1:20" ht="38.25" x14ac:dyDescent="0.25">
      <c r="A3388" s="1">
        <v>3384</v>
      </c>
      <c r="B3388" s="1" t="str">
        <f>"2019-106"</f>
        <v>2019-106</v>
      </c>
      <c r="C3388" s="2" t="s">
        <v>2169</v>
      </c>
      <c r="D3388" s="1" t="s">
        <v>2099</v>
      </c>
      <c r="E3388" s="3" t="str">
        <f>""</f>
        <v/>
      </c>
      <c r="F3388" s="2" t="s">
        <v>1323</v>
      </c>
      <c r="G3388" s="2" t="str">
        <f>CONCATENATE("KUM TRADE ENGINEERING D.O.O.,"," SAVSKI GAJ XIII PUT 2,"," 10000 ZAGREB,"," OIB: 15856331916")</f>
        <v>KUM TRADE ENGINEERING D.O.O., SAVSKI GAJ XIII PUT 2, 10000 ZAGREB, OIB: 15856331916</v>
      </c>
      <c r="H3388" s="4"/>
      <c r="I3388" s="1" t="s">
        <v>494</v>
      </c>
      <c r="J3388" s="5">
        <v>43584</v>
      </c>
      <c r="K3388" s="6" t="str">
        <f>"53.263,00"</f>
        <v>53.263,00</v>
      </c>
      <c r="L3388" s="6" t="str">
        <f>"13.315,75"</f>
        <v>13.315,75</v>
      </c>
      <c r="M3388" s="6" t="str">
        <f>"66.578,75"</f>
        <v>66.578,75</v>
      </c>
      <c r="N3388" s="5">
        <v>43598</v>
      </c>
      <c r="O3388" s="7"/>
      <c r="P3388" s="6" t="str">
        <f>"66.578,75"</f>
        <v>66.578,75</v>
      </c>
      <c r="Q3388" s="7"/>
      <c r="R3388" s="1"/>
      <c r="S3388" s="1" t="str">
        <f>"J-UN-2019-3268"</f>
        <v>J-UN-2019-3268</v>
      </c>
      <c r="T3388" s="2" t="s">
        <v>33</v>
      </c>
    </row>
    <row r="3389" spans="1:20" ht="51" x14ac:dyDescent="0.25">
      <c r="A3389" s="1">
        <v>3385</v>
      </c>
      <c r="B3389" s="1" t="str">
        <f>"2019-1902"</f>
        <v>2019-1902</v>
      </c>
      <c r="C3389" s="2" t="s">
        <v>2170</v>
      </c>
      <c r="D3389" s="1" t="s">
        <v>2099</v>
      </c>
      <c r="E3389" s="3" t="str">
        <f>""</f>
        <v/>
      </c>
      <c r="F3389" s="2" t="s">
        <v>1323</v>
      </c>
      <c r="G3389" s="2" t="str">
        <f>CONCATENATE("ELEKTRO - REMONT,"," SERVIS PLAMENIKA I KOTLOVA,"," VL. KRUNOSLAV JANJIĆ,"," ZAGREBAČKA 117,"," 35000 SLAVONSKI BROD,"," OIB: 247954733")</f>
        <v>ELEKTRO - REMONT, SERVIS PLAMENIKA I KOTLOVA, VL. KRUNOSLAV JANJIĆ, ZAGREBAČKA 117, 35000 SLAVONSKI BROD, OIB: 247954733</v>
      </c>
      <c r="H3389" s="4"/>
      <c r="I3389" s="1" t="s">
        <v>494</v>
      </c>
      <c r="J3389" s="5">
        <v>43584</v>
      </c>
      <c r="K3389" s="6" t="str">
        <f>"23.510,00"</f>
        <v>23.510,00</v>
      </c>
      <c r="L3389" s="6" t="str">
        <f>"5.877,50"</f>
        <v>5.877,50</v>
      </c>
      <c r="M3389" s="6" t="str">
        <f>"29.387,50"</f>
        <v>29.387,50</v>
      </c>
      <c r="N3389" s="5">
        <v>43601</v>
      </c>
      <c r="O3389" s="7"/>
      <c r="P3389" s="6" t="str">
        <f>"29.387,50"</f>
        <v>29.387,50</v>
      </c>
      <c r="Q3389" s="7"/>
      <c r="R3389" s="1"/>
      <c r="S3389" s="1" t="str">
        <f>"J-UN-2019-3269"</f>
        <v>J-UN-2019-3269</v>
      </c>
      <c r="T3389" s="2" t="s">
        <v>33</v>
      </c>
    </row>
    <row r="3390" spans="1:20" ht="38.25" x14ac:dyDescent="0.25">
      <c r="A3390" s="1">
        <v>3386</v>
      </c>
      <c r="B3390" s="1" t="str">
        <f>"2019-1661"</f>
        <v>2019-1661</v>
      </c>
      <c r="C3390" s="2" t="s">
        <v>2171</v>
      </c>
      <c r="D3390" s="1" t="s">
        <v>2099</v>
      </c>
      <c r="E3390" s="3" t="str">
        <f>""</f>
        <v/>
      </c>
      <c r="F3390" s="2" t="s">
        <v>1323</v>
      </c>
      <c r="G3390" s="2" t="str">
        <f>CONCATENATE("PROCESNA OPREMA D.O.O.,"," MAJSTORSKA 11,"," 10000 ZAGREB,"," OIB: 82552676073")</f>
        <v>PROCESNA OPREMA D.O.O., MAJSTORSKA 11, 10000 ZAGREB, OIB: 82552676073</v>
      </c>
      <c r="H3390" s="4"/>
      <c r="I3390" s="1" t="s">
        <v>641</v>
      </c>
      <c r="J3390" s="5">
        <v>43600</v>
      </c>
      <c r="K3390" s="6" t="str">
        <f>"46.245,00"</f>
        <v>46.245,00</v>
      </c>
      <c r="L3390" s="6" t="str">
        <f>"11.561,25"</f>
        <v>11.561,25</v>
      </c>
      <c r="M3390" s="6" t="str">
        <f>"57.806,25"</f>
        <v>57.806,25</v>
      </c>
      <c r="N3390" s="5">
        <v>43626</v>
      </c>
      <c r="O3390" s="7"/>
      <c r="P3390" s="6" t="str">
        <f>"57.806,25"</f>
        <v>57.806,25</v>
      </c>
      <c r="Q3390" s="7"/>
      <c r="R3390" s="1"/>
      <c r="S3390" s="1" t="str">
        <f>"J-UN-2019-3281"</f>
        <v>J-UN-2019-3281</v>
      </c>
      <c r="T3390" s="2" t="s">
        <v>33</v>
      </c>
    </row>
    <row r="3391" spans="1:20" ht="38.25" x14ac:dyDescent="0.25">
      <c r="A3391" s="1">
        <v>3387</v>
      </c>
      <c r="B3391" s="1" t="str">
        <f>"2019-12"</f>
        <v>2019-12</v>
      </c>
      <c r="C3391" s="2" t="s">
        <v>2140</v>
      </c>
      <c r="D3391" s="1" t="s">
        <v>1720</v>
      </c>
      <c r="E3391" s="3" t="str">
        <f>""</f>
        <v/>
      </c>
      <c r="F3391" s="2" t="s">
        <v>1323</v>
      </c>
      <c r="G3391" s="2" t="str">
        <f>CONCATENATE("VELEKEM D.D.,"," UL.KNEZA LJUDEVITA POSAVSKOG 13,"," 10360 SESVETE,"," OIB: 62347407589")</f>
        <v>VELEKEM D.D., UL.KNEZA LJUDEVITA POSAVSKOG 13, 10360 SESVETE, OIB: 62347407589</v>
      </c>
      <c r="H3391" s="4"/>
      <c r="I3391" s="1" t="s">
        <v>64</v>
      </c>
      <c r="J3391" s="5">
        <v>43587</v>
      </c>
      <c r="K3391" s="6" t="str">
        <f>"869,97"</f>
        <v>869,97</v>
      </c>
      <c r="L3391" s="6" t="str">
        <f>"217,49"</f>
        <v>217,49</v>
      </c>
      <c r="M3391" s="6" t="str">
        <f>"1.087,46"</f>
        <v>1.087,46</v>
      </c>
      <c r="N3391" s="5">
        <v>43591</v>
      </c>
      <c r="O3391" s="7"/>
      <c r="P3391" s="6" t="str">
        <f>"1.087,46"</f>
        <v>1.087,46</v>
      </c>
      <c r="Q3391" s="7"/>
      <c r="R3391" s="1"/>
      <c r="S3391" s="1" t="str">
        <f>"J-UN-2019-3283"</f>
        <v>J-UN-2019-3283</v>
      </c>
      <c r="T3391" s="2" t="s">
        <v>33</v>
      </c>
    </row>
    <row r="3392" spans="1:20" ht="25.5" x14ac:dyDescent="0.25">
      <c r="A3392" s="1">
        <v>3388</v>
      </c>
      <c r="B3392" s="1" t="str">
        <f>"2019-2109"</f>
        <v>2019-2109</v>
      </c>
      <c r="C3392" s="2" t="s">
        <v>2172</v>
      </c>
      <c r="D3392" s="1" t="s">
        <v>2173</v>
      </c>
      <c r="E3392" s="3" t="str">
        <f>""</f>
        <v/>
      </c>
      <c r="F3392" s="2" t="s">
        <v>1323</v>
      </c>
      <c r="G3392" s="2" t="str">
        <f>CONCATENATE("KURIJA SUVENIRI D.O.O.,"," MIHANOVIĆEVA 4,"," 47000 KARLOVAC,"," OIB: 10384365453")</f>
        <v>KURIJA SUVENIRI D.O.O., MIHANOVIĆEVA 4, 47000 KARLOVAC, OIB: 10384365453</v>
      </c>
      <c r="H3392" s="4"/>
      <c r="I3392" s="1" t="s">
        <v>64</v>
      </c>
      <c r="J3392" s="5">
        <v>43587</v>
      </c>
      <c r="K3392" s="6" t="str">
        <f>"36.000,00"</f>
        <v>36.000,00</v>
      </c>
      <c r="L3392" s="6" t="str">
        <f>"9.000,00"</f>
        <v>9.000,00</v>
      </c>
      <c r="M3392" s="6" t="str">
        <f>"45.000,00"</f>
        <v>45.000,00</v>
      </c>
      <c r="N3392" s="5">
        <v>43616</v>
      </c>
      <c r="O3392" s="7"/>
      <c r="P3392" s="6" t="str">
        <f>"33.750,00"</f>
        <v>33.750,00</v>
      </c>
      <c r="Q3392" s="7"/>
      <c r="R3392" s="1"/>
      <c r="S3392" s="1" t="str">
        <f>"J-UN-2019-3284"</f>
        <v>J-UN-2019-3284</v>
      </c>
      <c r="T3392" s="2" t="s">
        <v>33</v>
      </c>
    </row>
    <row r="3393" spans="1:20" ht="25.5" x14ac:dyDescent="0.25">
      <c r="A3393" s="1">
        <v>3389</v>
      </c>
      <c r="B3393" s="1" t="str">
        <f>"2019-2599"</f>
        <v>2019-2599</v>
      </c>
      <c r="C3393" s="2" t="s">
        <v>2174</v>
      </c>
      <c r="D3393" s="1" t="s">
        <v>2132</v>
      </c>
      <c r="E3393" s="3" t="str">
        <f>""</f>
        <v/>
      </c>
      <c r="F3393" s="2" t="s">
        <v>1323</v>
      </c>
      <c r="G3393" s="2" t="str">
        <f>CONCATENATE("VEČERNJI LIST D.O.O.,"," OREŠKOVIĆEVA 6H1,"," 10000 ZAGREB,"," OIB: 92276133102")</f>
        <v>VEČERNJI LIST D.O.O., OREŠKOVIĆEVA 6H1, 10000 ZAGREB, OIB: 92276133102</v>
      </c>
      <c r="H3393" s="4"/>
      <c r="I3393" s="1" t="s">
        <v>637</v>
      </c>
      <c r="J3393" s="5">
        <v>43594</v>
      </c>
      <c r="K3393" s="6" t="str">
        <f>"198.000,00"</f>
        <v>198.000,00</v>
      </c>
      <c r="L3393" s="6" t="str">
        <f>"49.500,00"</f>
        <v>49.500,00</v>
      </c>
      <c r="M3393" s="6" t="str">
        <f>"247.500,00"</f>
        <v>247.500,00</v>
      </c>
      <c r="N3393" s="5">
        <v>43616</v>
      </c>
      <c r="O3393" s="7"/>
      <c r="P3393" s="6" t="str">
        <f>"247.500,00"</f>
        <v>247.500,00</v>
      </c>
      <c r="Q3393" s="7"/>
      <c r="R3393" s="1"/>
      <c r="S3393" s="1" t="str">
        <f>"J-UN-2019-3299"</f>
        <v>J-UN-2019-3299</v>
      </c>
      <c r="T3393" s="2" t="s">
        <v>33</v>
      </c>
    </row>
    <row r="3394" spans="1:20" ht="38.25" x14ac:dyDescent="0.25">
      <c r="A3394" s="1">
        <v>3390</v>
      </c>
      <c r="B3394" s="1" t="str">
        <f>"2019-2625"</f>
        <v>2019-2625</v>
      </c>
      <c r="C3394" s="2" t="s">
        <v>1098</v>
      </c>
      <c r="D3394" s="1" t="s">
        <v>625</v>
      </c>
      <c r="E3394" s="3" t="str">
        <f>""</f>
        <v/>
      </c>
      <c r="F3394" s="2" t="s">
        <v>1323</v>
      </c>
      <c r="G3394" s="2" t="str">
        <f>CONCATENATE("NASTAVNI ZAVOD ZA JAVNO ZDRAVSTVO DR. ANDRIJA ŠTAMPAR,"," MIROGOJSKA CESTA 16,"," 10000 ZAGREB,"," OIB: 3339200596")</f>
        <v>NASTAVNI ZAVOD ZA JAVNO ZDRAVSTVO DR. ANDRIJA ŠTAMPAR, MIROGOJSKA CESTA 16, 10000 ZAGREB, OIB: 3339200596</v>
      </c>
      <c r="H3394" s="4"/>
      <c r="I3394" s="1" t="s">
        <v>464</v>
      </c>
      <c r="J3394" s="5">
        <v>43595</v>
      </c>
      <c r="K3394" s="6" t="str">
        <f>"454,00"</f>
        <v>454,00</v>
      </c>
      <c r="L3394" s="6" t="str">
        <f>"113,50"</f>
        <v>113,50</v>
      </c>
      <c r="M3394" s="6" t="str">
        <f>"567,50"</f>
        <v>567,50</v>
      </c>
      <c r="N3394" s="5">
        <v>43607</v>
      </c>
      <c r="O3394" s="7"/>
      <c r="P3394" s="6" t="str">
        <f>"567,50"</f>
        <v>567,50</v>
      </c>
      <c r="Q3394" s="7"/>
      <c r="R3394" s="1"/>
      <c r="S3394" s="1" t="str">
        <f>"J-UN-2019-3300"</f>
        <v>J-UN-2019-3300</v>
      </c>
      <c r="T3394" s="2" t="s">
        <v>33</v>
      </c>
    </row>
    <row r="3395" spans="1:20" ht="25.5" x14ac:dyDescent="0.25">
      <c r="A3395" s="1">
        <v>3391</v>
      </c>
      <c r="B3395" s="1" t="str">
        <f>"2019-988"</f>
        <v>2019-988</v>
      </c>
      <c r="C3395" s="2" t="s">
        <v>2175</v>
      </c>
      <c r="D3395" s="1" t="s">
        <v>2176</v>
      </c>
      <c r="E3395" s="3" t="str">
        <f>""</f>
        <v/>
      </c>
      <c r="F3395" s="2" t="s">
        <v>1323</v>
      </c>
      <c r="G3395" s="2" t="str">
        <f>CONCATENATE("KRUŠNICA D.O.O.,"," DONJE DVORIŠĆE 11,"," 10370 DUGO SELO,"," OIB: 9129638683")</f>
        <v>KRUŠNICA D.O.O., DONJE DVORIŠĆE 11, 10370 DUGO SELO, OIB: 9129638683</v>
      </c>
      <c r="H3395" s="4"/>
      <c r="I3395" s="1" t="s">
        <v>401</v>
      </c>
      <c r="J3395" s="5">
        <v>43593</v>
      </c>
      <c r="K3395" s="6" t="str">
        <f>"29.820,00"</f>
        <v>29.820,00</v>
      </c>
      <c r="L3395" s="6" t="str">
        <f>"7.455,00"</f>
        <v>7.455,00</v>
      </c>
      <c r="M3395" s="6" t="str">
        <f>"37.275,00"</f>
        <v>37.275,00</v>
      </c>
      <c r="N3395" s="5">
        <v>43607</v>
      </c>
      <c r="O3395" s="7"/>
      <c r="P3395" s="6" t="str">
        <f>"37.275,00"</f>
        <v>37.275,00</v>
      </c>
      <c r="Q3395" s="7"/>
      <c r="R3395" s="1"/>
      <c r="S3395" s="1" t="str">
        <f>"J-UN-2019-3312"</f>
        <v>J-UN-2019-3312</v>
      </c>
      <c r="T3395" s="2" t="s">
        <v>33</v>
      </c>
    </row>
    <row r="3396" spans="1:20" ht="25.5" x14ac:dyDescent="0.25">
      <c r="A3396" s="1">
        <v>3392</v>
      </c>
      <c r="B3396" s="1" t="str">
        <f>"2019-1136"</f>
        <v>2019-1136</v>
      </c>
      <c r="C3396" s="2" t="s">
        <v>2154</v>
      </c>
      <c r="D3396" s="1" t="s">
        <v>2155</v>
      </c>
      <c r="E3396" s="3" t="str">
        <f>""</f>
        <v/>
      </c>
      <c r="F3396" s="2" t="s">
        <v>1323</v>
      </c>
      <c r="G3396" s="2" t="str">
        <f>CONCATENATE("EUROADRIA D.O.O.,"," MAKSIMIRSKA CESTA 9,"," 10000 ZAGREB,"," OIB: 84526969754")</f>
        <v>EUROADRIA D.O.O., MAKSIMIRSKA CESTA 9, 10000 ZAGREB, OIB: 84526969754</v>
      </c>
      <c r="H3396" s="4"/>
      <c r="I3396" s="1" t="s">
        <v>401</v>
      </c>
      <c r="J3396" s="5">
        <v>43593</v>
      </c>
      <c r="K3396" s="6" t="str">
        <f>"99.300,00"</f>
        <v>99.300,00</v>
      </c>
      <c r="L3396" s="6" t="str">
        <f>"24.825,00"</f>
        <v>24.825,00</v>
      </c>
      <c r="M3396" s="6" t="str">
        <f>"124.125,00"</f>
        <v>124.125,00</v>
      </c>
      <c r="N3396" s="5">
        <v>43605</v>
      </c>
      <c r="O3396" s="7"/>
      <c r="P3396" s="6" t="str">
        <f>"124.125,00"</f>
        <v>124.125,00</v>
      </c>
      <c r="Q3396" s="7"/>
      <c r="R3396" s="1"/>
      <c r="S3396" s="1" t="str">
        <f>"J-UN-2019-3313"</f>
        <v>J-UN-2019-3313</v>
      </c>
      <c r="T3396" s="2" t="s">
        <v>33</v>
      </c>
    </row>
    <row r="3397" spans="1:20" ht="25.5" x14ac:dyDescent="0.25">
      <c r="A3397" s="1">
        <v>3393</v>
      </c>
      <c r="B3397" s="1" t="str">
        <f>"2019-1148"</f>
        <v>2019-1148</v>
      </c>
      <c r="C3397" s="2" t="s">
        <v>2177</v>
      </c>
      <c r="D3397" s="1" t="s">
        <v>416</v>
      </c>
      <c r="E3397" s="3" t="str">
        <f>""</f>
        <v/>
      </c>
      <c r="F3397" s="2" t="s">
        <v>1323</v>
      </c>
      <c r="G3397" s="2" t="str">
        <f>CONCATENATE("TRAG DUO D.O.O.,"," NOVA CESTA 184,"," 10000 ZAGREB,"," OIB: 24169331637")</f>
        <v>TRAG DUO D.O.O., NOVA CESTA 184, 10000 ZAGREB, OIB: 24169331637</v>
      </c>
      <c r="H3397" s="4"/>
      <c r="I3397" s="1" t="s">
        <v>464</v>
      </c>
      <c r="J3397" s="5">
        <v>43595</v>
      </c>
      <c r="K3397" s="6" t="str">
        <f>"149.813,60"</f>
        <v>149.813,60</v>
      </c>
      <c r="L3397" s="6" t="str">
        <f>"37.453,40"</f>
        <v>37.453,40</v>
      </c>
      <c r="M3397" s="6" t="str">
        <f>"187.267,00"</f>
        <v>187.267,00</v>
      </c>
      <c r="N3397" s="5">
        <v>43598</v>
      </c>
      <c r="O3397" s="7"/>
      <c r="P3397" s="6" t="str">
        <f>"187.267,00"</f>
        <v>187.267,00</v>
      </c>
      <c r="Q3397" s="7"/>
      <c r="R3397" s="1"/>
      <c r="S3397" s="1" t="str">
        <f>"J-UN-2019-3314"</f>
        <v>J-UN-2019-3314</v>
      </c>
      <c r="T3397" s="2" t="s">
        <v>33</v>
      </c>
    </row>
    <row r="3398" spans="1:20" ht="25.5" x14ac:dyDescent="0.25">
      <c r="A3398" s="1">
        <v>3394</v>
      </c>
      <c r="B3398" s="1" t="str">
        <f>"2019-1099"</f>
        <v>2019-1099</v>
      </c>
      <c r="C3398" s="2" t="s">
        <v>2178</v>
      </c>
      <c r="D3398" s="1" t="s">
        <v>2179</v>
      </c>
      <c r="E3398" s="3" t="str">
        <f>""</f>
        <v/>
      </c>
      <c r="F3398" s="2" t="s">
        <v>1323</v>
      </c>
      <c r="G3398" s="2" t="str">
        <f>CONCATENATE("IM PHOTO,"," FOLNEGOVIĆEVA 6C,"," 10000 ZAGREB,"," OIB: 9842567863")</f>
        <v>IM PHOTO, FOLNEGOVIĆEVA 6C, 10000 ZAGREB, OIB: 9842567863</v>
      </c>
      <c r="H3398" s="4"/>
      <c r="I3398" s="1" t="s">
        <v>481</v>
      </c>
      <c r="J3398" s="5">
        <v>43592</v>
      </c>
      <c r="K3398" s="6" t="str">
        <f>"19.750,00"</f>
        <v>19.750,00</v>
      </c>
      <c r="L3398" s="6" t="str">
        <f>"4.937,50"</f>
        <v>4.937,50</v>
      </c>
      <c r="M3398" s="6" t="str">
        <f>"24.687,50"</f>
        <v>24.687,50</v>
      </c>
      <c r="N3398" s="5">
        <v>43607</v>
      </c>
      <c r="O3398" s="7"/>
      <c r="P3398" s="6" t="str">
        <f>"24.687,50"</f>
        <v>24.687,50</v>
      </c>
      <c r="Q3398" s="7"/>
      <c r="R3398" s="1"/>
      <c r="S3398" s="1" t="str">
        <f>"J-UN-2019-3315"</f>
        <v>J-UN-2019-3315</v>
      </c>
      <c r="T3398" s="2" t="s">
        <v>33</v>
      </c>
    </row>
    <row r="3399" spans="1:20" ht="25.5" x14ac:dyDescent="0.25">
      <c r="A3399" s="1">
        <v>3395</v>
      </c>
      <c r="B3399" s="1" t="str">
        <f>"2019-403"</f>
        <v>2019-403</v>
      </c>
      <c r="C3399" s="2" t="s">
        <v>2180</v>
      </c>
      <c r="D3399" s="1" t="s">
        <v>2176</v>
      </c>
      <c r="E3399" s="3" t="str">
        <f>""</f>
        <v/>
      </c>
      <c r="F3399" s="2" t="s">
        <v>1323</v>
      </c>
      <c r="G3399" s="2" t="str">
        <f>CONCATENATE("ZET D.O.O.,"," OZALJSKA 105,"," 10000 ZAGREB,"," OIB: 82031999604")</f>
        <v>ZET D.O.O., OZALJSKA 105, 10000 ZAGREB, OIB: 82031999604</v>
      </c>
      <c r="H3399" s="4"/>
      <c r="I3399" s="1" t="s">
        <v>481</v>
      </c>
      <c r="J3399" s="5">
        <v>43592</v>
      </c>
      <c r="K3399" s="6" t="str">
        <f>"23.010,00"</f>
        <v>23.010,00</v>
      </c>
      <c r="L3399" s="6" t="str">
        <f>"5.752,50"</f>
        <v>5.752,50</v>
      </c>
      <c r="M3399" s="6" t="str">
        <f>"28.762,50"</f>
        <v>28.762,50</v>
      </c>
      <c r="N3399" s="5">
        <v>43616</v>
      </c>
      <c r="O3399" s="7"/>
      <c r="P3399" s="6" t="str">
        <f>"28.762,50"</f>
        <v>28.762,50</v>
      </c>
      <c r="Q3399" s="7"/>
      <c r="R3399" s="1"/>
      <c r="S3399" s="1" t="str">
        <f>"J-UN-2019-3316"</f>
        <v>J-UN-2019-3316</v>
      </c>
      <c r="T3399" s="2" t="s">
        <v>33</v>
      </c>
    </row>
    <row r="3400" spans="1:20" ht="25.5" x14ac:dyDescent="0.25">
      <c r="A3400" s="1">
        <v>3396</v>
      </c>
      <c r="B3400" s="1" t="str">
        <f>"2019-2178"</f>
        <v>2019-2178</v>
      </c>
      <c r="C3400" s="2" t="s">
        <v>294</v>
      </c>
      <c r="D3400" s="1" t="s">
        <v>295</v>
      </c>
      <c r="E3400" s="3" t="str">
        <f>""</f>
        <v/>
      </c>
      <c r="F3400" s="2" t="s">
        <v>1323</v>
      </c>
      <c r="G3400" s="2" t="str">
        <f>CONCATENATE("ARTO D.O.O.,"," DOLAC 8/I,"," 10000 ZAGREB,"," OIB: 4768166")</f>
        <v>ARTO D.O.O., DOLAC 8/I, 10000 ZAGREB, OIB: 4768166</v>
      </c>
      <c r="H3400" s="4"/>
      <c r="I3400" s="1" t="s">
        <v>481</v>
      </c>
      <c r="J3400" s="5">
        <v>43592</v>
      </c>
      <c r="K3400" s="6" t="str">
        <f>"19.845,00"</f>
        <v>19.845,00</v>
      </c>
      <c r="L3400" s="6" t="str">
        <f>"4.961,25"</f>
        <v>4.961,25</v>
      </c>
      <c r="M3400" s="6" t="str">
        <f>"24.806,25"</f>
        <v>24.806,25</v>
      </c>
      <c r="N3400" s="5">
        <v>43556</v>
      </c>
      <c r="O3400" s="7"/>
      <c r="P3400" s="6" t="str">
        <f>"24.806,25"</f>
        <v>24.806,25</v>
      </c>
      <c r="Q3400" s="7"/>
      <c r="R3400" s="1"/>
      <c r="S3400" s="1" t="str">
        <f>"J-UN-2019-3317"</f>
        <v>J-UN-2019-3317</v>
      </c>
      <c r="T3400" s="2" t="s">
        <v>33</v>
      </c>
    </row>
    <row r="3401" spans="1:20" ht="38.25" x14ac:dyDescent="0.25">
      <c r="A3401" s="1">
        <v>3397</v>
      </c>
      <c r="B3401" s="1" t="str">
        <f>"2019-712"</f>
        <v>2019-712</v>
      </c>
      <c r="C3401" s="2" t="s">
        <v>2181</v>
      </c>
      <c r="D3401" s="1" t="s">
        <v>94</v>
      </c>
      <c r="E3401" s="3" t="str">
        <f>""</f>
        <v/>
      </c>
      <c r="F3401" s="2" t="s">
        <v>1323</v>
      </c>
      <c r="G3401" s="2" t="str">
        <f>CONCATENATE("ELDRA D.O.O.,"," LUG SAMOBORSKI,","  KNEZA NINOSLAVA 9,"," 10432 BREGANA,"," OIB: 79695515983")</f>
        <v>ELDRA D.O.O., LUG SAMOBORSKI,  KNEZA NINOSLAVA 9, 10432 BREGANA, OIB: 79695515983</v>
      </c>
      <c r="H3401" s="4"/>
      <c r="I3401" s="1" t="s">
        <v>481</v>
      </c>
      <c r="J3401" s="5">
        <v>43592</v>
      </c>
      <c r="K3401" s="6" t="str">
        <f>"192.520,00"</f>
        <v>192.520,00</v>
      </c>
      <c r="L3401" s="6" t="str">
        <f>"48.130,00"</f>
        <v>48.130,00</v>
      </c>
      <c r="M3401" s="6" t="str">
        <f>"240.650,00"</f>
        <v>240.650,00</v>
      </c>
      <c r="N3401" s="5">
        <v>43616</v>
      </c>
      <c r="O3401" s="7"/>
      <c r="P3401" s="6" t="str">
        <f>"240.650,00"</f>
        <v>240.650,00</v>
      </c>
      <c r="Q3401" s="7"/>
      <c r="R3401" s="1"/>
      <c r="S3401" s="1" t="str">
        <f>"J-UN-2019-3318"</f>
        <v>J-UN-2019-3318</v>
      </c>
      <c r="T3401" s="2" t="s">
        <v>33</v>
      </c>
    </row>
    <row r="3402" spans="1:20" ht="25.5" x14ac:dyDescent="0.25">
      <c r="A3402" s="1">
        <v>3398</v>
      </c>
      <c r="B3402" s="1" t="str">
        <f>"2019-382"</f>
        <v>2019-382</v>
      </c>
      <c r="C3402" s="2" t="s">
        <v>2182</v>
      </c>
      <c r="D3402" s="1" t="s">
        <v>2183</v>
      </c>
      <c r="E3402" s="3" t="str">
        <f>""</f>
        <v/>
      </c>
      <c r="F3402" s="2" t="s">
        <v>1323</v>
      </c>
      <c r="G3402" s="2" t="str">
        <f>CONCATENATE("DLG KOMUNIKACIJE J.D.O.O.,"," TRSJE 2B,"," 10000 ZAGREB,"," OIB: 7141981525")</f>
        <v>DLG KOMUNIKACIJE J.D.O.O., TRSJE 2B, 10000 ZAGREB, OIB: 7141981525</v>
      </c>
      <c r="H3402" s="4"/>
      <c r="I3402" s="1" t="s">
        <v>401</v>
      </c>
      <c r="J3402" s="5">
        <v>43593</v>
      </c>
      <c r="K3402" s="6" t="str">
        <f>"28.000,00"</f>
        <v>28.000,00</v>
      </c>
      <c r="L3402" s="6" t="str">
        <f>"7.000,00"</f>
        <v>7.000,00</v>
      </c>
      <c r="M3402" s="6" t="str">
        <f>"35.000,00"</f>
        <v>35.000,00</v>
      </c>
      <c r="N3402" s="5">
        <v>43615</v>
      </c>
      <c r="O3402" s="7"/>
      <c r="P3402" s="6" t="str">
        <f>"35.000,00"</f>
        <v>35.000,00</v>
      </c>
      <c r="Q3402" s="7"/>
      <c r="R3402" s="1"/>
      <c r="S3402" s="1" t="str">
        <f>"J-UN-2019-3320"</f>
        <v>J-UN-2019-3320</v>
      </c>
      <c r="T3402" s="2" t="s">
        <v>33</v>
      </c>
    </row>
    <row r="3403" spans="1:20" ht="38.25" x14ac:dyDescent="0.25">
      <c r="A3403" s="1">
        <v>3399</v>
      </c>
      <c r="B3403" s="1" t="str">
        <f>"2019-2642"</f>
        <v>2019-2642</v>
      </c>
      <c r="C3403" s="2" t="s">
        <v>2184</v>
      </c>
      <c r="D3403" s="1" t="s">
        <v>2185</v>
      </c>
      <c r="E3403" s="3" t="str">
        <f>""</f>
        <v/>
      </c>
      <c r="F3403" s="2" t="s">
        <v>1323</v>
      </c>
      <c r="G3403" s="2" t="str">
        <f>CONCATENATE("DUPLICO D.O.O.,"," SVETONEDELJSKA CESTA,"," KALINOVICA 18,"," 10436 RAKOV POTOK,"," OIB: 41025754642")</f>
        <v>DUPLICO D.O.O., SVETONEDELJSKA CESTA, KALINOVICA 18, 10436 RAKOV POTOK, OIB: 41025754642</v>
      </c>
      <c r="H3403" s="4"/>
      <c r="I3403" s="1" t="s">
        <v>641</v>
      </c>
      <c r="J3403" s="5">
        <v>43600</v>
      </c>
      <c r="K3403" s="6" t="str">
        <f>"31.810,81"</f>
        <v>31.810,81</v>
      </c>
      <c r="L3403" s="6" t="str">
        <f>"7.952,70"</f>
        <v>7.952,70</v>
      </c>
      <c r="M3403" s="6" t="str">
        <f>"39.763,51"</f>
        <v>39.763,51</v>
      </c>
      <c r="N3403" s="1" t="s">
        <v>117</v>
      </c>
      <c r="O3403" s="7"/>
      <c r="P3403" s="6" t="str">
        <f>""</f>
        <v/>
      </c>
      <c r="Q3403" s="7"/>
      <c r="R3403" s="1"/>
      <c r="S3403" s="1" t="str">
        <f>"J-UN-2019-3321"</f>
        <v>J-UN-2019-3321</v>
      </c>
      <c r="T3403" s="2" t="s">
        <v>33</v>
      </c>
    </row>
    <row r="3404" spans="1:20" ht="25.5" x14ac:dyDescent="0.25">
      <c r="A3404" s="1">
        <v>3400</v>
      </c>
      <c r="B3404" s="1" t="str">
        <f>"2019-785"</f>
        <v>2019-785</v>
      </c>
      <c r="C3404" s="2" t="s">
        <v>2186</v>
      </c>
      <c r="D3404" s="1" t="s">
        <v>1048</v>
      </c>
      <c r="E3404" s="3" t="str">
        <f>""</f>
        <v/>
      </c>
      <c r="F3404" s="2" t="s">
        <v>1323</v>
      </c>
      <c r="G3404" s="2" t="str">
        <f>CONCATENATE("INSAKO D.O.O.,"," PUŽEVA 11,"," 10000 ZAGREB,"," OIB: 39851720584")</f>
        <v>INSAKO D.O.O., PUŽEVA 11, 10000 ZAGREB, OIB: 39851720584</v>
      </c>
      <c r="H3404" s="4"/>
      <c r="I3404" s="1" t="s">
        <v>334</v>
      </c>
      <c r="J3404" s="5">
        <v>43602</v>
      </c>
      <c r="K3404" s="6" t="str">
        <f>"1.370,00"</f>
        <v>1.370,00</v>
      </c>
      <c r="L3404" s="6" t="str">
        <f>"342,50"</f>
        <v>342,50</v>
      </c>
      <c r="M3404" s="6" t="str">
        <f>"1.712,50"</f>
        <v>1.712,50</v>
      </c>
      <c r="N3404" s="5">
        <v>43602</v>
      </c>
      <c r="O3404" s="7"/>
      <c r="P3404" s="6" t="str">
        <f>"1.712,50"</f>
        <v>1.712,50</v>
      </c>
      <c r="Q3404" s="7"/>
      <c r="R3404" s="1"/>
      <c r="S3404" s="1" t="str">
        <f>"J-UN-2019-3329"</f>
        <v>J-UN-2019-3329</v>
      </c>
      <c r="T3404" s="2" t="s">
        <v>33</v>
      </c>
    </row>
    <row r="3405" spans="1:20" ht="25.5" x14ac:dyDescent="0.25">
      <c r="A3405" s="1">
        <v>3401</v>
      </c>
      <c r="B3405" s="1" t="str">
        <f>"2019-2433"</f>
        <v>2019-2433</v>
      </c>
      <c r="C3405" s="2" t="s">
        <v>2187</v>
      </c>
      <c r="D3405" s="1" t="s">
        <v>786</v>
      </c>
      <c r="E3405" s="3" t="str">
        <f>""</f>
        <v/>
      </c>
      <c r="F3405" s="2" t="s">
        <v>1323</v>
      </c>
      <c r="G3405" s="2" t="str">
        <f>CONCATENATE("PISMORAD D.D.,"," III MALEŠNICA 12,"," 10000 ZAGREB,"," OIB: 33260306505")</f>
        <v>PISMORAD D.D., III MALEŠNICA 12, 10000 ZAGREB, OIB: 33260306505</v>
      </c>
      <c r="H3405" s="4"/>
      <c r="I3405" s="1" t="s">
        <v>334</v>
      </c>
      <c r="J3405" s="5">
        <v>43602</v>
      </c>
      <c r="K3405" s="6" t="str">
        <f>"79.400,00"</f>
        <v>79.400,00</v>
      </c>
      <c r="L3405" s="6" t="str">
        <f>"19.850,00"</f>
        <v>19.850,00</v>
      </c>
      <c r="M3405" s="6" t="str">
        <f>"99.250,00"</f>
        <v>99.250,00</v>
      </c>
      <c r="N3405" s="5">
        <v>43602</v>
      </c>
      <c r="O3405" s="7"/>
      <c r="P3405" s="6" t="str">
        <f>"99.250,00"</f>
        <v>99.250,00</v>
      </c>
      <c r="Q3405" s="7"/>
      <c r="R3405" s="1"/>
      <c r="S3405" s="1" t="str">
        <f>"J-UN-2019-3330"</f>
        <v>J-UN-2019-3330</v>
      </c>
      <c r="T3405" s="2" t="s">
        <v>33</v>
      </c>
    </row>
    <row r="3406" spans="1:20" ht="38.25" x14ac:dyDescent="0.25">
      <c r="A3406" s="1">
        <v>3402</v>
      </c>
      <c r="B3406" s="1" t="str">
        <f>"2019-12"</f>
        <v>2019-12</v>
      </c>
      <c r="C3406" s="2" t="s">
        <v>2140</v>
      </c>
      <c r="D3406" s="1" t="s">
        <v>1720</v>
      </c>
      <c r="E3406" s="3" t="str">
        <f>""</f>
        <v/>
      </c>
      <c r="F3406" s="2" t="s">
        <v>1323</v>
      </c>
      <c r="G3406" s="2" t="str">
        <f>CONCATENATE("IDEA PROJEKT D.O.O.,"," FLANATIČKA 25,"," 521000 PULA,"," OIB: 0225710134")</f>
        <v>IDEA PROJEKT D.O.O., FLANATIČKA 25, 521000 PULA, OIB: 0225710134</v>
      </c>
      <c r="H3406" s="4"/>
      <c r="I3406" s="1" t="s">
        <v>464</v>
      </c>
      <c r="J3406" s="5">
        <v>43595</v>
      </c>
      <c r="K3406" s="6" t="str">
        <f>"4.102,00"</f>
        <v>4.102,00</v>
      </c>
      <c r="L3406" s="6" t="str">
        <f>"1.025,50"</f>
        <v>1.025,50</v>
      </c>
      <c r="M3406" s="6" t="str">
        <f>"5.127,50"</f>
        <v>5.127,50</v>
      </c>
      <c r="N3406" s="5">
        <v>43594</v>
      </c>
      <c r="O3406" s="7"/>
      <c r="P3406" s="6" t="str">
        <f>"5.127,50"</f>
        <v>5.127,50</v>
      </c>
      <c r="Q3406" s="7"/>
      <c r="R3406" s="1"/>
      <c r="S3406" s="1" t="str">
        <f>"J-UN-2019-3331"</f>
        <v>J-UN-2019-3331</v>
      </c>
      <c r="T3406" s="2" t="s">
        <v>33</v>
      </c>
    </row>
    <row r="3407" spans="1:20" ht="25.5" x14ac:dyDescent="0.25">
      <c r="A3407" s="1">
        <v>3403</v>
      </c>
      <c r="B3407" s="1" t="str">
        <f>"2019-1456"</f>
        <v>2019-1456</v>
      </c>
      <c r="C3407" s="2" t="s">
        <v>2156</v>
      </c>
      <c r="D3407" s="1" t="s">
        <v>1416</v>
      </c>
      <c r="E3407" s="3" t="str">
        <f>""</f>
        <v/>
      </c>
      <c r="F3407" s="2" t="s">
        <v>1323</v>
      </c>
      <c r="G3407" s="2" t="str">
        <f>CONCATENATE("AUTO BENUSSI D.O.O.,"," INDUSTRIJSKA 2D,"," 52100 PULA,"," OIB: 96262119913")</f>
        <v>AUTO BENUSSI D.O.O., INDUSTRIJSKA 2D, 52100 PULA, OIB: 96262119913</v>
      </c>
      <c r="H3407" s="4"/>
      <c r="I3407" s="1" t="s">
        <v>475</v>
      </c>
      <c r="J3407" s="5">
        <v>43973</v>
      </c>
      <c r="K3407" s="6" t="str">
        <f>"112.420,00"</f>
        <v>112.420,00</v>
      </c>
      <c r="L3407" s="6" t="str">
        <f>"28.105,00"</f>
        <v>28.105,00</v>
      </c>
      <c r="M3407" s="6" t="str">
        <f>"140.525,00"</f>
        <v>140.525,00</v>
      </c>
      <c r="N3407" s="5">
        <v>43620</v>
      </c>
      <c r="O3407" s="7"/>
      <c r="P3407" s="6" t="str">
        <f>"7.315,00"</f>
        <v>7.315,00</v>
      </c>
      <c r="Q3407" s="7"/>
      <c r="R3407" s="1"/>
      <c r="S3407" s="1" t="str">
        <f>"J-UN-2019-3346"</f>
        <v>J-UN-2019-3346</v>
      </c>
      <c r="T3407" s="2" t="s">
        <v>33</v>
      </c>
    </row>
    <row r="3408" spans="1:20" ht="38.25" x14ac:dyDescent="0.25">
      <c r="A3408" s="1">
        <v>3404</v>
      </c>
      <c r="B3408" s="1" t="str">
        <f>"2019-363"</f>
        <v>2019-363</v>
      </c>
      <c r="C3408" s="2" t="s">
        <v>2188</v>
      </c>
      <c r="D3408" s="1" t="s">
        <v>2026</v>
      </c>
      <c r="E3408" s="3" t="str">
        <f>""</f>
        <v/>
      </c>
      <c r="F3408" s="2" t="s">
        <v>1323</v>
      </c>
      <c r="G3408" s="2" t="str">
        <f>CONCATENATE("SISCIA JAZZ CLUB UDRUGA DAMIR KUKURUZOVIĆ,"," RIMSKA BB,"," 44000 SISAK,"," OIB: 91403490317")</f>
        <v>SISCIA JAZZ CLUB UDRUGA DAMIR KUKURUZOVIĆ, RIMSKA BB, 44000 SISAK, OIB: 91403490317</v>
      </c>
      <c r="H3408" s="4"/>
      <c r="I3408" s="1" t="s">
        <v>641</v>
      </c>
      <c r="J3408" s="5">
        <v>43600</v>
      </c>
      <c r="K3408" s="6" t="str">
        <f>"8.000,00"</f>
        <v>8.000,00</v>
      </c>
      <c r="L3408" s="6" t="str">
        <f>"2.000,00"</f>
        <v>2.000,00</v>
      </c>
      <c r="M3408" s="6" t="str">
        <f>"10.000,00"</f>
        <v>10.000,00</v>
      </c>
      <c r="N3408" s="5">
        <v>43602</v>
      </c>
      <c r="O3408" s="7"/>
      <c r="P3408" s="6" t="str">
        <f>"10.000,00"</f>
        <v>10.000,00</v>
      </c>
      <c r="Q3408" s="7"/>
      <c r="R3408" s="1"/>
      <c r="S3408" s="1" t="str">
        <f>"J-UN-2019-3348"</f>
        <v>J-UN-2019-3348</v>
      </c>
      <c r="T3408" s="2" t="s">
        <v>33</v>
      </c>
    </row>
    <row r="3409" spans="1:20" ht="38.25" x14ac:dyDescent="0.25">
      <c r="A3409" s="1">
        <v>3405</v>
      </c>
      <c r="B3409" s="1" t="str">
        <f>"2019-363"</f>
        <v>2019-363</v>
      </c>
      <c r="C3409" s="2" t="s">
        <v>2188</v>
      </c>
      <c r="D3409" s="1" t="s">
        <v>2026</v>
      </c>
      <c r="E3409" s="3" t="str">
        <f>""</f>
        <v/>
      </c>
      <c r="F3409" s="2" t="s">
        <v>1323</v>
      </c>
      <c r="G3409" s="2" t="str">
        <f>CONCATENATE("KLAPA NOSTALGIJA,"," POLJIČKA POLJANA 23,"," 10000 ZAGREB,"," OIB: 21701523154")</f>
        <v>KLAPA NOSTALGIJA, POLJIČKA POLJANA 23, 10000 ZAGREB, OIB: 21701523154</v>
      </c>
      <c r="H3409" s="4"/>
      <c r="I3409" s="1" t="s">
        <v>355</v>
      </c>
      <c r="J3409" s="5">
        <v>43601</v>
      </c>
      <c r="K3409" s="6" t="str">
        <f>"6.000,00"</f>
        <v>6.000,00</v>
      </c>
      <c r="L3409" s="6" t="str">
        <f>"1.500,00"</f>
        <v>1.500,00</v>
      </c>
      <c r="M3409" s="6" t="str">
        <f>"7.500,00"</f>
        <v>7.500,00</v>
      </c>
      <c r="N3409" s="5">
        <v>43608</v>
      </c>
      <c r="O3409" s="7"/>
      <c r="P3409" s="6" t="str">
        <f>"7.500,00"</f>
        <v>7.500,00</v>
      </c>
      <c r="Q3409" s="7"/>
      <c r="R3409" s="1"/>
      <c r="S3409" s="1" t="str">
        <f>"J-UN-2019-3349"</f>
        <v>J-UN-2019-3349</v>
      </c>
      <c r="T3409" s="2" t="s">
        <v>33</v>
      </c>
    </row>
    <row r="3410" spans="1:20" ht="38.25" x14ac:dyDescent="0.25">
      <c r="A3410" s="1">
        <v>3406</v>
      </c>
      <c r="B3410" s="1" t="str">
        <f>"2019-363"</f>
        <v>2019-363</v>
      </c>
      <c r="C3410" s="2" t="s">
        <v>2188</v>
      </c>
      <c r="D3410" s="1" t="s">
        <v>2026</v>
      </c>
      <c r="E3410" s="3" t="str">
        <f>""</f>
        <v/>
      </c>
      <c r="F3410" s="2" t="s">
        <v>1323</v>
      </c>
      <c r="G3410" s="2" t="str">
        <f>CONCATENATE("INTERPOLIS PLUS D.O.O.,"," POLJANA V. NJEGOVANA 3,"," 10000 ZAGREB,"," OIB: 62263868977")</f>
        <v>INTERPOLIS PLUS D.O.O., POLJANA V. NJEGOVANA 3, 10000 ZAGREB, OIB: 62263868977</v>
      </c>
      <c r="H3410" s="4"/>
      <c r="I3410" s="1" t="s">
        <v>355</v>
      </c>
      <c r="J3410" s="5">
        <v>43601</v>
      </c>
      <c r="K3410" s="6" t="str">
        <f>"12.000,00"</f>
        <v>12.000,00</v>
      </c>
      <c r="L3410" s="6" t="str">
        <f>"3.000,00"</f>
        <v>3.000,00</v>
      </c>
      <c r="M3410" s="6" t="str">
        <f>"15.000,00"</f>
        <v>15.000,00</v>
      </c>
      <c r="N3410" s="5">
        <v>43608</v>
      </c>
      <c r="O3410" s="7"/>
      <c r="P3410" s="6" t="str">
        <f>"15.000,00"</f>
        <v>15.000,00</v>
      </c>
      <c r="Q3410" s="7"/>
      <c r="R3410" s="1"/>
      <c r="S3410" s="1" t="str">
        <f>"J-UN-2019-3350"</f>
        <v>J-UN-2019-3350</v>
      </c>
      <c r="T3410" s="2" t="s">
        <v>33</v>
      </c>
    </row>
    <row r="3411" spans="1:20" ht="38.25" x14ac:dyDescent="0.25">
      <c r="A3411" s="1">
        <v>3407</v>
      </c>
      <c r="B3411" s="1" t="str">
        <f>"2019-363"</f>
        <v>2019-363</v>
      </c>
      <c r="C3411" s="2" t="s">
        <v>2188</v>
      </c>
      <c r="D3411" s="1" t="s">
        <v>2026</v>
      </c>
      <c r="E3411" s="3" t="str">
        <f>""</f>
        <v/>
      </c>
      <c r="F3411" s="2" t="s">
        <v>1323</v>
      </c>
      <c r="G3411" s="2" t="str">
        <f>CONCATENATE("DJEČJI ZBOR PAHULJICE,"," ILICA 124,"," 10000 ZAGREB,"," OIB: 71040532807")</f>
        <v>DJEČJI ZBOR PAHULJICE, ILICA 124, 10000 ZAGREB, OIB: 71040532807</v>
      </c>
      <c r="H3411" s="4"/>
      <c r="I3411" s="1" t="s">
        <v>344</v>
      </c>
      <c r="J3411" s="5">
        <v>43601</v>
      </c>
      <c r="K3411" s="6" t="str">
        <f>"2.000,00"</f>
        <v>2.000,00</v>
      </c>
      <c r="L3411" s="6" t="str">
        <f>"500,00"</f>
        <v>500,00</v>
      </c>
      <c r="M3411" s="6" t="str">
        <f>"2.500,00"</f>
        <v>2.500,00</v>
      </c>
      <c r="N3411" s="5">
        <v>43609</v>
      </c>
      <c r="O3411" s="7"/>
      <c r="P3411" s="6" t="str">
        <f>"2.500,00"</f>
        <v>2.500,00</v>
      </c>
      <c r="Q3411" s="7"/>
      <c r="R3411" s="1"/>
      <c r="S3411" s="1" t="str">
        <f>"J-UN-2019-3351"</f>
        <v>J-UN-2019-3351</v>
      </c>
      <c r="T3411" s="2" t="s">
        <v>33</v>
      </c>
    </row>
    <row r="3412" spans="1:20" ht="38.25" x14ac:dyDescent="0.25">
      <c r="A3412" s="1">
        <v>3408</v>
      </c>
      <c r="B3412" s="1" t="str">
        <f>"2019-2655"</f>
        <v>2019-2655</v>
      </c>
      <c r="C3412" s="2" t="s">
        <v>2189</v>
      </c>
      <c r="D3412" s="1" t="s">
        <v>1325</v>
      </c>
      <c r="E3412" s="3" t="str">
        <f>""</f>
        <v/>
      </c>
      <c r="F3412" s="2" t="s">
        <v>1323</v>
      </c>
      <c r="G3412" s="2" t="str">
        <f>CONCATENATE("STUDIO ZAV D.O.O.,"," OIB: 31343477859")</f>
        <v>STUDIO ZAV D.O.O., OIB: 31343477859</v>
      </c>
      <c r="H3412" s="4"/>
      <c r="I3412" s="1" t="s">
        <v>475</v>
      </c>
      <c r="J3412" s="5">
        <v>43607</v>
      </c>
      <c r="K3412" s="6" t="str">
        <f>"15.000,00"</f>
        <v>15.000,00</v>
      </c>
      <c r="L3412" s="6" t="str">
        <f>"3.750,00"</f>
        <v>3.750,00</v>
      </c>
      <c r="M3412" s="6" t="str">
        <f>"18.750,00"</f>
        <v>18.750,00</v>
      </c>
      <c r="N3412" s="5">
        <v>43633</v>
      </c>
      <c r="O3412" s="7"/>
      <c r="P3412" s="6" t="str">
        <f>"9.375,00"</f>
        <v>9.375,00</v>
      </c>
      <c r="Q3412" s="7"/>
      <c r="R3412" s="1"/>
      <c r="S3412" s="1" t="str">
        <f>"J-UN-2019-3352"</f>
        <v>J-UN-2019-3352</v>
      </c>
      <c r="T3412" s="2" t="s">
        <v>33</v>
      </c>
    </row>
    <row r="3413" spans="1:20" ht="25.5" x14ac:dyDescent="0.25">
      <c r="A3413" s="1">
        <v>3409</v>
      </c>
      <c r="B3413" s="1" t="str">
        <f>"2019-1679"</f>
        <v>2019-1679</v>
      </c>
      <c r="C3413" s="2" t="s">
        <v>2190</v>
      </c>
      <c r="D3413" s="1" t="s">
        <v>2191</v>
      </c>
      <c r="E3413" s="3" t="str">
        <f>""</f>
        <v/>
      </c>
      <c r="F3413" s="2" t="s">
        <v>1323</v>
      </c>
      <c r="G3413" s="2" t="str">
        <f>CONCATENATE("TAHOGRAF D.O.O.,"," DR. FRANJE TUĐMANA 24,"," 10431 SVETA NEDELJA,"," OIB: 73777060562")</f>
        <v>TAHOGRAF D.O.O., DR. FRANJE TUĐMANA 24, 10431 SVETA NEDELJA, OIB: 73777060562</v>
      </c>
      <c r="H3413" s="4"/>
      <c r="I3413" s="1" t="s">
        <v>475</v>
      </c>
      <c r="J3413" s="5">
        <v>43607</v>
      </c>
      <c r="K3413" s="6" t="str">
        <f>"4.860,00"</f>
        <v>4.860,00</v>
      </c>
      <c r="L3413" s="6" t="str">
        <f>"1.215,00"</f>
        <v>1.215,00</v>
      </c>
      <c r="M3413" s="6" t="str">
        <f>"6.075,00"</f>
        <v>6.075,00</v>
      </c>
      <c r="N3413" s="5">
        <v>43613</v>
      </c>
      <c r="O3413" s="7"/>
      <c r="P3413" s="6" t="str">
        <f>"6.075,00"</f>
        <v>6.075,00</v>
      </c>
      <c r="Q3413" s="7"/>
      <c r="R3413" s="1"/>
      <c r="S3413" s="1" t="str">
        <f>"J-UN-2019-3353"</f>
        <v>J-UN-2019-3353</v>
      </c>
      <c r="T3413" s="2" t="s">
        <v>33</v>
      </c>
    </row>
    <row r="3414" spans="1:20" ht="38.25" x14ac:dyDescent="0.25">
      <c r="A3414" s="1">
        <v>3410</v>
      </c>
      <c r="B3414" s="1" t="str">
        <f>"2019-363"</f>
        <v>2019-363</v>
      </c>
      <c r="C3414" s="2" t="s">
        <v>2188</v>
      </c>
      <c r="D3414" s="1" t="s">
        <v>2026</v>
      </c>
      <c r="E3414" s="3" t="str">
        <f>""</f>
        <v/>
      </c>
      <c r="F3414" s="2" t="s">
        <v>1323</v>
      </c>
      <c r="G3414" s="2" t="str">
        <f>CONCATENATE("LOOP GLAZBENA AGENCIJA D.O.O.,"," DRAVSKA 30,"," 40000 ČAKOVEC,"," OIB: 70176412089")</f>
        <v>LOOP GLAZBENA AGENCIJA D.O.O., DRAVSKA 30, 40000 ČAKOVEC, OIB: 70176412089</v>
      </c>
      <c r="H3414" s="4"/>
      <c r="I3414" s="1" t="s">
        <v>641</v>
      </c>
      <c r="J3414" s="5">
        <v>43600</v>
      </c>
      <c r="K3414" s="6" t="str">
        <f>"25.670,00"</f>
        <v>25.670,00</v>
      </c>
      <c r="L3414" s="6" t="str">
        <f>"6.417,50"</f>
        <v>6.417,50</v>
      </c>
      <c r="M3414" s="6" t="str">
        <f>"32.087,50"</f>
        <v>32.087,50</v>
      </c>
      <c r="N3414" s="5">
        <v>43612</v>
      </c>
      <c r="O3414" s="7"/>
      <c r="P3414" s="6" t="str">
        <f>"32.087,50"</f>
        <v>32.087,50</v>
      </c>
      <c r="Q3414" s="7"/>
      <c r="R3414" s="1"/>
      <c r="S3414" s="1" t="str">
        <f>"J-UN-2019-3354"</f>
        <v>J-UN-2019-3354</v>
      </c>
      <c r="T3414" s="2" t="s">
        <v>33</v>
      </c>
    </row>
    <row r="3415" spans="1:20" ht="38.25" x14ac:dyDescent="0.25">
      <c r="A3415" s="1">
        <v>3411</v>
      </c>
      <c r="B3415" s="1" t="str">
        <f>"2019-12"</f>
        <v>2019-12</v>
      </c>
      <c r="C3415" s="2" t="s">
        <v>2140</v>
      </c>
      <c r="D3415" s="1" t="s">
        <v>1720</v>
      </c>
      <c r="E3415" s="3" t="str">
        <f>""</f>
        <v/>
      </c>
      <c r="F3415" s="2" t="s">
        <v>1323</v>
      </c>
      <c r="G3415" s="2" t="str">
        <f>CONCATENATE("INDI D.O.O.,"," G. A. DELLA ZONCA 25E,"," 52215 VODNJAN,"," OIB: 7411523579")</f>
        <v>INDI D.O.O., G. A. DELLA ZONCA 25E, 52215 VODNJAN, OIB: 7411523579</v>
      </c>
      <c r="H3415" s="4"/>
      <c r="I3415" s="1" t="s">
        <v>641</v>
      </c>
      <c r="J3415" s="5">
        <v>43600</v>
      </c>
      <c r="K3415" s="6" t="str">
        <f>"720,00"</f>
        <v>720,00</v>
      </c>
      <c r="L3415" s="6" t="str">
        <f>"180,00"</f>
        <v>180,00</v>
      </c>
      <c r="M3415" s="6" t="str">
        <f>"900,00"</f>
        <v>900,00</v>
      </c>
      <c r="N3415" s="5">
        <v>43605</v>
      </c>
      <c r="O3415" s="7"/>
      <c r="P3415" s="6" t="str">
        <f>"900,00"</f>
        <v>900,00</v>
      </c>
      <c r="Q3415" s="7"/>
      <c r="R3415" s="1"/>
      <c r="S3415" s="1" t="str">
        <f>"J-UN-2019-3355"</f>
        <v>J-UN-2019-3355</v>
      </c>
      <c r="T3415" s="2" t="s">
        <v>33</v>
      </c>
    </row>
    <row r="3416" spans="1:20" ht="25.5" x14ac:dyDescent="0.25">
      <c r="A3416" s="1">
        <v>3412</v>
      </c>
      <c r="B3416" s="1" t="str">
        <f>"2019-1099"</f>
        <v>2019-1099</v>
      </c>
      <c r="C3416" s="2" t="s">
        <v>2178</v>
      </c>
      <c r="D3416" s="1" t="s">
        <v>2179</v>
      </c>
      <c r="E3416" s="3" t="str">
        <f>""</f>
        <v/>
      </c>
      <c r="F3416" s="2" t="s">
        <v>1323</v>
      </c>
      <c r="G3416" s="2" t="str">
        <f>CONCATENATE("PIXEL MEDIA D.O.O.,"," OREŠKOVIĆEVA 3/D,"," 10000 ZAGREB,"," OIB: 52995203888")</f>
        <v>PIXEL MEDIA D.O.O., OREŠKOVIĆEVA 3/D, 10000 ZAGREB, OIB: 52995203888</v>
      </c>
      <c r="H3416" s="4"/>
      <c r="I3416" s="1" t="s">
        <v>355</v>
      </c>
      <c r="J3416" s="5">
        <v>43601</v>
      </c>
      <c r="K3416" s="6" t="str">
        <f>"1.300,00"</f>
        <v>1.300,00</v>
      </c>
      <c r="L3416" s="6" t="str">
        <f>"325,00"</f>
        <v>325,00</v>
      </c>
      <c r="M3416" s="6" t="str">
        <f>"1.625,00"</f>
        <v>1.625,00</v>
      </c>
      <c r="N3416" s="5">
        <v>43496</v>
      </c>
      <c r="O3416" s="7"/>
      <c r="P3416" s="6" t="str">
        <f>"1.625,00"</f>
        <v>1.625,00</v>
      </c>
      <c r="Q3416" s="7"/>
      <c r="R3416" s="1"/>
      <c r="S3416" s="1" t="str">
        <f>"J-UN-2019-3361"</f>
        <v>J-UN-2019-3361</v>
      </c>
      <c r="T3416" s="2" t="s">
        <v>33</v>
      </c>
    </row>
    <row r="3417" spans="1:20" ht="38.25" x14ac:dyDescent="0.25">
      <c r="A3417" s="1">
        <v>3413</v>
      </c>
      <c r="B3417" s="1" t="str">
        <f>"2019-363"</f>
        <v>2019-363</v>
      </c>
      <c r="C3417" s="2" t="s">
        <v>2188</v>
      </c>
      <c r="D3417" s="1" t="s">
        <v>2026</v>
      </c>
      <c r="E3417" s="3" t="str">
        <f>""</f>
        <v/>
      </c>
      <c r="F3417" s="2" t="s">
        <v>1323</v>
      </c>
      <c r="G3417" s="2" t="str">
        <f>CONCATENATE("NOVA GENERACIJA UDRUGA U KULTURI,"," SIGET 20C,"," 10020 ZAGREB,"," OIB: 39241124166")</f>
        <v>NOVA GENERACIJA UDRUGA U KULTURI, SIGET 20C, 10020 ZAGREB, OIB: 39241124166</v>
      </c>
      <c r="H3417" s="4"/>
      <c r="I3417" s="1" t="s">
        <v>355</v>
      </c>
      <c r="J3417" s="5">
        <v>43601</v>
      </c>
      <c r="K3417" s="6" t="str">
        <f>"16.500,00"</f>
        <v>16.500,00</v>
      </c>
      <c r="L3417" s="6" t="str">
        <f>"4.125,00"</f>
        <v>4.125,00</v>
      </c>
      <c r="M3417" s="6" t="str">
        <f>"20.625,00"</f>
        <v>20.625,00</v>
      </c>
      <c r="N3417" s="1" t="s">
        <v>117</v>
      </c>
      <c r="O3417" s="7"/>
      <c r="P3417" s="6" t="str">
        <f>""</f>
        <v/>
      </c>
      <c r="Q3417" s="7"/>
      <c r="R3417" s="1"/>
      <c r="S3417" s="1" t="str">
        <f>"J-UN-2019-3362"</f>
        <v>J-UN-2019-3362</v>
      </c>
      <c r="T3417" s="2" t="s">
        <v>33</v>
      </c>
    </row>
    <row r="3418" spans="1:20" ht="25.5" x14ac:dyDescent="0.25">
      <c r="A3418" s="1">
        <v>3414</v>
      </c>
      <c r="B3418" s="1" t="str">
        <f>"2019-403"</f>
        <v>2019-403</v>
      </c>
      <c r="C3418" s="2" t="s">
        <v>2180</v>
      </c>
      <c r="D3418" s="1" t="s">
        <v>2176</v>
      </c>
      <c r="E3418" s="3" t="str">
        <f>""</f>
        <v/>
      </c>
      <c r="F3418" s="2" t="s">
        <v>1323</v>
      </c>
      <c r="G3418" s="2" t="str">
        <f>CONCATENATE("ZET D.O.O.,"," OZALJSKA 105,"," 10000 ZAGREB,"," OIB: 82031999604")</f>
        <v>ZET D.O.O., OZALJSKA 105, 10000 ZAGREB, OIB: 82031999604</v>
      </c>
      <c r="H3418" s="4"/>
      <c r="I3418" s="1" t="s">
        <v>355</v>
      </c>
      <c r="J3418" s="5">
        <v>43601</v>
      </c>
      <c r="K3418" s="6" t="str">
        <f>"19.390,00"</f>
        <v>19.390,00</v>
      </c>
      <c r="L3418" s="6" t="str">
        <f>"4.847,50"</f>
        <v>4.847,50</v>
      </c>
      <c r="M3418" s="6" t="str">
        <f>"24.237,50"</f>
        <v>24.237,50</v>
      </c>
      <c r="N3418" s="5">
        <v>43616</v>
      </c>
      <c r="O3418" s="7"/>
      <c r="P3418" s="6" t="str">
        <f>"24.237,50"</f>
        <v>24.237,50</v>
      </c>
      <c r="Q3418" s="7"/>
      <c r="R3418" s="1"/>
      <c r="S3418" s="1" t="str">
        <f>"J-UN-2019-3363"</f>
        <v>J-UN-2019-3363</v>
      </c>
      <c r="T3418" s="2" t="s">
        <v>33</v>
      </c>
    </row>
    <row r="3419" spans="1:20" ht="25.5" x14ac:dyDescent="0.25">
      <c r="A3419" s="1">
        <v>3415</v>
      </c>
      <c r="B3419" s="1" t="str">
        <f>"2019-1872"</f>
        <v>2019-1872</v>
      </c>
      <c r="C3419" s="2" t="s">
        <v>2192</v>
      </c>
      <c r="D3419" s="1" t="s">
        <v>1561</v>
      </c>
      <c r="E3419" s="3" t="str">
        <f>""</f>
        <v/>
      </c>
      <c r="F3419" s="2" t="s">
        <v>1323</v>
      </c>
      <c r="G3419" s="2" t="str">
        <f>CONCATENATE("TPZ D.O.O.,"," NOVOSELSKA 25,"," 10000 ZAGREB,"," OIB: 68119083236")</f>
        <v>TPZ D.O.O., NOVOSELSKA 25, 10000 ZAGREB, OIB: 68119083236</v>
      </c>
      <c r="H3419" s="4"/>
      <c r="I3419" s="1" t="s">
        <v>521</v>
      </c>
      <c r="J3419" s="5">
        <v>43605</v>
      </c>
      <c r="K3419" s="6" t="str">
        <f>"1.336,00"</f>
        <v>1.336,00</v>
      </c>
      <c r="L3419" s="6" t="str">
        <f>"334,00"</f>
        <v>334,00</v>
      </c>
      <c r="M3419" s="6" t="str">
        <f>"1.670,00"</f>
        <v>1.670,00</v>
      </c>
      <c r="N3419" s="5">
        <v>43606</v>
      </c>
      <c r="O3419" s="7"/>
      <c r="P3419" s="6" t="str">
        <f>"1.670,00"</f>
        <v>1.670,00</v>
      </c>
      <c r="Q3419" s="7"/>
      <c r="R3419" s="1"/>
      <c r="S3419" s="1" t="str">
        <f>"J-UN-2019-3366"</f>
        <v>J-UN-2019-3366</v>
      </c>
      <c r="T3419" s="2" t="s">
        <v>33</v>
      </c>
    </row>
    <row r="3420" spans="1:20" ht="25.5" x14ac:dyDescent="0.25">
      <c r="A3420" s="1">
        <v>3416</v>
      </c>
      <c r="B3420" s="1" t="str">
        <f>"2019-1319"</f>
        <v>2019-1319</v>
      </c>
      <c r="C3420" s="2" t="s">
        <v>2193</v>
      </c>
      <c r="D3420" s="1" t="s">
        <v>2194</v>
      </c>
      <c r="E3420" s="3" t="str">
        <f>""</f>
        <v/>
      </c>
      <c r="F3420" s="2" t="s">
        <v>1323</v>
      </c>
      <c r="G3420" s="2" t="str">
        <f>CONCATENATE("POLJOOPSKRBA-TEHNO D.D.,"," SAMOBORSKA 96,"," 10000 ZAGREB,"," OIB: 5372167324")</f>
        <v>POLJOOPSKRBA-TEHNO D.D., SAMOBORSKA 96, 10000 ZAGREB, OIB: 5372167324</v>
      </c>
      <c r="H3420" s="4"/>
      <c r="I3420" s="1" t="s">
        <v>317</v>
      </c>
      <c r="J3420" s="5">
        <v>43609</v>
      </c>
      <c r="K3420" s="6" t="str">
        <f>"6.854,70"</f>
        <v>6.854,70</v>
      </c>
      <c r="L3420" s="6" t="str">
        <f>"1.713,68"</f>
        <v>1.713,68</v>
      </c>
      <c r="M3420" s="6" t="str">
        <f>"8.568,38"</f>
        <v>8.568,38</v>
      </c>
      <c r="N3420" s="5">
        <v>43623</v>
      </c>
      <c r="O3420" s="7"/>
      <c r="P3420" s="6" t="str">
        <f>"8.568,38"</f>
        <v>8.568,38</v>
      </c>
      <c r="Q3420" s="7"/>
      <c r="R3420" s="1"/>
      <c r="S3420" s="1" t="str">
        <f>"J-UN-2019-3367"</f>
        <v>J-UN-2019-3367</v>
      </c>
      <c r="T3420" s="2" t="s">
        <v>33</v>
      </c>
    </row>
    <row r="3421" spans="1:20" ht="38.25" x14ac:dyDescent="0.25">
      <c r="A3421" s="1">
        <v>3417</v>
      </c>
      <c r="B3421" s="1" t="str">
        <f>"2019-1089"</f>
        <v>2019-1089</v>
      </c>
      <c r="C3421" s="2" t="s">
        <v>2195</v>
      </c>
      <c r="D3421" s="1" t="s">
        <v>1154</v>
      </c>
      <c r="E3421" s="3" t="str">
        <f>""</f>
        <v/>
      </c>
      <c r="F3421" s="2" t="s">
        <v>1323</v>
      </c>
      <c r="G3421" s="2" t="str">
        <f>CONCATENATE("PRIMAT-LOGISTIKA D.O.O.,"," ZASTAVNICE 11,"," 10251 HRVATSKI LESKOVAC,"," OIB: 64645054565")</f>
        <v>PRIMAT-LOGISTIKA D.O.O., ZASTAVNICE 11, 10251 HRVATSKI LESKOVAC, OIB: 64645054565</v>
      </c>
      <c r="H3421" s="4"/>
      <c r="I3421" s="1" t="s">
        <v>317</v>
      </c>
      <c r="J3421" s="5">
        <v>43609</v>
      </c>
      <c r="K3421" s="6" t="str">
        <f>"7.370,00"</f>
        <v>7.370,00</v>
      </c>
      <c r="L3421" s="6" t="str">
        <f>"1.842,50"</f>
        <v>1.842,50</v>
      </c>
      <c r="M3421" s="6" t="str">
        <f>"9.212,50"</f>
        <v>9.212,50</v>
      </c>
      <c r="N3421" s="5">
        <v>43619</v>
      </c>
      <c r="O3421" s="7"/>
      <c r="P3421" s="6" t="str">
        <f>"6.700,00"</f>
        <v>6.700,00</v>
      </c>
      <c r="Q3421" s="7"/>
      <c r="R3421" s="1"/>
      <c r="S3421" s="1" t="str">
        <f>"J-UN-2019-3368"</f>
        <v>J-UN-2019-3368</v>
      </c>
      <c r="T3421" s="2" t="s">
        <v>33</v>
      </c>
    </row>
    <row r="3422" spans="1:20" ht="38.25" x14ac:dyDescent="0.25">
      <c r="A3422" s="1">
        <v>3418</v>
      </c>
      <c r="B3422" s="1" t="str">
        <f>"2019-13"</f>
        <v>2019-13</v>
      </c>
      <c r="C3422" s="2" t="s">
        <v>2146</v>
      </c>
      <c r="D3422" s="1" t="s">
        <v>2147</v>
      </c>
      <c r="E3422" s="3" t="str">
        <f>""</f>
        <v/>
      </c>
      <c r="F3422" s="2" t="s">
        <v>1323</v>
      </c>
      <c r="G3422" s="2" t="str">
        <f>CONCATENATE("VAGA D.O.O.,"," MEDULINSKA CESTA 26,"," 52000 PULA,"," OIB: 1437440804")</f>
        <v>VAGA D.O.O., MEDULINSKA CESTA 26, 52000 PULA, OIB: 1437440804</v>
      </c>
      <c r="H3422" s="4"/>
      <c r="I3422" s="1" t="s">
        <v>334</v>
      </c>
      <c r="J3422" s="5">
        <v>43602</v>
      </c>
      <c r="K3422" s="6" t="str">
        <f>"322,00"</f>
        <v>322,00</v>
      </c>
      <c r="L3422" s="6" t="str">
        <f>"80,50"</f>
        <v>80,50</v>
      </c>
      <c r="M3422" s="6" t="str">
        <f>"402,50"</f>
        <v>402,50</v>
      </c>
      <c r="N3422" s="5">
        <v>43606</v>
      </c>
      <c r="O3422" s="7"/>
      <c r="P3422" s="6" t="str">
        <f>"402,50"</f>
        <v>402,50</v>
      </c>
      <c r="Q3422" s="7"/>
      <c r="R3422" s="1"/>
      <c r="S3422" s="1" t="str">
        <f>"J-UN-2019-3369"</f>
        <v>J-UN-2019-3369</v>
      </c>
      <c r="T3422" s="2" t="s">
        <v>33</v>
      </c>
    </row>
    <row r="3423" spans="1:20" ht="25.5" x14ac:dyDescent="0.25">
      <c r="A3423" s="1">
        <v>3419</v>
      </c>
      <c r="B3423" s="1" t="str">
        <f>"2019-1089"</f>
        <v>2019-1089</v>
      </c>
      <c r="C3423" s="2" t="s">
        <v>2195</v>
      </c>
      <c r="D3423" s="1" t="s">
        <v>1154</v>
      </c>
      <c r="E3423" s="3" t="str">
        <f>""</f>
        <v/>
      </c>
      <c r="F3423" s="2" t="s">
        <v>1323</v>
      </c>
      <c r="G3423" s="2" t="str">
        <f>CONCATENATE("SCHEDA D.O.O.,"," LJUDEVITA POSAVSKOG 29,"," 10360 SESVETE,"," OIB: 76219817247")</f>
        <v>SCHEDA D.O.O., LJUDEVITA POSAVSKOG 29, 10360 SESVETE, OIB: 76219817247</v>
      </c>
      <c r="H3423" s="4"/>
      <c r="I3423" s="1" t="s">
        <v>317</v>
      </c>
      <c r="J3423" s="5">
        <v>43609</v>
      </c>
      <c r="K3423" s="6" t="str">
        <f>"2.448,30"</f>
        <v>2.448,30</v>
      </c>
      <c r="L3423" s="6" t="str">
        <f>"612,08"</f>
        <v>612,08</v>
      </c>
      <c r="M3423" s="6" t="str">
        <f>"3.060,38"</f>
        <v>3.060,38</v>
      </c>
      <c r="N3423" s="5">
        <v>43615</v>
      </c>
      <c r="O3423" s="7"/>
      <c r="P3423" s="6" t="str">
        <f>"3.060,38"</f>
        <v>3.060,38</v>
      </c>
      <c r="Q3423" s="7"/>
      <c r="R3423" s="1"/>
      <c r="S3423" s="1" t="str">
        <f>"J-UN-2019-3370"</f>
        <v>J-UN-2019-3370</v>
      </c>
      <c r="T3423" s="2" t="s">
        <v>33</v>
      </c>
    </row>
    <row r="3424" spans="1:20" ht="25.5" x14ac:dyDescent="0.25">
      <c r="A3424" s="1">
        <v>3420</v>
      </c>
      <c r="B3424" s="1" t="str">
        <f>"2019-1619"</f>
        <v>2019-1619</v>
      </c>
      <c r="C3424" s="2" t="s">
        <v>2196</v>
      </c>
      <c r="D3424" s="1" t="s">
        <v>2197</v>
      </c>
      <c r="E3424" s="3" t="str">
        <f>""</f>
        <v/>
      </c>
      <c r="F3424" s="2" t="s">
        <v>1323</v>
      </c>
      <c r="G3424" s="2" t="str">
        <f>CONCATENATE("SIGA PRO D.O.O.,"," MEĐIMURSKA 12,"," 42000 VARAŽDIN,"," OIB: 00204195795")</f>
        <v>SIGA PRO D.O.O., MEĐIMURSKA 12, 42000 VARAŽDIN, OIB: 00204195795</v>
      </c>
      <c r="H3424" s="4"/>
      <c r="I3424" s="1" t="s">
        <v>317</v>
      </c>
      <c r="J3424" s="5">
        <v>43609</v>
      </c>
      <c r="K3424" s="6" t="str">
        <f>"11.500,00"</f>
        <v>11.500,00</v>
      </c>
      <c r="L3424" s="6" t="str">
        <f>"2.875,00"</f>
        <v>2.875,00</v>
      </c>
      <c r="M3424" s="6" t="str">
        <f>"14.375,00"</f>
        <v>14.375,00</v>
      </c>
      <c r="N3424" s="5">
        <v>43642</v>
      </c>
      <c r="O3424" s="7"/>
      <c r="P3424" s="6" t="str">
        <f>"14.375,00"</f>
        <v>14.375,00</v>
      </c>
      <c r="Q3424" s="7"/>
      <c r="R3424" s="1"/>
      <c r="S3424" s="1" t="str">
        <f>"J-UN-2019-3371"</f>
        <v>J-UN-2019-3371</v>
      </c>
      <c r="T3424" s="2" t="s">
        <v>33</v>
      </c>
    </row>
    <row r="3425" spans="1:20" ht="51" x14ac:dyDescent="0.25">
      <c r="A3425" s="1">
        <v>3421</v>
      </c>
      <c r="B3425" s="1" t="str">
        <f>"2019-1169"</f>
        <v>2019-1169</v>
      </c>
      <c r="C3425" s="2" t="s">
        <v>2198</v>
      </c>
      <c r="D3425" s="1" t="s">
        <v>2199</v>
      </c>
      <c r="E3425" s="3" t="str">
        <f>""</f>
        <v/>
      </c>
      <c r="F3425" s="2" t="s">
        <v>1323</v>
      </c>
      <c r="G3425" s="2" t="str">
        <f>CONCATENATE("RASADNIK UKRASNOG BILJA ĐURO JOVANOVAC VL.SINIŠA JOVANOVAC,"," MATIJE GUPCA 33,"," 32273 GRADIŠTE,"," OIB: 63533508033")</f>
        <v>RASADNIK UKRASNOG BILJA ĐURO JOVANOVAC VL.SINIŠA JOVANOVAC, MATIJE GUPCA 33, 32273 GRADIŠTE, OIB: 63533508033</v>
      </c>
      <c r="H3425" s="4"/>
      <c r="I3425" s="1" t="s">
        <v>317</v>
      </c>
      <c r="J3425" s="5">
        <v>43609</v>
      </c>
      <c r="K3425" s="6" t="str">
        <f>"76.000,00"</f>
        <v>76.000,00</v>
      </c>
      <c r="L3425" s="6" t="str">
        <f>"19.000,00"</f>
        <v>19.000,00</v>
      </c>
      <c r="M3425" s="6" t="str">
        <f>"95.000,00"</f>
        <v>95.000,00</v>
      </c>
      <c r="N3425" s="5">
        <v>43558</v>
      </c>
      <c r="O3425" s="7"/>
      <c r="P3425" s="6" t="str">
        <f>"79.362,50"</f>
        <v>79.362,50</v>
      </c>
      <c r="Q3425" s="7"/>
      <c r="R3425" s="1"/>
      <c r="S3425" s="1" t="str">
        <f>"J-UN-2019-3372"</f>
        <v>J-UN-2019-3372</v>
      </c>
      <c r="T3425" s="2" t="s">
        <v>33</v>
      </c>
    </row>
    <row r="3426" spans="1:20" ht="25.5" x14ac:dyDescent="0.25">
      <c r="A3426" s="1">
        <v>3422</v>
      </c>
      <c r="B3426" s="1" t="str">
        <f>"2019-790"</f>
        <v>2019-790</v>
      </c>
      <c r="C3426" s="2" t="s">
        <v>2121</v>
      </c>
      <c r="D3426" s="1" t="s">
        <v>727</v>
      </c>
      <c r="E3426" s="3" t="str">
        <f>""</f>
        <v/>
      </c>
      <c r="F3426" s="2" t="s">
        <v>1323</v>
      </c>
      <c r="G3426" s="2" t="str">
        <f>CONCATENATE("SCHEDA D.O.O.,"," LJUDEVITA POSAVSKOG 29,"," 10360 SESVETE,"," OIB: 76219817247")</f>
        <v>SCHEDA D.O.O., LJUDEVITA POSAVSKOG 29, 10360 SESVETE, OIB: 76219817247</v>
      </c>
      <c r="H3426" s="4"/>
      <c r="I3426" s="1" t="s">
        <v>32</v>
      </c>
      <c r="J3426" s="5">
        <v>43612</v>
      </c>
      <c r="K3426" s="6" t="str">
        <f>"30.220,00"</f>
        <v>30.220,00</v>
      </c>
      <c r="L3426" s="6" t="str">
        <f>"7.555,00"</f>
        <v>7.555,00</v>
      </c>
      <c r="M3426" s="6" t="str">
        <f>"37.775,00"</f>
        <v>37.775,00</v>
      </c>
      <c r="N3426" s="5">
        <v>43615</v>
      </c>
      <c r="O3426" s="7"/>
      <c r="P3426" s="6" t="str">
        <f>"25.398,00"</f>
        <v>25.398,00</v>
      </c>
      <c r="Q3426" s="7"/>
      <c r="R3426" s="1"/>
      <c r="S3426" s="1" t="str">
        <f>"J-UN-2019-3374"</f>
        <v>J-UN-2019-3374</v>
      </c>
      <c r="T3426" s="2" t="s">
        <v>33</v>
      </c>
    </row>
    <row r="3427" spans="1:20" ht="25.5" x14ac:dyDescent="0.25">
      <c r="A3427" s="1">
        <v>3423</v>
      </c>
      <c r="B3427" s="1" t="str">
        <f>"2019-246"</f>
        <v>2019-246</v>
      </c>
      <c r="C3427" s="2" t="s">
        <v>2200</v>
      </c>
      <c r="D3427" s="1" t="s">
        <v>292</v>
      </c>
      <c r="E3427" s="3" t="str">
        <f>""</f>
        <v/>
      </c>
      <c r="F3427" s="2" t="s">
        <v>1323</v>
      </c>
      <c r="G3427" s="2" t="str">
        <f>CONCATENATE("HAURATON HRVATSKA D.O.O.,"," ZELINSKA 7,"," 10000 ZAGREB,"," OIB: 05560556658")</f>
        <v>HAURATON HRVATSKA D.O.O., ZELINSKA 7, 10000 ZAGREB, OIB: 05560556658</v>
      </c>
      <c r="H3427" s="4"/>
      <c r="I3427" s="1" t="s">
        <v>499</v>
      </c>
      <c r="J3427" s="5">
        <v>43613</v>
      </c>
      <c r="K3427" s="6" t="str">
        <f>"109.996,00"</f>
        <v>109.996,00</v>
      </c>
      <c r="L3427" s="6" t="str">
        <f>"27.499,00"</f>
        <v>27.499,00</v>
      </c>
      <c r="M3427" s="6" t="str">
        <f>"137.495,00"</f>
        <v>137.495,00</v>
      </c>
      <c r="N3427" s="5">
        <v>43629</v>
      </c>
      <c r="O3427" s="7"/>
      <c r="P3427" s="6" t="str">
        <f>"56.505,10"</f>
        <v>56.505,10</v>
      </c>
      <c r="Q3427" s="7"/>
      <c r="R3427" s="1"/>
      <c r="S3427" s="1" t="str">
        <f>"J-UN-2019-3375"</f>
        <v>J-UN-2019-3375</v>
      </c>
      <c r="T3427" s="2" t="s">
        <v>33</v>
      </c>
    </row>
    <row r="3428" spans="1:20" ht="25.5" x14ac:dyDescent="0.25">
      <c r="A3428" s="1">
        <v>3424</v>
      </c>
      <c r="B3428" s="1" t="str">
        <f>"2019-1583"</f>
        <v>2019-1583</v>
      </c>
      <c r="C3428" s="2" t="s">
        <v>2201</v>
      </c>
      <c r="D3428" s="1" t="s">
        <v>2202</v>
      </c>
      <c r="E3428" s="3" t="str">
        <f>""</f>
        <v/>
      </c>
      <c r="F3428" s="2" t="s">
        <v>1323</v>
      </c>
      <c r="G3428" s="2" t="str">
        <f>CONCATENATE("BRIŠAR SERVIS D.O.O.,"," PRELČEVA 21D,"," 10360 SESVETE,"," OIB: 58933898865")</f>
        <v>BRIŠAR SERVIS D.O.O., PRELČEVA 21D, 10360 SESVETE, OIB: 58933898865</v>
      </c>
      <c r="H3428" s="4"/>
      <c r="I3428" s="1" t="s">
        <v>521</v>
      </c>
      <c r="J3428" s="5">
        <v>43605</v>
      </c>
      <c r="K3428" s="6" t="str">
        <f>"473,20"</f>
        <v>473,20</v>
      </c>
      <c r="L3428" s="6" t="str">
        <f>"118,30"</f>
        <v>118,30</v>
      </c>
      <c r="M3428" s="6" t="str">
        <f>"591,50"</f>
        <v>591,50</v>
      </c>
      <c r="N3428" s="5">
        <v>43616</v>
      </c>
      <c r="O3428" s="7"/>
      <c r="P3428" s="6" t="str">
        <f>"591,50"</f>
        <v>591,50</v>
      </c>
      <c r="Q3428" s="7"/>
      <c r="R3428" s="1"/>
      <c r="S3428" s="1" t="str">
        <f>"J-UN-2019-3377"</f>
        <v>J-UN-2019-3377</v>
      </c>
      <c r="T3428" s="2" t="s">
        <v>33</v>
      </c>
    </row>
    <row r="3429" spans="1:20" ht="25.5" x14ac:dyDescent="0.25">
      <c r="A3429" s="1">
        <v>3425</v>
      </c>
      <c r="B3429" s="1" t="str">
        <f>"2019-1923"</f>
        <v>2019-1923</v>
      </c>
      <c r="C3429" s="2" t="s">
        <v>2203</v>
      </c>
      <c r="D3429" s="1" t="s">
        <v>2204</v>
      </c>
      <c r="E3429" s="3" t="str">
        <f>""</f>
        <v/>
      </c>
      <c r="F3429" s="2" t="s">
        <v>1323</v>
      </c>
      <c r="G3429" s="2" t="str">
        <f>CONCATENATE("D.R. AUTO D.O.O.,"," SELSKA CESTA 34,"," 10000 ZAGREB,"," OIB: 07523847158")</f>
        <v>D.R. AUTO D.O.O., SELSKA CESTA 34, 10000 ZAGREB, OIB: 07523847158</v>
      </c>
      <c r="H3429" s="4"/>
      <c r="I3429" s="1" t="s">
        <v>334</v>
      </c>
      <c r="J3429" s="5">
        <v>43602</v>
      </c>
      <c r="K3429" s="6" t="str">
        <f>"5.199,20"</f>
        <v>5.199,20</v>
      </c>
      <c r="L3429" s="6" t="str">
        <f>"1.299,80"</f>
        <v>1.299,80</v>
      </c>
      <c r="M3429" s="6" t="str">
        <f>"6.499,00"</f>
        <v>6.499,00</v>
      </c>
      <c r="N3429" s="5">
        <v>43602</v>
      </c>
      <c r="O3429" s="7"/>
      <c r="P3429" s="6" t="str">
        <f>"6.499,00"</f>
        <v>6.499,00</v>
      </c>
      <c r="Q3429" s="7"/>
      <c r="R3429" s="1"/>
      <c r="S3429" s="1" t="str">
        <f>"J-UN-2019-3378"</f>
        <v>J-UN-2019-3378</v>
      </c>
      <c r="T3429" s="2" t="s">
        <v>33</v>
      </c>
    </row>
    <row r="3430" spans="1:20" ht="25.5" x14ac:dyDescent="0.25">
      <c r="A3430" s="1">
        <v>3426</v>
      </c>
      <c r="B3430" s="1" t="str">
        <f>"2019-2356"</f>
        <v>2019-2356</v>
      </c>
      <c r="C3430" s="2" t="s">
        <v>2205</v>
      </c>
      <c r="D3430" s="1" t="s">
        <v>2206</v>
      </c>
      <c r="E3430" s="3" t="str">
        <f>""</f>
        <v/>
      </c>
      <c r="F3430" s="2" t="s">
        <v>1323</v>
      </c>
      <c r="G3430" s="2" t="str">
        <f>CONCATENATE("NORMA PROM D.O.O.,"," CVIJETE ZUZORIĆ 15,"," 10000 ZAGREB,"," OIB: 57296463847")</f>
        <v>NORMA PROM D.O.O., CVIJETE ZUZORIĆ 15, 10000 ZAGREB, OIB: 57296463847</v>
      </c>
      <c r="H3430" s="4"/>
      <c r="I3430" s="1" t="s">
        <v>334</v>
      </c>
      <c r="J3430" s="5">
        <v>43602</v>
      </c>
      <c r="K3430" s="6" t="str">
        <f>"2.750,00"</f>
        <v>2.750,00</v>
      </c>
      <c r="L3430" s="6" t="str">
        <f>"687,50"</f>
        <v>687,50</v>
      </c>
      <c r="M3430" s="6" t="str">
        <f>"3.437,50"</f>
        <v>3.437,50</v>
      </c>
      <c r="N3430" s="5">
        <v>43544</v>
      </c>
      <c r="O3430" s="7"/>
      <c r="P3430" s="6" t="str">
        <f>"3.437,50"</f>
        <v>3.437,50</v>
      </c>
      <c r="Q3430" s="7"/>
      <c r="R3430" s="1"/>
      <c r="S3430" s="1" t="str">
        <f>"J-UN-2019-3380"</f>
        <v>J-UN-2019-3380</v>
      </c>
      <c r="T3430" s="2" t="s">
        <v>33</v>
      </c>
    </row>
    <row r="3431" spans="1:20" ht="38.25" x14ac:dyDescent="0.25">
      <c r="A3431" s="1">
        <v>3427</v>
      </c>
      <c r="B3431" s="1" t="str">
        <f>"2019-2229"</f>
        <v>2019-2229</v>
      </c>
      <c r="C3431" s="2" t="s">
        <v>2207</v>
      </c>
      <c r="D3431" s="1" t="s">
        <v>1550</v>
      </c>
      <c r="E3431" s="3" t="str">
        <f>""</f>
        <v/>
      </c>
      <c r="F3431" s="2" t="s">
        <v>1323</v>
      </c>
      <c r="G3431" s="2" t="str">
        <f>CONCATENATE("AGRAM LIFE OSIGURANJE D.D,"," TRNJANSKA CESTA 108,"," 10000 ZAGREB,"," OIB: 18742666873")</f>
        <v>AGRAM LIFE OSIGURANJE D.D, TRNJANSKA CESTA 108, 10000 ZAGREB, OIB: 18742666873</v>
      </c>
      <c r="H3431" s="4"/>
      <c r="I3431" s="1" t="s">
        <v>334</v>
      </c>
      <c r="J3431" s="5">
        <v>43602</v>
      </c>
      <c r="K3431" s="6" t="str">
        <f>"3.040,00"</f>
        <v>3.040,00</v>
      </c>
      <c r="L3431" s="6" t="str">
        <f>"760,00"</f>
        <v>760,00</v>
      </c>
      <c r="M3431" s="6" t="str">
        <f>"3.800,00"</f>
        <v>3.800,00</v>
      </c>
      <c r="N3431" s="1" t="s">
        <v>117</v>
      </c>
      <c r="O3431" s="7"/>
      <c r="P3431" s="6" t="str">
        <f>""</f>
        <v/>
      </c>
      <c r="Q3431" s="7"/>
      <c r="R3431" s="1"/>
      <c r="S3431" s="1" t="str">
        <f>"J-UN-2019-3381"</f>
        <v>J-UN-2019-3381</v>
      </c>
      <c r="T3431" s="2" t="s">
        <v>33</v>
      </c>
    </row>
    <row r="3432" spans="1:20" ht="38.25" x14ac:dyDescent="0.25">
      <c r="A3432" s="1">
        <v>3428</v>
      </c>
      <c r="B3432" s="1" t="str">
        <f>"2019-2229"</f>
        <v>2019-2229</v>
      </c>
      <c r="C3432" s="2" t="s">
        <v>2207</v>
      </c>
      <c r="D3432" s="1" t="s">
        <v>1550</v>
      </c>
      <c r="E3432" s="3" t="str">
        <f>""</f>
        <v/>
      </c>
      <c r="F3432" s="2" t="s">
        <v>1323</v>
      </c>
      <c r="G3432" s="2" t="str">
        <f>CONCATENATE("POLIKLINIKA SVETI ROK M.D.,"," ULICA GRADA VUKOVARA 284,"," 10000 ZAGREB,"," OIB: 28842147765")</f>
        <v>POLIKLINIKA SVETI ROK M.D., ULICA GRADA VUKOVARA 284, 10000 ZAGREB, OIB: 28842147765</v>
      </c>
      <c r="H3432" s="4"/>
      <c r="I3432" s="1" t="s">
        <v>334</v>
      </c>
      <c r="J3432" s="5">
        <v>43602</v>
      </c>
      <c r="K3432" s="6" t="str">
        <f>"3.500,00"</f>
        <v>3.500,00</v>
      </c>
      <c r="L3432" s="6" t="str">
        <f>"875,00"</f>
        <v>875,00</v>
      </c>
      <c r="M3432" s="6" t="str">
        <f>"4.375,00"</f>
        <v>4.375,00</v>
      </c>
      <c r="N3432" s="5">
        <v>43619</v>
      </c>
      <c r="O3432" s="7"/>
      <c r="P3432" s="6" t="str">
        <f>"4.375,00"</f>
        <v>4.375,00</v>
      </c>
      <c r="Q3432" s="7"/>
      <c r="R3432" s="1"/>
      <c r="S3432" s="1" t="str">
        <f>"J-UN-2019-3382"</f>
        <v>J-UN-2019-3382</v>
      </c>
      <c r="T3432" s="2" t="s">
        <v>33</v>
      </c>
    </row>
    <row r="3433" spans="1:20" ht="25.5" x14ac:dyDescent="0.25">
      <c r="A3433" s="1">
        <v>3429</v>
      </c>
      <c r="B3433" s="1" t="str">
        <f>"2019-2278"</f>
        <v>2019-2278</v>
      </c>
      <c r="C3433" s="2" t="s">
        <v>2208</v>
      </c>
      <c r="D3433" s="1" t="s">
        <v>2209</v>
      </c>
      <c r="E3433" s="3" t="str">
        <f>""</f>
        <v/>
      </c>
      <c r="F3433" s="2" t="s">
        <v>1323</v>
      </c>
      <c r="G3433" s="2" t="str">
        <f>CONCATENATE("AGROTUROPOLJE D.O.O.,"," VELIKOGORIČKA 43,"," 10415 NOVO ČIČE,"," OIB: 66493270332")</f>
        <v>AGROTUROPOLJE D.O.O., VELIKOGORIČKA 43, 10415 NOVO ČIČE, OIB: 66493270332</v>
      </c>
      <c r="H3433" s="4"/>
      <c r="I3433" s="1" t="s">
        <v>32</v>
      </c>
      <c r="J3433" s="5">
        <v>43612</v>
      </c>
      <c r="K3433" s="6" t="str">
        <f>"168.760,00"</f>
        <v>168.760,00</v>
      </c>
      <c r="L3433" s="6" t="str">
        <f>"42.190,00"</f>
        <v>42.190,00</v>
      </c>
      <c r="M3433" s="6" t="str">
        <f>"210.950,00"</f>
        <v>210.950,00</v>
      </c>
      <c r="N3433" s="5">
        <v>43679</v>
      </c>
      <c r="O3433" s="7"/>
      <c r="P3433" s="6" t="str">
        <f>"70.605,61"</f>
        <v>70.605,61</v>
      </c>
      <c r="Q3433" s="7"/>
      <c r="R3433" s="1"/>
      <c r="S3433" s="1" t="str">
        <f>"J-UN-2019-3383"</f>
        <v>J-UN-2019-3383</v>
      </c>
      <c r="T3433" s="2" t="s">
        <v>33</v>
      </c>
    </row>
    <row r="3434" spans="1:20" ht="38.25" x14ac:dyDescent="0.25">
      <c r="A3434" s="1">
        <v>3430</v>
      </c>
      <c r="B3434" s="1" t="str">
        <f>"2019-600"</f>
        <v>2019-600</v>
      </c>
      <c r="C3434" s="2" t="s">
        <v>2210</v>
      </c>
      <c r="D3434" s="1" t="s">
        <v>2211</v>
      </c>
      <c r="E3434" s="3" t="str">
        <f>""</f>
        <v/>
      </c>
      <c r="F3434" s="2" t="s">
        <v>1323</v>
      </c>
      <c r="G3434" s="2" t="str">
        <f t="shared" ref="G3434:G3465" si="296">CONCATENATE("LANIŠTE D.O.O.,"," ALEXANDERA VON HUMBOLDTA 4B,"," 10000 ZAGREB,"," OIB: 3755384865")</f>
        <v>LANIŠTE D.O.O., ALEXANDERA VON HUMBOLDTA 4B, 10000 ZAGREB, OIB: 3755384865</v>
      </c>
      <c r="H3434" s="4"/>
      <c r="I3434" s="1" t="s">
        <v>521</v>
      </c>
      <c r="J3434" s="5">
        <v>43605</v>
      </c>
      <c r="K3434" s="6" t="str">
        <f>"4.032,00"</f>
        <v>4.032,00</v>
      </c>
      <c r="L3434" s="6" t="str">
        <f>"1.008,00"</f>
        <v>1.008,00</v>
      </c>
      <c r="M3434" s="6" t="str">
        <f>"5.040,00"</f>
        <v>5.040,00</v>
      </c>
      <c r="N3434" s="1" t="s">
        <v>117</v>
      </c>
      <c r="O3434" s="7"/>
      <c r="P3434" s="6" t="str">
        <f>""</f>
        <v/>
      </c>
      <c r="Q3434" s="7"/>
      <c r="R3434" s="1"/>
      <c r="S3434" s="1" t="str">
        <f>"J-UN-2019-3385"</f>
        <v>J-UN-2019-3385</v>
      </c>
      <c r="T3434" s="2" t="s">
        <v>33</v>
      </c>
    </row>
    <row r="3435" spans="1:20" ht="38.25" x14ac:dyDescent="0.25">
      <c r="A3435" s="1">
        <v>3431</v>
      </c>
      <c r="B3435" s="1" t="str">
        <f>"2019-1229"</f>
        <v>2019-1229</v>
      </c>
      <c r="C3435" s="2" t="s">
        <v>2212</v>
      </c>
      <c r="D3435" s="1" t="s">
        <v>2213</v>
      </c>
      <c r="E3435" s="3" t="str">
        <f>""</f>
        <v/>
      </c>
      <c r="F3435" s="2" t="s">
        <v>1323</v>
      </c>
      <c r="G3435" s="2" t="str">
        <f t="shared" si="296"/>
        <v>LANIŠTE D.O.O., ALEXANDERA VON HUMBOLDTA 4B, 10000 ZAGREB, OIB: 3755384865</v>
      </c>
      <c r="H3435" s="4"/>
      <c r="I3435" s="1" t="s">
        <v>521</v>
      </c>
      <c r="J3435" s="5">
        <v>43605</v>
      </c>
      <c r="K3435" s="6" t="str">
        <f>"4.032,00"</f>
        <v>4.032,00</v>
      </c>
      <c r="L3435" s="6" t="str">
        <f>"1.008,00"</f>
        <v>1.008,00</v>
      </c>
      <c r="M3435" s="6" t="str">
        <f>"5.040,00"</f>
        <v>5.040,00</v>
      </c>
      <c r="N3435" s="1" t="s">
        <v>117</v>
      </c>
      <c r="O3435" s="7"/>
      <c r="P3435" s="6" t="str">
        <f>""</f>
        <v/>
      </c>
      <c r="Q3435" s="7"/>
      <c r="R3435" s="1"/>
      <c r="S3435" s="1" t="str">
        <f>"J-UN-2019-3386"</f>
        <v>J-UN-2019-3386</v>
      </c>
      <c r="T3435" s="2" t="s">
        <v>33</v>
      </c>
    </row>
    <row r="3436" spans="1:20" ht="38.25" x14ac:dyDescent="0.25">
      <c r="A3436" s="1">
        <v>3432</v>
      </c>
      <c r="B3436" s="1" t="str">
        <f>"2019-1694"</f>
        <v>2019-1694</v>
      </c>
      <c r="C3436" s="2" t="s">
        <v>2214</v>
      </c>
      <c r="D3436" s="1" t="s">
        <v>2215</v>
      </c>
      <c r="E3436" s="3" t="str">
        <f>""</f>
        <v/>
      </c>
      <c r="F3436" s="2" t="s">
        <v>1323</v>
      </c>
      <c r="G3436" s="2" t="str">
        <f t="shared" si="296"/>
        <v>LANIŠTE D.O.O., ALEXANDERA VON HUMBOLDTA 4B, 10000 ZAGREB, OIB: 3755384865</v>
      </c>
      <c r="H3436" s="4"/>
      <c r="I3436" s="1" t="s">
        <v>521</v>
      </c>
      <c r="J3436" s="5">
        <v>43605</v>
      </c>
      <c r="K3436" s="6" t="str">
        <f>"3.632,00"</f>
        <v>3.632,00</v>
      </c>
      <c r="L3436" s="6" t="str">
        <f>"908,00"</f>
        <v>908,00</v>
      </c>
      <c r="M3436" s="6" t="str">
        <f>"4.540,00"</f>
        <v>4.540,00</v>
      </c>
      <c r="N3436" s="1" t="s">
        <v>117</v>
      </c>
      <c r="O3436" s="7"/>
      <c r="P3436" s="6" t="str">
        <f>""</f>
        <v/>
      </c>
      <c r="Q3436" s="7"/>
      <c r="R3436" s="1"/>
      <c r="S3436" s="1" t="str">
        <f>"J-UN-2019-3387"</f>
        <v>J-UN-2019-3387</v>
      </c>
      <c r="T3436" s="2" t="s">
        <v>33</v>
      </c>
    </row>
    <row r="3437" spans="1:20" ht="38.25" x14ac:dyDescent="0.25">
      <c r="A3437" s="1">
        <v>3433</v>
      </c>
      <c r="B3437" s="1" t="str">
        <f>"2019-1083"</f>
        <v>2019-1083</v>
      </c>
      <c r="C3437" s="2" t="s">
        <v>2216</v>
      </c>
      <c r="D3437" s="1" t="s">
        <v>2217</v>
      </c>
      <c r="E3437" s="3" t="str">
        <f>""</f>
        <v/>
      </c>
      <c r="F3437" s="2" t="s">
        <v>1323</v>
      </c>
      <c r="G3437" s="2" t="str">
        <f t="shared" si="296"/>
        <v>LANIŠTE D.O.O., ALEXANDERA VON HUMBOLDTA 4B, 10000 ZAGREB, OIB: 3755384865</v>
      </c>
      <c r="H3437" s="4"/>
      <c r="I3437" s="1" t="s">
        <v>521</v>
      </c>
      <c r="J3437" s="5">
        <v>43605</v>
      </c>
      <c r="K3437" s="6" t="str">
        <f>"3.636,00"</f>
        <v>3.636,00</v>
      </c>
      <c r="L3437" s="6" t="str">
        <f>"909,00"</f>
        <v>909,00</v>
      </c>
      <c r="M3437" s="6" t="str">
        <f>"4.545,00"</f>
        <v>4.545,00</v>
      </c>
      <c r="N3437" s="1" t="s">
        <v>117</v>
      </c>
      <c r="O3437" s="7"/>
      <c r="P3437" s="6" t="str">
        <f>""</f>
        <v/>
      </c>
      <c r="Q3437" s="7"/>
      <c r="R3437" s="1"/>
      <c r="S3437" s="1" t="str">
        <f>"J-UN-2019-3388"</f>
        <v>J-UN-2019-3388</v>
      </c>
      <c r="T3437" s="2" t="s">
        <v>33</v>
      </c>
    </row>
    <row r="3438" spans="1:20" ht="38.25" x14ac:dyDescent="0.25">
      <c r="A3438" s="1">
        <v>3434</v>
      </c>
      <c r="B3438" s="1" t="str">
        <f>"2019-2305"</f>
        <v>2019-2305</v>
      </c>
      <c r="C3438" s="2" t="s">
        <v>2218</v>
      </c>
      <c r="D3438" s="1" t="s">
        <v>1901</v>
      </c>
      <c r="E3438" s="3" t="str">
        <f>""</f>
        <v/>
      </c>
      <c r="F3438" s="2" t="s">
        <v>1323</v>
      </c>
      <c r="G3438" s="2" t="str">
        <f t="shared" si="296"/>
        <v>LANIŠTE D.O.O., ALEXANDERA VON HUMBOLDTA 4B, 10000 ZAGREB, OIB: 3755384865</v>
      </c>
      <c r="H3438" s="4"/>
      <c r="I3438" s="1" t="s">
        <v>521</v>
      </c>
      <c r="J3438" s="5">
        <v>43605</v>
      </c>
      <c r="K3438" s="6" t="str">
        <f>"5.836,00"</f>
        <v>5.836,00</v>
      </c>
      <c r="L3438" s="6" t="str">
        <f>"1.459,00"</f>
        <v>1.459,00</v>
      </c>
      <c r="M3438" s="6" t="str">
        <f>"7.295,00"</f>
        <v>7.295,00</v>
      </c>
      <c r="N3438" s="1" t="s">
        <v>117</v>
      </c>
      <c r="O3438" s="7"/>
      <c r="P3438" s="6" t="str">
        <f>""</f>
        <v/>
      </c>
      <c r="Q3438" s="7"/>
      <c r="R3438" s="1"/>
      <c r="S3438" s="1" t="str">
        <f>"J-UN-2019-3389"</f>
        <v>J-UN-2019-3389</v>
      </c>
      <c r="T3438" s="2" t="s">
        <v>33</v>
      </c>
    </row>
    <row r="3439" spans="1:20" ht="38.25" x14ac:dyDescent="0.25">
      <c r="A3439" s="1">
        <v>3435</v>
      </c>
      <c r="B3439" s="1" t="str">
        <f>"2019-2151"</f>
        <v>2019-2151</v>
      </c>
      <c r="C3439" s="2" t="s">
        <v>2219</v>
      </c>
      <c r="D3439" s="1" t="s">
        <v>2211</v>
      </c>
      <c r="E3439" s="3" t="str">
        <f>""</f>
        <v/>
      </c>
      <c r="F3439" s="2" t="s">
        <v>1323</v>
      </c>
      <c r="G3439" s="2" t="str">
        <f t="shared" si="296"/>
        <v>LANIŠTE D.O.O., ALEXANDERA VON HUMBOLDTA 4B, 10000 ZAGREB, OIB: 3755384865</v>
      </c>
      <c r="H3439" s="4"/>
      <c r="I3439" s="1" t="s">
        <v>521</v>
      </c>
      <c r="J3439" s="5">
        <v>43605</v>
      </c>
      <c r="K3439" s="6" t="str">
        <f>"6.232,00"</f>
        <v>6.232,00</v>
      </c>
      <c r="L3439" s="6" t="str">
        <f>"1.558,00"</f>
        <v>1.558,00</v>
      </c>
      <c r="M3439" s="6" t="str">
        <f>"7.790,00"</f>
        <v>7.790,00</v>
      </c>
      <c r="N3439" s="1" t="s">
        <v>117</v>
      </c>
      <c r="O3439" s="7"/>
      <c r="P3439" s="6" t="str">
        <f>""</f>
        <v/>
      </c>
      <c r="Q3439" s="7"/>
      <c r="R3439" s="1"/>
      <c r="S3439" s="1" t="str">
        <f>"J-UN-2019-3390"</f>
        <v>J-UN-2019-3390</v>
      </c>
      <c r="T3439" s="2" t="s">
        <v>33</v>
      </c>
    </row>
    <row r="3440" spans="1:20" ht="38.25" x14ac:dyDescent="0.25">
      <c r="A3440" s="1">
        <v>3436</v>
      </c>
      <c r="B3440" s="1" t="str">
        <f>"2019-600"</f>
        <v>2019-600</v>
      </c>
      <c r="C3440" s="2" t="s">
        <v>2210</v>
      </c>
      <c r="D3440" s="1" t="s">
        <v>2211</v>
      </c>
      <c r="E3440" s="3" t="str">
        <f>""</f>
        <v/>
      </c>
      <c r="F3440" s="2" t="s">
        <v>1323</v>
      </c>
      <c r="G3440" s="2" t="str">
        <f t="shared" si="296"/>
        <v>LANIŠTE D.O.O., ALEXANDERA VON HUMBOLDTA 4B, 10000 ZAGREB, OIB: 3755384865</v>
      </c>
      <c r="H3440" s="4"/>
      <c r="I3440" s="1" t="s">
        <v>521</v>
      </c>
      <c r="J3440" s="5">
        <v>43605</v>
      </c>
      <c r="K3440" s="6" t="str">
        <f>"6.032,00"</f>
        <v>6.032,00</v>
      </c>
      <c r="L3440" s="6" t="str">
        <f>"1.508,00"</f>
        <v>1.508,00</v>
      </c>
      <c r="M3440" s="6" t="str">
        <f>"7.540,00"</f>
        <v>7.540,00</v>
      </c>
      <c r="N3440" s="1" t="s">
        <v>117</v>
      </c>
      <c r="O3440" s="7"/>
      <c r="P3440" s="6" t="str">
        <f>""</f>
        <v/>
      </c>
      <c r="Q3440" s="7"/>
      <c r="R3440" s="1"/>
      <c r="S3440" s="1" t="str">
        <f>"J-UN-2019-3391"</f>
        <v>J-UN-2019-3391</v>
      </c>
      <c r="T3440" s="2" t="s">
        <v>33</v>
      </c>
    </row>
    <row r="3441" spans="1:20" ht="38.25" x14ac:dyDescent="0.25">
      <c r="A3441" s="1">
        <v>3437</v>
      </c>
      <c r="B3441" s="1" t="str">
        <f>"2019-1229"</f>
        <v>2019-1229</v>
      </c>
      <c r="C3441" s="2" t="s">
        <v>2212</v>
      </c>
      <c r="D3441" s="1" t="s">
        <v>2213</v>
      </c>
      <c r="E3441" s="3" t="str">
        <f>""</f>
        <v/>
      </c>
      <c r="F3441" s="2" t="s">
        <v>1323</v>
      </c>
      <c r="G3441" s="2" t="str">
        <f t="shared" si="296"/>
        <v>LANIŠTE D.O.O., ALEXANDERA VON HUMBOLDTA 4B, 10000 ZAGREB, OIB: 3755384865</v>
      </c>
      <c r="H3441" s="4"/>
      <c r="I3441" s="1" t="s">
        <v>521</v>
      </c>
      <c r="J3441" s="5">
        <v>43605</v>
      </c>
      <c r="K3441" s="6" t="str">
        <f>"6.332,00"</f>
        <v>6.332,00</v>
      </c>
      <c r="L3441" s="6" t="str">
        <f>"1.583,00"</f>
        <v>1.583,00</v>
      </c>
      <c r="M3441" s="6" t="str">
        <f>"7.915,00"</f>
        <v>7.915,00</v>
      </c>
      <c r="N3441" s="1" t="s">
        <v>117</v>
      </c>
      <c r="O3441" s="7"/>
      <c r="P3441" s="6" t="str">
        <f>""</f>
        <v/>
      </c>
      <c r="Q3441" s="7"/>
      <c r="R3441" s="1"/>
      <c r="S3441" s="1" t="str">
        <f>"J-UN-2019-3392"</f>
        <v>J-UN-2019-3392</v>
      </c>
      <c r="T3441" s="2" t="s">
        <v>33</v>
      </c>
    </row>
    <row r="3442" spans="1:20" ht="38.25" x14ac:dyDescent="0.25">
      <c r="A3442" s="1">
        <v>3438</v>
      </c>
      <c r="B3442" s="1" t="str">
        <f>"2019-1694"</f>
        <v>2019-1694</v>
      </c>
      <c r="C3442" s="2" t="s">
        <v>2214</v>
      </c>
      <c r="D3442" s="1" t="s">
        <v>2215</v>
      </c>
      <c r="E3442" s="3" t="str">
        <f>""</f>
        <v/>
      </c>
      <c r="F3442" s="2" t="s">
        <v>1323</v>
      </c>
      <c r="G3442" s="2" t="str">
        <f t="shared" si="296"/>
        <v>LANIŠTE D.O.O., ALEXANDERA VON HUMBOLDTA 4B, 10000 ZAGREB, OIB: 3755384865</v>
      </c>
      <c r="H3442" s="4"/>
      <c r="I3442" s="1" t="s">
        <v>25</v>
      </c>
      <c r="J3442" s="5">
        <v>43606</v>
      </c>
      <c r="K3442" s="6" t="str">
        <f>"5.932,00"</f>
        <v>5.932,00</v>
      </c>
      <c r="L3442" s="6" t="str">
        <f>"1.483,00"</f>
        <v>1.483,00</v>
      </c>
      <c r="M3442" s="6" t="str">
        <f>"7.415,00"</f>
        <v>7.415,00</v>
      </c>
      <c r="N3442" s="1" t="s">
        <v>117</v>
      </c>
      <c r="O3442" s="7"/>
      <c r="P3442" s="6" t="str">
        <f>""</f>
        <v/>
      </c>
      <c r="Q3442" s="7"/>
      <c r="R3442" s="1"/>
      <c r="S3442" s="1" t="str">
        <f>"J-UN-2019-3393"</f>
        <v>J-UN-2019-3393</v>
      </c>
      <c r="T3442" s="2" t="s">
        <v>33</v>
      </c>
    </row>
    <row r="3443" spans="1:20" ht="38.25" x14ac:dyDescent="0.25">
      <c r="A3443" s="1">
        <v>3439</v>
      </c>
      <c r="B3443" s="1" t="str">
        <f>"2019-1083"</f>
        <v>2019-1083</v>
      </c>
      <c r="C3443" s="2" t="s">
        <v>2216</v>
      </c>
      <c r="D3443" s="1" t="s">
        <v>2217</v>
      </c>
      <c r="E3443" s="3" t="str">
        <f>""</f>
        <v/>
      </c>
      <c r="F3443" s="2" t="s">
        <v>1323</v>
      </c>
      <c r="G3443" s="2" t="str">
        <f t="shared" si="296"/>
        <v>LANIŠTE D.O.O., ALEXANDERA VON HUMBOLDTA 4B, 10000 ZAGREB, OIB: 3755384865</v>
      </c>
      <c r="H3443" s="4"/>
      <c r="I3443" s="1" t="s">
        <v>25</v>
      </c>
      <c r="J3443" s="5">
        <v>43606</v>
      </c>
      <c r="K3443" s="6" t="str">
        <f>"5.636,00"</f>
        <v>5.636,00</v>
      </c>
      <c r="L3443" s="6" t="str">
        <f>"1.409,00"</f>
        <v>1.409,00</v>
      </c>
      <c r="M3443" s="6" t="str">
        <f>"7.045,00"</f>
        <v>7.045,00</v>
      </c>
      <c r="N3443" s="1" t="s">
        <v>117</v>
      </c>
      <c r="O3443" s="7"/>
      <c r="P3443" s="6" t="str">
        <f>""</f>
        <v/>
      </c>
      <c r="Q3443" s="7"/>
      <c r="R3443" s="1"/>
      <c r="S3443" s="1" t="str">
        <f>"J-UN-2019-3394"</f>
        <v>J-UN-2019-3394</v>
      </c>
      <c r="T3443" s="2" t="s">
        <v>33</v>
      </c>
    </row>
    <row r="3444" spans="1:20" ht="38.25" x14ac:dyDescent="0.25">
      <c r="A3444" s="1">
        <v>3440</v>
      </c>
      <c r="B3444" s="1" t="str">
        <f>"2019-2305"</f>
        <v>2019-2305</v>
      </c>
      <c r="C3444" s="2" t="s">
        <v>2218</v>
      </c>
      <c r="D3444" s="1" t="s">
        <v>1901</v>
      </c>
      <c r="E3444" s="3" t="str">
        <f>""</f>
        <v/>
      </c>
      <c r="F3444" s="2" t="s">
        <v>1323</v>
      </c>
      <c r="G3444" s="2" t="str">
        <f t="shared" si="296"/>
        <v>LANIŠTE D.O.O., ALEXANDERA VON HUMBOLDTA 4B, 10000 ZAGREB, OIB: 3755384865</v>
      </c>
      <c r="H3444" s="4"/>
      <c r="I3444" s="1" t="s">
        <v>25</v>
      </c>
      <c r="J3444" s="5">
        <v>43606</v>
      </c>
      <c r="K3444" s="6" t="str">
        <f>"3.636,00"</f>
        <v>3.636,00</v>
      </c>
      <c r="L3444" s="6" t="str">
        <f>"909,00"</f>
        <v>909,00</v>
      </c>
      <c r="M3444" s="6" t="str">
        <f>"4.545,00"</f>
        <v>4.545,00</v>
      </c>
      <c r="N3444" s="1" t="s">
        <v>117</v>
      </c>
      <c r="O3444" s="7"/>
      <c r="P3444" s="6" t="str">
        <f>""</f>
        <v/>
      </c>
      <c r="Q3444" s="7"/>
      <c r="R3444" s="1"/>
      <c r="S3444" s="1" t="str">
        <f>"J-UN-2019-3395"</f>
        <v>J-UN-2019-3395</v>
      </c>
      <c r="T3444" s="2" t="s">
        <v>33</v>
      </c>
    </row>
    <row r="3445" spans="1:20" ht="38.25" x14ac:dyDescent="0.25">
      <c r="A3445" s="1">
        <v>3441</v>
      </c>
      <c r="B3445" s="1" t="str">
        <f>"2019-2151"</f>
        <v>2019-2151</v>
      </c>
      <c r="C3445" s="2" t="s">
        <v>2219</v>
      </c>
      <c r="D3445" s="1" t="s">
        <v>2211</v>
      </c>
      <c r="E3445" s="3" t="str">
        <f>""</f>
        <v/>
      </c>
      <c r="F3445" s="2" t="s">
        <v>1323</v>
      </c>
      <c r="G3445" s="2" t="str">
        <f t="shared" si="296"/>
        <v>LANIŠTE D.O.O., ALEXANDERA VON HUMBOLDTA 4B, 10000 ZAGREB, OIB: 3755384865</v>
      </c>
      <c r="H3445" s="4"/>
      <c r="I3445" s="1" t="s">
        <v>25</v>
      </c>
      <c r="J3445" s="5">
        <v>43606</v>
      </c>
      <c r="K3445" s="6" t="str">
        <f>"4.032,00"</f>
        <v>4.032,00</v>
      </c>
      <c r="L3445" s="6" t="str">
        <f>"1.008,00"</f>
        <v>1.008,00</v>
      </c>
      <c r="M3445" s="6" t="str">
        <f>"5.040,00"</f>
        <v>5.040,00</v>
      </c>
      <c r="N3445" s="1" t="s">
        <v>117</v>
      </c>
      <c r="O3445" s="7"/>
      <c r="P3445" s="6" t="str">
        <f>""</f>
        <v/>
      </c>
      <c r="Q3445" s="7"/>
      <c r="R3445" s="1"/>
      <c r="S3445" s="1" t="str">
        <f>"J-UN-2019-3396"</f>
        <v>J-UN-2019-3396</v>
      </c>
      <c r="T3445" s="2" t="s">
        <v>33</v>
      </c>
    </row>
    <row r="3446" spans="1:20" ht="38.25" x14ac:dyDescent="0.25">
      <c r="A3446" s="1">
        <v>3442</v>
      </c>
      <c r="B3446" s="1" t="str">
        <f>"2019-600"</f>
        <v>2019-600</v>
      </c>
      <c r="C3446" s="2" t="s">
        <v>2210</v>
      </c>
      <c r="D3446" s="1" t="s">
        <v>2211</v>
      </c>
      <c r="E3446" s="3" t="str">
        <f>""</f>
        <v/>
      </c>
      <c r="F3446" s="2" t="s">
        <v>1323</v>
      </c>
      <c r="G3446" s="2" t="str">
        <f t="shared" si="296"/>
        <v>LANIŠTE D.O.O., ALEXANDERA VON HUMBOLDTA 4B, 10000 ZAGREB, OIB: 3755384865</v>
      </c>
      <c r="H3446" s="4"/>
      <c r="I3446" s="1" t="s">
        <v>25</v>
      </c>
      <c r="J3446" s="5">
        <v>43606</v>
      </c>
      <c r="K3446" s="6" t="str">
        <f>"4.032,00"</f>
        <v>4.032,00</v>
      </c>
      <c r="L3446" s="6" t="str">
        <f>"1.008,00"</f>
        <v>1.008,00</v>
      </c>
      <c r="M3446" s="6" t="str">
        <f>"5.040,00"</f>
        <v>5.040,00</v>
      </c>
      <c r="N3446" s="1" t="s">
        <v>117</v>
      </c>
      <c r="O3446" s="7"/>
      <c r="P3446" s="6" t="str">
        <f>""</f>
        <v/>
      </c>
      <c r="Q3446" s="7"/>
      <c r="R3446" s="1"/>
      <c r="S3446" s="1" t="str">
        <f>"J-UN-2019-3397"</f>
        <v>J-UN-2019-3397</v>
      </c>
      <c r="T3446" s="2" t="s">
        <v>33</v>
      </c>
    </row>
    <row r="3447" spans="1:20" ht="38.25" x14ac:dyDescent="0.25">
      <c r="A3447" s="1">
        <v>3443</v>
      </c>
      <c r="B3447" s="1" t="str">
        <f>"2019-1229"</f>
        <v>2019-1229</v>
      </c>
      <c r="C3447" s="2" t="s">
        <v>2212</v>
      </c>
      <c r="D3447" s="1" t="s">
        <v>2213</v>
      </c>
      <c r="E3447" s="3" t="str">
        <f>""</f>
        <v/>
      </c>
      <c r="F3447" s="2" t="s">
        <v>1323</v>
      </c>
      <c r="G3447" s="2" t="str">
        <f t="shared" si="296"/>
        <v>LANIŠTE D.O.O., ALEXANDERA VON HUMBOLDTA 4B, 10000 ZAGREB, OIB: 3755384865</v>
      </c>
      <c r="H3447" s="4"/>
      <c r="I3447" s="1" t="s">
        <v>25</v>
      </c>
      <c r="J3447" s="5">
        <v>43606</v>
      </c>
      <c r="K3447" s="6" t="str">
        <f>"4.032,00"</f>
        <v>4.032,00</v>
      </c>
      <c r="L3447" s="6" t="str">
        <f>"1.008,00"</f>
        <v>1.008,00</v>
      </c>
      <c r="M3447" s="6" t="str">
        <f>"5.040,00"</f>
        <v>5.040,00</v>
      </c>
      <c r="N3447" s="1" t="s">
        <v>117</v>
      </c>
      <c r="O3447" s="7"/>
      <c r="P3447" s="6" t="str">
        <f>""</f>
        <v/>
      </c>
      <c r="Q3447" s="7"/>
      <c r="R3447" s="1"/>
      <c r="S3447" s="1" t="str">
        <f>"J-UN-2019-3398"</f>
        <v>J-UN-2019-3398</v>
      </c>
      <c r="T3447" s="2" t="s">
        <v>33</v>
      </c>
    </row>
    <row r="3448" spans="1:20" ht="38.25" x14ac:dyDescent="0.25">
      <c r="A3448" s="1">
        <v>3444</v>
      </c>
      <c r="B3448" s="1" t="str">
        <f>"2019-1694"</f>
        <v>2019-1694</v>
      </c>
      <c r="C3448" s="2" t="s">
        <v>2214</v>
      </c>
      <c r="D3448" s="1" t="s">
        <v>2215</v>
      </c>
      <c r="E3448" s="3" t="str">
        <f>""</f>
        <v/>
      </c>
      <c r="F3448" s="2" t="s">
        <v>1323</v>
      </c>
      <c r="G3448" s="2" t="str">
        <f t="shared" si="296"/>
        <v>LANIŠTE D.O.O., ALEXANDERA VON HUMBOLDTA 4B, 10000 ZAGREB, OIB: 3755384865</v>
      </c>
      <c r="H3448" s="4"/>
      <c r="I3448" s="1" t="s">
        <v>25</v>
      </c>
      <c r="J3448" s="5">
        <v>43606</v>
      </c>
      <c r="K3448" s="6" t="str">
        <f>"3.632,00"</f>
        <v>3.632,00</v>
      </c>
      <c r="L3448" s="6" t="str">
        <f>"908,00"</f>
        <v>908,00</v>
      </c>
      <c r="M3448" s="6" t="str">
        <f>"4.540,00"</f>
        <v>4.540,00</v>
      </c>
      <c r="N3448" s="1" t="s">
        <v>117</v>
      </c>
      <c r="O3448" s="7"/>
      <c r="P3448" s="6" t="str">
        <f>""</f>
        <v/>
      </c>
      <c r="Q3448" s="7"/>
      <c r="R3448" s="1"/>
      <c r="S3448" s="1" t="str">
        <f>"J-UN-2019-3399"</f>
        <v>J-UN-2019-3399</v>
      </c>
      <c r="T3448" s="2" t="s">
        <v>33</v>
      </c>
    </row>
    <row r="3449" spans="1:20" ht="38.25" x14ac:dyDescent="0.25">
      <c r="A3449" s="1">
        <v>3445</v>
      </c>
      <c r="B3449" s="1" t="str">
        <f>"2019-1083"</f>
        <v>2019-1083</v>
      </c>
      <c r="C3449" s="2" t="s">
        <v>2216</v>
      </c>
      <c r="D3449" s="1" t="s">
        <v>2217</v>
      </c>
      <c r="E3449" s="3" t="str">
        <f>""</f>
        <v/>
      </c>
      <c r="F3449" s="2" t="s">
        <v>1323</v>
      </c>
      <c r="G3449" s="2" t="str">
        <f t="shared" si="296"/>
        <v>LANIŠTE D.O.O., ALEXANDERA VON HUMBOLDTA 4B, 10000 ZAGREB, OIB: 3755384865</v>
      </c>
      <c r="H3449" s="4"/>
      <c r="I3449" s="1" t="s">
        <v>25</v>
      </c>
      <c r="J3449" s="5">
        <v>43606</v>
      </c>
      <c r="K3449" s="6" t="str">
        <f>"3.636,00"</f>
        <v>3.636,00</v>
      </c>
      <c r="L3449" s="6" t="str">
        <f>"909,00"</f>
        <v>909,00</v>
      </c>
      <c r="M3449" s="6" t="str">
        <f>"4.545,00"</f>
        <v>4.545,00</v>
      </c>
      <c r="N3449" s="1" t="s">
        <v>117</v>
      </c>
      <c r="O3449" s="7"/>
      <c r="P3449" s="6" t="str">
        <f>""</f>
        <v/>
      </c>
      <c r="Q3449" s="7"/>
      <c r="R3449" s="1"/>
      <c r="S3449" s="1" t="str">
        <f>"J-UN-2019-3400"</f>
        <v>J-UN-2019-3400</v>
      </c>
      <c r="T3449" s="2" t="s">
        <v>33</v>
      </c>
    </row>
    <row r="3450" spans="1:20" ht="38.25" x14ac:dyDescent="0.25">
      <c r="A3450" s="1">
        <v>3446</v>
      </c>
      <c r="B3450" s="1" t="str">
        <f>"2019-2305"</f>
        <v>2019-2305</v>
      </c>
      <c r="C3450" s="2" t="s">
        <v>2218</v>
      </c>
      <c r="D3450" s="1" t="s">
        <v>1901</v>
      </c>
      <c r="E3450" s="3" t="str">
        <f>""</f>
        <v/>
      </c>
      <c r="F3450" s="2" t="s">
        <v>1323</v>
      </c>
      <c r="G3450" s="2" t="str">
        <f t="shared" si="296"/>
        <v>LANIŠTE D.O.O., ALEXANDERA VON HUMBOLDTA 4B, 10000 ZAGREB, OIB: 3755384865</v>
      </c>
      <c r="H3450" s="4"/>
      <c r="I3450" s="1" t="s">
        <v>25</v>
      </c>
      <c r="J3450" s="5">
        <v>43606</v>
      </c>
      <c r="K3450" s="6" t="str">
        <f>"3.636,00"</f>
        <v>3.636,00</v>
      </c>
      <c r="L3450" s="6" t="str">
        <f>"909,00"</f>
        <v>909,00</v>
      </c>
      <c r="M3450" s="6" t="str">
        <f>"4.545,00"</f>
        <v>4.545,00</v>
      </c>
      <c r="N3450" s="1" t="s">
        <v>117</v>
      </c>
      <c r="O3450" s="7"/>
      <c r="P3450" s="6" t="str">
        <f>""</f>
        <v/>
      </c>
      <c r="Q3450" s="7"/>
      <c r="R3450" s="1"/>
      <c r="S3450" s="1" t="str">
        <f>"J-UN-2019-3401"</f>
        <v>J-UN-2019-3401</v>
      </c>
      <c r="T3450" s="2" t="s">
        <v>33</v>
      </c>
    </row>
    <row r="3451" spans="1:20" ht="38.25" x14ac:dyDescent="0.25">
      <c r="A3451" s="1">
        <v>3447</v>
      </c>
      <c r="B3451" s="1" t="str">
        <f>"2019-2151"</f>
        <v>2019-2151</v>
      </c>
      <c r="C3451" s="2" t="s">
        <v>2219</v>
      </c>
      <c r="D3451" s="1" t="s">
        <v>2211</v>
      </c>
      <c r="E3451" s="3" t="str">
        <f>""</f>
        <v/>
      </c>
      <c r="F3451" s="2" t="s">
        <v>1323</v>
      </c>
      <c r="G3451" s="2" t="str">
        <f t="shared" si="296"/>
        <v>LANIŠTE D.O.O., ALEXANDERA VON HUMBOLDTA 4B, 10000 ZAGREB, OIB: 3755384865</v>
      </c>
      <c r="H3451" s="4"/>
      <c r="I3451" s="1" t="s">
        <v>25</v>
      </c>
      <c r="J3451" s="5">
        <v>43606</v>
      </c>
      <c r="K3451" s="6" t="str">
        <f>"4.032,00"</f>
        <v>4.032,00</v>
      </c>
      <c r="L3451" s="6" t="str">
        <f>"1.008,00"</f>
        <v>1.008,00</v>
      </c>
      <c r="M3451" s="6" t="str">
        <f>"5.040,00"</f>
        <v>5.040,00</v>
      </c>
      <c r="N3451" s="1" t="s">
        <v>117</v>
      </c>
      <c r="O3451" s="7"/>
      <c r="P3451" s="6" t="str">
        <f>""</f>
        <v/>
      </c>
      <c r="Q3451" s="7"/>
      <c r="R3451" s="1"/>
      <c r="S3451" s="1" t="str">
        <f>"J-UN-2019-3402"</f>
        <v>J-UN-2019-3402</v>
      </c>
      <c r="T3451" s="2" t="s">
        <v>33</v>
      </c>
    </row>
    <row r="3452" spans="1:20" ht="38.25" x14ac:dyDescent="0.25">
      <c r="A3452" s="1">
        <v>3448</v>
      </c>
      <c r="B3452" s="1" t="str">
        <f>"2019-600"</f>
        <v>2019-600</v>
      </c>
      <c r="C3452" s="2" t="s">
        <v>2210</v>
      </c>
      <c r="D3452" s="1" t="s">
        <v>2211</v>
      </c>
      <c r="E3452" s="3" t="str">
        <f>""</f>
        <v/>
      </c>
      <c r="F3452" s="2" t="s">
        <v>1323</v>
      </c>
      <c r="G3452" s="2" t="str">
        <f t="shared" si="296"/>
        <v>LANIŠTE D.O.O., ALEXANDERA VON HUMBOLDTA 4B, 10000 ZAGREB, OIB: 3755384865</v>
      </c>
      <c r="H3452" s="4"/>
      <c r="I3452" s="1" t="s">
        <v>25</v>
      </c>
      <c r="J3452" s="5">
        <v>43606</v>
      </c>
      <c r="K3452" s="6" t="str">
        <f>"4.032,00"</f>
        <v>4.032,00</v>
      </c>
      <c r="L3452" s="6" t="str">
        <f>"1.008,00"</f>
        <v>1.008,00</v>
      </c>
      <c r="M3452" s="6" t="str">
        <f>"5.040,00"</f>
        <v>5.040,00</v>
      </c>
      <c r="N3452" s="1" t="s">
        <v>117</v>
      </c>
      <c r="O3452" s="7"/>
      <c r="P3452" s="6" t="str">
        <f>""</f>
        <v/>
      </c>
      <c r="Q3452" s="7"/>
      <c r="R3452" s="1"/>
      <c r="S3452" s="1" t="str">
        <f>"J-UN-2019-3403"</f>
        <v>J-UN-2019-3403</v>
      </c>
      <c r="T3452" s="2" t="s">
        <v>33</v>
      </c>
    </row>
    <row r="3453" spans="1:20" ht="38.25" x14ac:dyDescent="0.25">
      <c r="A3453" s="1">
        <v>3449</v>
      </c>
      <c r="B3453" s="1" t="str">
        <f>"2019-1229"</f>
        <v>2019-1229</v>
      </c>
      <c r="C3453" s="2" t="s">
        <v>2212</v>
      </c>
      <c r="D3453" s="1" t="s">
        <v>2213</v>
      </c>
      <c r="E3453" s="3" t="str">
        <f>""</f>
        <v/>
      </c>
      <c r="F3453" s="2" t="s">
        <v>1323</v>
      </c>
      <c r="G3453" s="2" t="str">
        <f t="shared" si="296"/>
        <v>LANIŠTE D.O.O., ALEXANDERA VON HUMBOLDTA 4B, 10000 ZAGREB, OIB: 3755384865</v>
      </c>
      <c r="H3453" s="4"/>
      <c r="I3453" s="1" t="s">
        <v>25</v>
      </c>
      <c r="J3453" s="5">
        <v>43606</v>
      </c>
      <c r="K3453" s="6" t="str">
        <f>"4.032,00"</f>
        <v>4.032,00</v>
      </c>
      <c r="L3453" s="6" t="str">
        <f>"1.008,00"</f>
        <v>1.008,00</v>
      </c>
      <c r="M3453" s="6" t="str">
        <f>"5.040,00"</f>
        <v>5.040,00</v>
      </c>
      <c r="N3453" s="1" t="s">
        <v>117</v>
      </c>
      <c r="O3453" s="7"/>
      <c r="P3453" s="6" t="str">
        <f>""</f>
        <v/>
      </c>
      <c r="Q3453" s="7"/>
      <c r="R3453" s="1"/>
      <c r="S3453" s="1" t="str">
        <f>"J-UN-2019-3404"</f>
        <v>J-UN-2019-3404</v>
      </c>
      <c r="T3453" s="2" t="s">
        <v>33</v>
      </c>
    </row>
    <row r="3454" spans="1:20" ht="38.25" x14ac:dyDescent="0.25">
      <c r="A3454" s="1">
        <v>3450</v>
      </c>
      <c r="B3454" s="1" t="str">
        <f>"2019-1694"</f>
        <v>2019-1694</v>
      </c>
      <c r="C3454" s="2" t="s">
        <v>2214</v>
      </c>
      <c r="D3454" s="1" t="s">
        <v>2215</v>
      </c>
      <c r="E3454" s="3" t="str">
        <f>""</f>
        <v/>
      </c>
      <c r="F3454" s="2" t="s">
        <v>1323</v>
      </c>
      <c r="G3454" s="2" t="str">
        <f t="shared" si="296"/>
        <v>LANIŠTE D.O.O., ALEXANDERA VON HUMBOLDTA 4B, 10000 ZAGREB, OIB: 3755384865</v>
      </c>
      <c r="H3454" s="4"/>
      <c r="I3454" s="1" t="s">
        <v>25</v>
      </c>
      <c r="J3454" s="5">
        <v>43606</v>
      </c>
      <c r="K3454" s="6" t="str">
        <f>"3.632,00"</f>
        <v>3.632,00</v>
      </c>
      <c r="L3454" s="6" t="str">
        <f>"908,00"</f>
        <v>908,00</v>
      </c>
      <c r="M3454" s="6" t="str">
        <f>"4.540,00"</f>
        <v>4.540,00</v>
      </c>
      <c r="N3454" s="1" t="s">
        <v>117</v>
      </c>
      <c r="O3454" s="7"/>
      <c r="P3454" s="6" t="str">
        <f>""</f>
        <v/>
      </c>
      <c r="Q3454" s="7"/>
      <c r="R3454" s="1"/>
      <c r="S3454" s="1" t="str">
        <f>"J-UN-2019-3405"</f>
        <v>J-UN-2019-3405</v>
      </c>
      <c r="T3454" s="2" t="s">
        <v>33</v>
      </c>
    </row>
    <row r="3455" spans="1:20" ht="38.25" x14ac:dyDescent="0.25">
      <c r="A3455" s="1">
        <v>3451</v>
      </c>
      <c r="B3455" s="1" t="str">
        <f>"2019-1083"</f>
        <v>2019-1083</v>
      </c>
      <c r="C3455" s="2" t="s">
        <v>2216</v>
      </c>
      <c r="D3455" s="1" t="s">
        <v>2217</v>
      </c>
      <c r="E3455" s="3" t="str">
        <f>""</f>
        <v/>
      </c>
      <c r="F3455" s="2" t="s">
        <v>1323</v>
      </c>
      <c r="G3455" s="2" t="str">
        <f t="shared" si="296"/>
        <v>LANIŠTE D.O.O., ALEXANDERA VON HUMBOLDTA 4B, 10000 ZAGREB, OIB: 3755384865</v>
      </c>
      <c r="H3455" s="4"/>
      <c r="I3455" s="1" t="s">
        <v>25</v>
      </c>
      <c r="J3455" s="5">
        <v>43606</v>
      </c>
      <c r="K3455" s="6" t="str">
        <f>"3.636,00"</f>
        <v>3.636,00</v>
      </c>
      <c r="L3455" s="6" t="str">
        <f>"909,00"</f>
        <v>909,00</v>
      </c>
      <c r="M3455" s="6" t="str">
        <f>"4.545,00"</f>
        <v>4.545,00</v>
      </c>
      <c r="N3455" s="1" t="s">
        <v>117</v>
      </c>
      <c r="O3455" s="7"/>
      <c r="P3455" s="6" t="str">
        <f>""</f>
        <v/>
      </c>
      <c r="Q3455" s="7"/>
      <c r="R3455" s="1"/>
      <c r="S3455" s="1" t="str">
        <f>"J-UN-2019-3406"</f>
        <v>J-UN-2019-3406</v>
      </c>
      <c r="T3455" s="2" t="s">
        <v>33</v>
      </c>
    </row>
    <row r="3456" spans="1:20" ht="38.25" x14ac:dyDescent="0.25">
      <c r="A3456" s="1">
        <v>3452</v>
      </c>
      <c r="B3456" s="1" t="str">
        <f>"2019-2305"</f>
        <v>2019-2305</v>
      </c>
      <c r="C3456" s="2" t="s">
        <v>2218</v>
      </c>
      <c r="D3456" s="1" t="s">
        <v>1901</v>
      </c>
      <c r="E3456" s="3" t="str">
        <f>""</f>
        <v/>
      </c>
      <c r="F3456" s="2" t="s">
        <v>1323</v>
      </c>
      <c r="G3456" s="2" t="str">
        <f t="shared" si="296"/>
        <v>LANIŠTE D.O.O., ALEXANDERA VON HUMBOLDTA 4B, 10000 ZAGREB, OIB: 3755384865</v>
      </c>
      <c r="H3456" s="4"/>
      <c r="I3456" s="1" t="s">
        <v>25</v>
      </c>
      <c r="J3456" s="5">
        <v>43606</v>
      </c>
      <c r="K3456" s="6" t="str">
        <f>"5.636,00"</f>
        <v>5.636,00</v>
      </c>
      <c r="L3456" s="6" t="str">
        <f>"1.409,00"</f>
        <v>1.409,00</v>
      </c>
      <c r="M3456" s="6" t="str">
        <f>"7.045,00"</f>
        <v>7.045,00</v>
      </c>
      <c r="N3456" s="1" t="s">
        <v>117</v>
      </c>
      <c r="O3456" s="7"/>
      <c r="P3456" s="6" t="str">
        <f>""</f>
        <v/>
      </c>
      <c r="Q3456" s="7"/>
      <c r="R3456" s="1"/>
      <c r="S3456" s="1" t="str">
        <f>"J-UN-2019-3407"</f>
        <v>J-UN-2019-3407</v>
      </c>
      <c r="T3456" s="2" t="s">
        <v>33</v>
      </c>
    </row>
    <row r="3457" spans="1:20" ht="38.25" x14ac:dyDescent="0.25">
      <c r="A3457" s="1">
        <v>3453</v>
      </c>
      <c r="B3457" s="1" t="str">
        <f>"2019-2151"</f>
        <v>2019-2151</v>
      </c>
      <c r="C3457" s="2" t="s">
        <v>2219</v>
      </c>
      <c r="D3457" s="1" t="s">
        <v>2211</v>
      </c>
      <c r="E3457" s="3" t="str">
        <f>""</f>
        <v/>
      </c>
      <c r="F3457" s="2" t="s">
        <v>1323</v>
      </c>
      <c r="G3457" s="2" t="str">
        <f t="shared" si="296"/>
        <v>LANIŠTE D.O.O., ALEXANDERA VON HUMBOLDTA 4B, 10000 ZAGREB, OIB: 3755384865</v>
      </c>
      <c r="H3457" s="4"/>
      <c r="I3457" s="1" t="s">
        <v>25</v>
      </c>
      <c r="J3457" s="5">
        <v>43606</v>
      </c>
      <c r="K3457" s="6" t="str">
        <f>"6.032,00"</f>
        <v>6.032,00</v>
      </c>
      <c r="L3457" s="6" t="str">
        <f>"1.508,00"</f>
        <v>1.508,00</v>
      </c>
      <c r="M3457" s="6" t="str">
        <f>"7.540,00"</f>
        <v>7.540,00</v>
      </c>
      <c r="N3457" s="1" t="s">
        <v>117</v>
      </c>
      <c r="O3457" s="7"/>
      <c r="P3457" s="6" t="str">
        <f>""</f>
        <v/>
      </c>
      <c r="Q3457" s="7"/>
      <c r="R3457" s="1"/>
      <c r="S3457" s="1" t="str">
        <f>"J-UN-2019-3408"</f>
        <v>J-UN-2019-3408</v>
      </c>
      <c r="T3457" s="2" t="s">
        <v>33</v>
      </c>
    </row>
    <row r="3458" spans="1:20" ht="38.25" x14ac:dyDescent="0.25">
      <c r="A3458" s="1">
        <v>3454</v>
      </c>
      <c r="B3458" s="1" t="str">
        <f>"2019-600"</f>
        <v>2019-600</v>
      </c>
      <c r="C3458" s="2" t="s">
        <v>2210</v>
      </c>
      <c r="D3458" s="1" t="s">
        <v>2211</v>
      </c>
      <c r="E3458" s="3" t="str">
        <f>""</f>
        <v/>
      </c>
      <c r="F3458" s="2" t="s">
        <v>1323</v>
      </c>
      <c r="G3458" s="2" t="str">
        <f t="shared" si="296"/>
        <v>LANIŠTE D.O.O., ALEXANDERA VON HUMBOLDTA 4B, 10000 ZAGREB, OIB: 3755384865</v>
      </c>
      <c r="H3458" s="4"/>
      <c r="I3458" s="1" t="s">
        <v>25</v>
      </c>
      <c r="J3458" s="5">
        <v>43606</v>
      </c>
      <c r="K3458" s="6" t="str">
        <f>"6.032,00"</f>
        <v>6.032,00</v>
      </c>
      <c r="L3458" s="6" t="str">
        <f>"1.508,00"</f>
        <v>1.508,00</v>
      </c>
      <c r="M3458" s="6" t="str">
        <f>"7.540,00"</f>
        <v>7.540,00</v>
      </c>
      <c r="N3458" s="1" t="s">
        <v>117</v>
      </c>
      <c r="O3458" s="7"/>
      <c r="P3458" s="6" t="str">
        <f>""</f>
        <v/>
      </c>
      <c r="Q3458" s="7"/>
      <c r="R3458" s="1"/>
      <c r="S3458" s="1" t="str">
        <f>"J-UN-2019-3409"</f>
        <v>J-UN-2019-3409</v>
      </c>
      <c r="T3458" s="2" t="s">
        <v>33</v>
      </c>
    </row>
    <row r="3459" spans="1:20" ht="38.25" x14ac:dyDescent="0.25">
      <c r="A3459" s="1">
        <v>3455</v>
      </c>
      <c r="B3459" s="1" t="str">
        <f>"2019-1229"</f>
        <v>2019-1229</v>
      </c>
      <c r="C3459" s="2" t="s">
        <v>2212</v>
      </c>
      <c r="D3459" s="1" t="s">
        <v>2213</v>
      </c>
      <c r="E3459" s="3" t="str">
        <f>""</f>
        <v/>
      </c>
      <c r="F3459" s="2" t="s">
        <v>1323</v>
      </c>
      <c r="G3459" s="2" t="str">
        <f t="shared" si="296"/>
        <v>LANIŠTE D.O.O., ALEXANDERA VON HUMBOLDTA 4B, 10000 ZAGREB, OIB: 3755384865</v>
      </c>
      <c r="H3459" s="4"/>
      <c r="I3459" s="1" t="s">
        <v>25</v>
      </c>
      <c r="J3459" s="5">
        <v>43606</v>
      </c>
      <c r="K3459" s="6" t="str">
        <f>"6.032,00"</f>
        <v>6.032,00</v>
      </c>
      <c r="L3459" s="6" t="str">
        <f>"1.508,00"</f>
        <v>1.508,00</v>
      </c>
      <c r="M3459" s="6" t="str">
        <f>"7.540,00"</f>
        <v>7.540,00</v>
      </c>
      <c r="N3459" s="1" t="s">
        <v>117</v>
      </c>
      <c r="O3459" s="7"/>
      <c r="P3459" s="6" t="str">
        <f>""</f>
        <v/>
      </c>
      <c r="Q3459" s="7"/>
      <c r="R3459" s="1"/>
      <c r="S3459" s="1" t="str">
        <f>"J-UN-2019-3410"</f>
        <v>J-UN-2019-3410</v>
      </c>
      <c r="T3459" s="2" t="s">
        <v>33</v>
      </c>
    </row>
    <row r="3460" spans="1:20" ht="38.25" x14ac:dyDescent="0.25">
      <c r="A3460" s="1">
        <v>3456</v>
      </c>
      <c r="B3460" s="1" t="str">
        <f>"2019-1694"</f>
        <v>2019-1694</v>
      </c>
      <c r="C3460" s="2" t="s">
        <v>2214</v>
      </c>
      <c r="D3460" s="1" t="s">
        <v>2215</v>
      </c>
      <c r="E3460" s="3" t="str">
        <f>""</f>
        <v/>
      </c>
      <c r="F3460" s="2" t="s">
        <v>1323</v>
      </c>
      <c r="G3460" s="2" t="str">
        <f t="shared" si="296"/>
        <v>LANIŠTE D.O.O., ALEXANDERA VON HUMBOLDTA 4B, 10000 ZAGREB, OIB: 3755384865</v>
      </c>
      <c r="H3460" s="4"/>
      <c r="I3460" s="1" t="s">
        <v>25</v>
      </c>
      <c r="J3460" s="5">
        <v>43606</v>
      </c>
      <c r="K3460" s="6" t="str">
        <f>"5.632,00"</f>
        <v>5.632,00</v>
      </c>
      <c r="L3460" s="6" t="str">
        <f>"1.408,00"</f>
        <v>1.408,00</v>
      </c>
      <c r="M3460" s="6" t="str">
        <f>"7.040,00"</f>
        <v>7.040,00</v>
      </c>
      <c r="N3460" s="1" t="s">
        <v>117</v>
      </c>
      <c r="O3460" s="7"/>
      <c r="P3460" s="6" t="str">
        <f>""</f>
        <v/>
      </c>
      <c r="Q3460" s="7"/>
      <c r="R3460" s="1"/>
      <c r="S3460" s="1" t="str">
        <f>"J-UN-2019-3411"</f>
        <v>J-UN-2019-3411</v>
      </c>
      <c r="T3460" s="2" t="s">
        <v>33</v>
      </c>
    </row>
    <row r="3461" spans="1:20" ht="38.25" x14ac:dyDescent="0.25">
      <c r="A3461" s="1">
        <v>3457</v>
      </c>
      <c r="B3461" s="1" t="str">
        <f>"2019-1083"</f>
        <v>2019-1083</v>
      </c>
      <c r="C3461" s="2" t="s">
        <v>2216</v>
      </c>
      <c r="D3461" s="1" t="s">
        <v>2217</v>
      </c>
      <c r="E3461" s="3" t="str">
        <f>""</f>
        <v/>
      </c>
      <c r="F3461" s="2" t="s">
        <v>1323</v>
      </c>
      <c r="G3461" s="2" t="str">
        <f t="shared" si="296"/>
        <v>LANIŠTE D.O.O., ALEXANDERA VON HUMBOLDTA 4B, 10000 ZAGREB, OIB: 3755384865</v>
      </c>
      <c r="H3461" s="4"/>
      <c r="I3461" s="1" t="s">
        <v>25</v>
      </c>
      <c r="J3461" s="5">
        <v>43606</v>
      </c>
      <c r="K3461" s="6" t="str">
        <f>"6.636,00"</f>
        <v>6.636,00</v>
      </c>
      <c r="L3461" s="6" t="str">
        <f>"1.659,00"</f>
        <v>1.659,00</v>
      </c>
      <c r="M3461" s="6" t="str">
        <f>"8.295,00"</f>
        <v>8.295,00</v>
      </c>
      <c r="N3461" s="1" t="s">
        <v>117</v>
      </c>
      <c r="O3461" s="7"/>
      <c r="P3461" s="6" t="str">
        <f>""</f>
        <v/>
      </c>
      <c r="Q3461" s="7"/>
      <c r="R3461" s="1"/>
      <c r="S3461" s="1" t="str">
        <f>"J-UN-2019-3412"</f>
        <v>J-UN-2019-3412</v>
      </c>
      <c r="T3461" s="2" t="s">
        <v>33</v>
      </c>
    </row>
    <row r="3462" spans="1:20" ht="38.25" x14ac:dyDescent="0.25">
      <c r="A3462" s="1">
        <v>3458</v>
      </c>
      <c r="B3462" s="1" t="str">
        <f>"2019-2305"</f>
        <v>2019-2305</v>
      </c>
      <c r="C3462" s="2" t="s">
        <v>2218</v>
      </c>
      <c r="D3462" s="1" t="s">
        <v>1901</v>
      </c>
      <c r="E3462" s="3" t="str">
        <f>""</f>
        <v/>
      </c>
      <c r="F3462" s="2" t="s">
        <v>1323</v>
      </c>
      <c r="G3462" s="2" t="str">
        <f t="shared" si="296"/>
        <v>LANIŠTE D.O.O., ALEXANDERA VON HUMBOLDTA 4B, 10000 ZAGREB, OIB: 3755384865</v>
      </c>
      <c r="H3462" s="4"/>
      <c r="I3462" s="1" t="s">
        <v>25</v>
      </c>
      <c r="J3462" s="5">
        <v>43606</v>
      </c>
      <c r="K3462" s="6" t="str">
        <f>"3.636,00"</f>
        <v>3.636,00</v>
      </c>
      <c r="L3462" s="6" t="str">
        <f>"909,00"</f>
        <v>909,00</v>
      </c>
      <c r="M3462" s="6" t="str">
        <f>"4.545,00"</f>
        <v>4.545,00</v>
      </c>
      <c r="N3462" s="1" t="s">
        <v>117</v>
      </c>
      <c r="O3462" s="7"/>
      <c r="P3462" s="6" t="str">
        <f>""</f>
        <v/>
      </c>
      <c r="Q3462" s="7"/>
      <c r="R3462" s="1"/>
      <c r="S3462" s="1" t="str">
        <f>"J-UN-2019-3413"</f>
        <v>J-UN-2019-3413</v>
      </c>
      <c r="T3462" s="2" t="s">
        <v>33</v>
      </c>
    </row>
    <row r="3463" spans="1:20" ht="38.25" x14ac:dyDescent="0.25">
      <c r="A3463" s="1">
        <v>3459</v>
      </c>
      <c r="B3463" s="1" t="str">
        <f>"2019-2151"</f>
        <v>2019-2151</v>
      </c>
      <c r="C3463" s="2" t="s">
        <v>2219</v>
      </c>
      <c r="D3463" s="1" t="s">
        <v>2211</v>
      </c>
      <c r="E3463" s="3" t="str">
        <f>""</f>
        <v/>
      </c>
      <c r="F3463" s="2" t="s">
        <v>1323</v>
      </c>
      <c r="G3463" s="2" t="str">
        <f t="shared" si="296"/>
        <v>LANIŠTE D.O.O., ALEXANDERA VON HUMBOLDTA 4B, 10000 ZAGREB, OIB: 3755384865</v>
      </c>
      <c r="H3463" s="4"/>
      <c r="I3463" s="1" t="s">
        <v>25</v>
      </c>
      <c r="J3463" s="5">
        <v>43606</v>
      </c>
      <c r="K3463" s="6" t="str">
        <f>"4.032,00"</f>
        <v>4.032,00</v>
      </c>
      <c r="L3463" s="6" t="str">
        <f>"1.008,00"</f>
        <v>1.008,00</v>
      </c>
      <c r="M3463" s="6" t="str">
        <f>"5.040,00"</f>
        <v>5.040,00</v>
      </c>
      <c r="N3463" s="1" t="s">
        <v>117</v>
      </c>
      <c r="O3463" s="7"/>
      <c r="P3463" s="6" t="str">
        <f>""</f>
        <v/>
      </c>
      <c r="Q3463" s="7"/>
      <c r="R3463" s="1"/>
      <c r="S3463" s="1" t="str">
        <f>"J-UN-2019-3414"</f>
        <v>J-UN-2019-3414</v>
      </c>
      <c r="T3463" s="2" t="s">
        <v>33</v>
      </c>
    </row>
    <row r="3464" spans="1:20" ht="38.25" x14ac:dyDescent="0.25">
      <c r="A3464" s="1">
        <v>3460</v>
      </c>
      <c r="B3464" s="1" t="str">
        <f>"2019-600"</f>
        <v>2019-600</v>
      </c>
      <c r="C3464" s="2" t="s">
        <v>2210</v>
      </c>
      <c r="D3464" s="1" t="s">
        <v>2211</v>
      </c>
      <c r="E3464" s="3" t="str">
        <f>""</f>
        <v/>
      </c>
      <c r="F3464" s="2" t="s">
        <v>1323</v>
      </c>
      <c r="G3464" s="2" t="str">
        <f t="shared" si="296"/>
        <v>LANIŠTE D.O.O., ALEXANDERA VON HUMBOLDTA 4B, 10000 ZAGREB, OIB: 3755384865</v>
      </c>
      <c r="H3464" s="4"/>
      <c r="I3464" s="1" t="s">
        <v>25</v>
      </c>
      <c r="J3464" s="5">
        <v>43606</v>
      </c>
      <c r="K3464" s="6" t="str">
        <f>"4.032,00"</f>
        <v>4.032,00</v>
      </c>
      <c r="L3464" s="6" t="str">
        <f>"1.008,00"</f>
        <v>1.008,00</v>
      </c>
      <c r="M3464" s="6" t="str">
        <f>"5.040,00"</f>
        <v>5.040,00</v>
      </c>
      <c r="N3464" s="1" t="s">
        <v>117</v>
      </c>
      <c r="O3464" s="7"/>
      <c r="P3464" s="6" t="str">
        <f>""</f>
        <v/>
      </c>
      <c r="Q3464" s="7"/>
      <c r="R3464" s="1"/>
      <c r="S3464" s="1" t="str">
        <f>"J-UN-2019-3415"</f>
        <v>J-UN-2019-3415</v>
      </c>
      <c r="T3464" s="2" t="s">
        <v>33</v>
      </c>
    </row>
    <row r="3465" spans="1:20" ht="38.25" x14ac:dyDescent="0.25">
      <c r="A3465" s="1">
        <v>3461</v>
      </c>
      <c r="B3465" s="1" t="str">
        <f>"2019-1229"</f>
        <v>2019-1229</v>
      </c>
      <c r="C3465" s="2" t="s">
        <v>2212</v>
      </c>
      <c r="D3465" s="1" t="s">
        <v>2213</v>
      </c>
      <c r="E3465" s="3" t="str">
        <f>""</f>
        <v/>
      </c>
      <c r="F3465" s="2" t="s">
        <v>1323</v>
      </c>
      <c r="G3465" s="2" t="str">
        <f t="shared" si="296"/>
        <v>LANIŠTE D.O.O., ALEXANDERA VON HUMBOLDTA 4B, 10000 ZAGREB, OIB: 3755384865</v>
      </c>
      <c r="H3465" s="4"/>
      <c r="I3465" s="1" t="s">
        <v>25</v>
      </c>
      <c r="J3465" s="5">
        <v>43606</v>
      </c>
      <c r="K3465" s="6" t="str">
        <f>"4.032,00"</f>
        <v>4.032,00</v>
      </c>
      <c r="L3465" s="6" t="str">
        <f>"1.008,00"</f>
        <v>1.008,00</v>
      </c>
      <c r="M3465" s="6" t="str">
        <f>"5.040,00"</f>
        <v>5.040,00</v>
      </c>
      <c r="N3465" s="1" t="s">
        <v>117</v>
      </c>
      <c r="O3465" s="7"/>
      <c r="P3465" s="6" t="str">
        <f>""</f>
        <v/>
      </c>
      <c r="Q3465" s="7"/>
      <c r="R3465" s="1"/>
      <c r="S3465" s="1" t="str">
        <f>"J-UN-2019-3416"</f>
        <v>J-UN-2019-3416</v>
      </c>
      <c r="T3465" s="2" t="s">
        <v>33</v>
      </c>
    </row>
    <row r="3466" spans="1:20" ht="38.25" x14ac:dyDescent="0.25">
      <c r="A3466" s="1">
        <v>3462</v>
      </c>
      <c r="B3466" s="1" t="str">
        <f>"2019-1694"</f>
        <v>2019-1694</v>
      </c>
      <c r="C3466" s="2" t="s">
        <v>2214</v>
      </c>
      <c r="D3466" s="1" t="s">
        <v>2215</v>
      </c>
      <c r="E3466" s="3" t="str">
        <f>""</f>
        <v/>
      </c>
      <c r="F3466" s="2" t="s">
        <v>1323</v>
      </c>
      <c r="G3466" s="2" t="str">
        <f t="shared" ref="G3466:G3491" si="297">CONCATENATE("LANIŠTE D.O.O.,"," ALEXANDERA VON HUMBOLDTA 4B,"," 10000 ZAGREB,"," OIB: 3755384865")</f>
        <v>LANIŠTE D.O.O., ALEXANDERA VON HUMBOLDTA 4B, 10000 ZAGREB, OIB: 3755384865</v>
      </c>
      <c r="H3466" s="4"/>
      <c r="I3466" s="1" t="s">
        <v>25</v>
      </c>
      <c r="J3466" s="5">
        <v>43606</v>
      </c>
      <c r="K3466" s="6" t="str">
        <f>"3.632,00"</f>
        <v>3.632,00</v>
      </c>
      <c r="L3466" s="6" t="str">
        <f>"908,00"</f>
        <v>908,00</v>
      </c>
      <c r="M3466" s="6" t="str">
        <f>"4.540,00"</f>
        <v>4.540,00</v>
      </c>
      <c r="N3466" s="1" t="s">
        <v>117</v>
      </c>
      <c r="O3466" s="7"/>
      <c r="P3466" s="6" t="str">
        <f>""</f>
        <v/>
      </c>
      <c r="Q3466" s="7"/>
      <c r="R3466" s="1"/>
      <c r="S3466" s="1" t="str">
        <f>"J-UN-2019-3417"</f>
        <v>J-UN-2019-3417</v>
      </c>
      <c r="T3466" s="2" t="s">
        <v>33</v>
      </c>
    </row>
    <row r="3467" spans="1:20" ht="38.25" x14ac:dyDescent="0.25">
      <c r="A3467" s="1">
        <v>3463</v>
      </c>
      <c r="B3467" s="1" t="str">
        <f>"2019-1083"</f>
        <v>2019-1083</v>
      </c>
      <c r="C3467" s="2" t="s">
        <v>2216</v>
      </c>
      <c r="D3467" s="1" t="s">
        <v>2217</v>
      </c>
      <c r="E3467" s="3" t="str">
        <f>""</f>
        <v/>
      </c>
      <c r="F3467" s="2" t="s">
        <v>1323</v>
      </c>
      <c r="G3467" s="2" t="str">
        <f t="shared" si="297"/>
        <v>LANIŠTE D.O.O., ALEXANDERA VON HUMBOLDTA 4B, 10000 ZAGREB, OIB: 3755384865</v>
      </c>
      <c r="H3467" s="4"/>
      <c r="I3467" s="1" t="s">
        <v>25</v>
      </c>
      <c r="J3467" s="5">
        <v>43606</v>
      </c>
      <c r="K3467" s="6" t="str">
        <f>"3.636,00"</f>
        <v>3.636,00</v>
      </c>
      <c r="L3467" s="6" t="str">
        <f>"909,00"</f>
        <v>909,00</v>
      </c>
      <c r="M3467" s="6" t="str">
        <f>"4.545,00"</f>
        <v>4.545,00</v>
      </c>
      <c r="N3467" s="1" t="s">
        <v>117</v>
      </c>
      <c r="O3467" s="7"/>
      <c r="P3467" s="6" t="str">
        <f>""</f>
        <v/>
      </c>
      <c r="Q3467" s="7"/>
      <c r="R3467" s="1"/>
      <c r="S3467" s="1" t="str">
        <f>"J-UN-2019-3418"</f>
        <v>J-UN-2019-3418</v>
      </c>
      <c r="T3467" s="2" t="s">
        <v>33</v>
      </c>
    </row>
    <row r="3468" spans="1:20" ht="38.25" x14ac:dyDescent="0.25">
      <c r="A3468" s="1">
        <v>3464</v>
      </c>
      <c r="B3468" s="1" t="str">
        <f>"2019-2305"</f>
        <v>2019-2305</v>
      </c>
      <c r="C3468" s="2" t="s">
        <v>2218</v>
      </c>
      <c r="D3468" s="1" t="s">
        <v>1901</v>
      </c>
      <c r="E3468" s="3" t="str">
        <f>""</f>
        <v/>
      </c>
      <c r="F3468" s="2" t="s">
        <v>1323</v>
      </c>
      <c r="G3468" s="2" t="str">
        <f t="shared" si="297"/>
        <v>LANIŠTE D.O.O., ALEXANDERA VON HUMBOLDTA 4B, 10000 ZAGREB, OIB: 3755384865</v>
      </c>
      <c r="H3468" s="4"/>
      <c r="I3468" s="1" t="s">
        <v>25</v>
      </c>
      <c r="J3468" s="5">
        <v>43606</v>
      </c>
      <c r="K3468" s="6" t="str">
        <f>"3.636,00"</f>
        <v>3.636,00</v>
      </c>
      <c r="L3468" s="6" t="str">
        <f>"909,00"</f>
        <v>909,00</v>
      </c>
      <c r="M3468" s="6" t="str">
        <f>"4.545,00"</f>
        <v>4.545,00</v>
      </c>
      <c r="N3468" s="1" t="s">
        <v>117</v>
      </c>
      <c r="O3468" s="7"/>
      <c r="P3468" s="6" t="str">
        <f>""</f>
        <v/>
      </c>
      <c r="Q3468" s="7"/>
      <c r="R3468" s="1"/>
      <c r="S3468" s="1" t="str">
        <f>"J-UN-2019-3419"</f>
        <v>J-UN-2019-3419</v>
      </c>
      <c r="T3468" s="2" t="s">
        <v>33</v>
      </c>
    </row>
    <row r="3469" spans="1:20" ht="38.25" x14ac:dyDescent="0.25">
      <c r="A3469" s="1">
        <v>3465</v>
      </c>
      <c r="B3469" s="1" t="str">
        <f>"2019-2151"</f>
        <v>2019-2151</v>
      </c>
      <c r="C3469" s="2" t="s">
        <v>2219</v>
      </c>
      <c r="D3469" s="1" t="s">
        <v>2211</v>
      </c>
      <c r="E3469" s="3" t="str">
        <f>""</f>
        <v/>
      </c>
      <c r="F3469" s="2" t="s">
        <v>1323</v>
      </c>
      <c r="G3469" s="2" t="str">
        <f t="shared" si="297"/>
        <v>LANIŠTE D.O.O., ALEXANDERA VON HUMBOLDTA 4B, 10000 ZAGREB, OIB: 3755384865</v>
      </c>
      <c r="H3469" s="4"/>
      <c r="I3469" s="1" t="s">
        <v>25</v>
      </c>
      <c r="J3469" s="5">
        <v>43606</v>
      </c>
      <c r="K3469" s="6" t="str">
        <f>"4.032,00"</f>
        <v>4.032,00</v>
      </c>
      <c r="L3469" s="6" t="str">
        <f>"1.008,00"</f>
        <v>1.008,00</v>
      </c>
      <c r="M3469" s="6" t="str">
        <f>"5.040,00"</f>
        <v>5.040,00</v>
      </c>
      <c r="N3469" s="1" t="s">
        <v>117</v>
      </c>
      <c r="O3469" s="7"/>
      <c r="P3469" s="6" t="str">
        <f>""</f>
        <v/>
      </c>
      <c r="Q3469" s="7"/>
      <c r="R3469" s="1"/>
      <c r="S3469" s="1" t="str">
        <f>"J-UN-2019-3420"</f>
        <v>J-UN-2019-3420</v>
      </c>
      <c r="T3469" s="2" t="s">
        <v>33</v>
      </c>
    </row>
    <row r="3470" spans="1:20" ht="38.25" x14ac:dyDescent="0.25">
      <c r="A3470" s="1">
        <v>3466</v>
      </c>
      <c r="B3470" s="1" t="str">
        <f>"2019-600"</f>
        <v>2019-600</v>
      </c>
      <c r="C3470" s="2" t="s">
        <v>2210</v>
      </c>
      <c r="D3470" s="1" t="s">
        <v>2211</v>
      </c>
      <c r="E3470" s="3" t="str">
        <f>""</f>
        <v/>
      </c>
      <c r="F3470" s="2" t="s">
        <v>1323</v>
      </c>
      <c r="G3470" s="2" t="str">
        <f t="shared" si="297"/>
        <v>LANIŠTE D.O.O., ALEXANDERA VON HUMBOLDTA 4B, 10000 ZAGREB, OIB: 3755384865</v>
      </c>
      <c r="H3470" s="4"/>
      <c r="I3470" s="1" t="s">
        <v>25</v>
      </c>
      <c r="J3470" s="5">
        <v>43606</v>
      </c>
      <c r="K3470" s="6" t="str">
        <f>"4.032,00"</f>
        <v>4.032,00</v>
      </c>
      <c r="L3470" s="6" t="str">
        <f>"1.008,00"</f>
        <v>1.008,00</v>
      </c>
      <c r="M3470" s="6" t="str">
        <f>"5.040,00"</f>
        <v>5.040,00</v>
      </c>
      <c r="N3470" s="1" t="s">
        <v>117</v>
      </c>
      <c r="O3470" s="7"/>
      <c r="P3470" s="6" t="str">
        <f>""</f>
        <v/>
      </c>
      <c r="Q3470" s="7"/>
      <c r="R3470" s="1"/>
      <c r="S3470" s="1" t="str">
        <f>"J-UN-2019-3421"</f>
        <v>J-UN-2019-3421</v>
      </c>
      <c r="T3470" s="2" t="s">
        <v>33</v>
      </c>
    </row>
    <row r="3471" spans="1:20" ht="38.25" x14ac:dyDescent="0.25">
      <c r="A3471" s="1">
        <v>3467</v>
      </c>
      <c r="B3471" s="1" t="str">
        <f>"2019-1229"</f>
        <v>2019-1229</v>
      </c>
      <c r="C3471" s="2" t="s">
        <v>2212</v>
      </c>
      <c r="D3471" s="1" t="s">
        <v>2213</v>
      </c>
      <c r="E3471" s="3" t="str">
        <f>""</f>
        <v/>
      </c>
      <c r="F3471" s="2" t="s">
        <v>1323</v>
      </c>
      <c r="G3471" s="2" t="str">
        <f t="shared" si="297"/>
        <v>LANIŠTE D.O.O., ALEXANDERA VON HUMBOLDTA 4B, 10000 ZAGREB, OIB: 3755384865</v>
      </c>
      <c r="H3471" s="4"/>
      <c r="I3471" s="1" t="s">
        <v>25</v>
      </c>
      <c r="J3471" s="5">
        <v>43606</v>
      </c>
      <c r="K3471" s="6" t="str">
        <f>"4.032,00"</f>
        <v>4.032,00</v>
      </c>
      <c r="L3471" s="6" t="str">
        <f>"1.008,00"</f>
        <v>1.008,00</v>
      </c>
      <c r="M3471" s="6" t="str">
        <f>"5.040,00"</f>
        <v>5.040,00</v>
      </c>
      <c r="N3471" s="1" t="s">
        <v>117</v>
      </c>
      <c r="O3471" s="7"/>
      <c r="P3471" s="6" t="str">
        <f>""</f>
        <v/>
      </c>
      <c r="Q3471" s="7"/>
      <c r="R3471" s="1"/>
      <c r="S3471" s="1" t="str">
        <f>"J-UN-2019-3422"</f>
        <v>J-UN-2019-3422</v>
      </c>
      <c r="T3471" s="2" t="s">
        <v>33</v>
      </c>
    </row>
    <row r="3472" spans="1:20" ht="38.25" x14ac:dyDescent="0.25">
      <c r="A3472" s="1">
        <v>3468</v>
      </c>
      <c r="B3472" s="1" t="str">
        <f>"2019-1694"</f>
        <v>2019-1694</v>
      </c>
      <c r="C3472" s="2" t="s">
        <v>2214</v>
      </c>
      <c r="D3472" s="1" t="s">
        <v>2215</v>
      </c>
      <c r="E3472" s="3" t="str">
        <f>""</f>
        <v/>
      </c>
      <c r="F3472" s="2" t="s">
        <v>1323</v>
      </c>
      <c r="G3472" s="2" t="str">
        <f t="shared" si="297"/>
        <v>LANIŠTE D.O.O., ALEXANDERA VON HUMBOLDTA 4B, 10000 ZAGREB, OIB: 3755384865</v>
      </c>
      <c r="H3472" s="4"/>
      <c r="I3472" s="1" t="s">
        <v>25</v>
      </c>
      <c r="J3472" s="5">
        <v>43606</v>
      </c>
      <c r="K3472" s="6" t="str">
        <f>"3.632,00"</f>
        <v>3.632,00</v>
      </c>
      <c r="L3472" s="6" t="str">
        <f>"908,00"</f>
        <v>908,00</v>
      </c>
      <c r="M3472" s="6" t="str">
        <f>"4.540,00"</f>
        <v>4.540,00</v>
      </c>
      <c r="N3472" s="1" t="s">
        <v>117</v>
      </c>
      <c r="O3472" s="7"/>
      <c r="P3472" s="6" t="str">
        <f>""</f>
        <v/>
      </c>
      <c r="Q3472" s="7"/>
      <c r="R3472" s="1"/>
      <c r="S3472" s="1" t="str">
        <f>"J-UN-2019-3423"</f>
        <v>J-UN-2019-3423</v>
      </c>
      <c r="T3472" s="2" t="s">
        <v>33</v>
      </c>
    </row>
    <row r="3473" spans="1:20" ht="38.25" x14ac:dyDescent="0.25">
      <c r="A3473" s="1">
        <v>3469</v>
      </c>
      <c r="B3473" s="1" t="str">
        <f>"2019-1083"</f>
        <v>2019-1083</v>
      </c>
      <c r="C3473" s="2" t="s">
        <v>2216</v>
      </c>
      <c r="D3473" s="1" t="s">
        <v>2217</v>
      </c>
      <c r="E3473" s="3" t="str">
        <f>""</f>
        <v/>
      </c>
      <c r="F3473" s="2" t="s">
        <v>1323</v>
      </c>
      <c r="G3473" s="2" t="str">
        <f t="shared" si="297"/>
        <v>LANIŠTE D.O.O., ALEXANDERA VON HUMBOLDTA 4B, 10000 ZAGREB, OIB: 3755384865</v>
      </c>
      <c r="H3473" s="4"/>
      <c r="I3473" s="1" t="s">
        <v>25</v>
      </c>
      <c r="J3473" s="5">
        <v>43606</v>
      </c>
      <c r="K3473" s="6" t="str">
        <f>"3.636,00"</f>
        <v>3.636,00</v>
      </c>
      <c r="L3473" s="6" t="str">
        <f>"909,00"</f>
        <v>909,00</v>
      </c>
      <c r="M3473" s="6" t="str">
        <f>"4.545,00"</f>
        <v>4.545,00</v>
      </c>
      <c r="N3473" s="1" t="s">
        <v>117</v>
      </c>
      <c r="O3473" s="7"/>
      <c r="P3473" s="6" t="str">
        <f>""</f>
        <v/>
      </c>
      <c r="Q3473" s="7"/>
      <c r="R3473" s="1"/>
      <c r="S3473" s="1" t="str">
        <f>"J-UN-2019-3424"</f>
        <v>J-UN-2019-3424</v>
      </c>
      <c r="T3473" s="2" t="s">
        <v>33</v>
      </c>
    </row>
    <row r="3474" spans="1:20" ht="38.25" x14ac:dyDescent="0.25">
      <c r="A3474" s="1">
        <v>3470</v>
      </c>
      <c r="B3474" s="1" t="str">
        <f>"2019-2305"</f>
        <v>2019-2305</v>
      </c>
      <c r="C3474" s="2" t="s">
        <v>2218</v>
      </c>
      <c r="D3474" s="1" t="s">
        <v>1901</v>
      </c>
      <c r="E3474" s="3" t="str">
        <f>""</f>
        <v/>
      </c>
      <c r="F3474" s="2" t="s">
        <v>1323</v>
      </c>
      <c r="G3474" s="2" t="str">
        <f t="shared" si="297"/>
        <v>LANIŠTE D.O.O., ALEXANDERA VON HUMBOLDTA 4B, 10000 ZAGREB, OIB: 3755384865</v>
      </c>
      <c r="H3474" s="4"/>
      <c r="I3474" s="1" t="s">
        <v>25</v>
      </c>
      <c r="J3474" s="5">
        <v>43606</v>
      </c>
      <c r="K3474" s="6" t="str">
        <f>"3.636,00"</f>
        <v>3.636,00</v>
      </c>
      <c r="L3474" s="6" t="str">
        <f>"909,00"</f>
        <v>909,00</v>
      </c>
      <c r="M3474" s="6" t="str">
        <f>"4.545,00"</f>
        <v>4.545,00</v>
      </c>
      <c r="N3474" s="1" t="s">
        <v>117</v>
      </c>
      <c r="O3474" s="7"/>
      <c r="P3474" s="6" t="str">
        <f>""</f>
        <v/>
      </c>
      <c r="Q3474" s="7"/>
      <c r="R3474" s="1"/>
      <c r="S3474" s="1" t="str">
        <f>"J-UN-2019-3425"</f>
        <v>J-UN-2019-3425</v>
      </c>
      <c r="T3474" s="2" t="s">
        <v>33</v>
      </c>
    </row>
    <row r="3475" spans="1:20" ht="38.25" x14ac:dyDescent="0.25">
      <c r="A3475" s="1">
        <v>3471</v>
      </c>
      <c r="B3475" s="1" t="str">
        <f>"2019-2151"</f>
        <v>2019-2151</v>
      </c>
      <c r="C3475" s="2" t="s">
        <v>2219</v>
      </c>
      <c r="D3475" s="1" t="s">
        <v>2211</v>
      </c>
      <c r="E3475" s="3" t="str">
        <f>""</f>
        <v/>
      </c>
      <c r="F3475" s="2" t="s">
        <v>1323</v>
      </c>
      <c r="G3475" s="2" t="str">
        <f t="shared" si="297"/>
        <v>LANIŠTE D.O.O., ALEXANDERA VON HUMBOLDTA 4B, 10000 ZAGREB, OIB: 3755384865</v>
      </c>
      <c r="H3475" s="4"/>
      <c r="I3475" s="1" t="s">
        <v>25</v>
      </c>
      <c r="J3475" s="5">
        <v>43606</v>
      </c>
      <c r="K3475" s="6" t="str">
        <f>"4.032,00"</f>
        <v>4.032,00</v>
      </c>
      <c r="L3475" s="6" t="str">
        <f>"1.008,00"</f>
        <v>1.008,00</v>
      </c>
      <c r="M3475" s="6" t="str">
        <f>"5.040,00"</f>
        <v>5.040,00</v>
      </c>
      <c r="N3475" s="1" t="s">
        <v>117</v>
      </c>
      <c r="O3475" s="7"/>
      <c r="P3475" s="6" t="str">
        <f>""</f>
        <v/>
      </c>
      <c r="Q3475" s="7"/>
      <c r="R3475" s="1"/>
      <c r="S3475" s="1" t="str">
        <f>"J-UN-2019-3426"</f>
        <v>J-UN-2019-3426</v>
      </c>
      <c r="T3475" s="2" t="s">
        <v>33</v>
      </c>
    </row>
    <row r="3476" spans="1:20" ht="38.25" x14ac:dyDescent="0.25">
      <c r="A3476" s="1">
        <v>3472</v>
      </c>
      <c r="B3476" s="1" t="str">
        <f>"2019-600"</f>
        <v>2019-600</v>
      </c>
      <c r="C3476" s="2" t="s">
        <v>2210</v>
      </c>
      <c r="D3476" s="1" t="s">
        <v>2211</v>
      </c>
      <c r="E3476" s="3" t="str">
        <f>""</f>
        <v/>
      </c>
      <c r="F3476" s="2" t="s">
        <v>1323</v>
      </c>
      <c r="G3476" s="2" t="str">
        <f t="shared" si="297"/>
        <v>LANIŠTE D.O.O., ALEXANDERA VON HUMBOLDTA 4B, 10000 ZAGREB, OIB: 3755384865</v>
      </c>
      <c r="H3476" s="4"/>
      <c r="I3476" s="1" t="s">
        <v>25</v>
      </c>
      <c r="J3476" s="5">
        <v>43606</v>
      </c>
      <c r="K3476" s="6" t="str">
        <f>"4.032,00"</f>
        <v>4.032,00</v>
      </c>
      <c r="L3476" s="6" t="str">
        <f>"1.008,00"</f>
        <v>1.008,00</v>
      </c>
      <c r="M3476" s="6" t="str">
        <f>"5.040,00"</f>
        <v>5.040,00</v>
      </c>
      <c r="N3476" s="1" t="s">
        <v>117</v>
      </c>
      <c r="O3476" s="7"/>
      <c r="P3476" s="6" t="str">
        <f>""</f>
        <v/>
      </c>
      <c r="Q3476" s="7"/>
      <c r="R3476" s="1"/>
      <c r="S3476" s="1" t="str">
        <f>"J-UN-2019-3427"</f>
        <v>J-UN-2019-3427</v>
      </c>
      <c r="T3476" s="2" t="s">
        <v>33</v>
      </c>
    </row>
    <row r="3477" spans="1:20" ht="38.25" x14ac:dyDescent="0.25">
      <c r="A3477" s="1">
        <v>3473</v>
      </c>
      <c r="B3477" s="1" t="str">
        <f>"2019-1229"</f>
        <v>2019-1229</v>
      </c>
      <c r="C3477" s="2" t="s">
        <v>2212</v>
      </c>
      <c r="D3477" s="1" t="s">
        <v>2213</v>
      </c>
      <c r="E3477" s="3" t="str">
        <f>""</f>
        <v/>
      </c>
      <c r="F3477" s="2" t="s">
        <v>1323</v>
      </c>
      <c r="G3477" s="2" t="str">
        <f t="shared" si="297"/>
        <v>LANIŠTE D.O.O., ALEXANDERA VON HUMBOLDTA 4B, 10000 ZAGREB, OIB: 3755384865</v>
      </c>
      <c r="H3477" s="4"/>
      <c r="I3477" s="1" t="s">
        <v>25</v>
      </c>
      <c r="J3477" s="5">
        <v>43606</v>
      </c>
      <c r="K3477" s="6" t="str">
        <f>"4.032,00"</f>
        <v>4.032,00</v>
      </c>
      <c r="L3477" s="6" t="str">
        <f>"1.008,00"</f>
        <v>1.008,00</v>
      </c>
      <c r="M3477" s="6" t="str">
        <f>"5.040,00"</f>
        <v>5.040,00</v>
      </c>
      <c r="N3477" s="1" t="s">
        <v>117</v>
      </c>
      <c r="O3477" s="7"/>
      <c r="P3477" s="6" t="str">
        <f>""</f>
        <v/>
      </c>
      <c r="Q3477" s="7"/>
      <c r="R3477" s="1"/>
      <c r="S3477" s="1" t="str">
        <f>"J-UN-2019-3428"</f>
        <v>J-UN-2019-3428</v>
      </c>
      <c r="T3477" s="2" t="s">
        <v>33</v>
      </c>
    </row>
    <row r="3478" spans="1:20" ht="38.25" x14ac:dyDescent="0.25">
      <c r="A3478" s="1">
        <v>3474</v>
      </c>
      <c r="B3478" s="1" t="str">
        <f>"2019-1694"</f>
        <v>2019-1694</v>
      </c>
      <c r="C3478" s="2" t="s">
        <v>2214</v>
      </c>
      <c r="D3478" s="1" t="s">
        <v>2215</v>
      </c>
      <c r="E3478" s="3" t="str">
        <f>""</f>
        <v/>
      </c>
      <c r="F3478" s="2" t="s">
        <v>1323</v>
      </c>
      <c r="G3478" s="2" t="str">
        <f t="shared" si="297"/>
        <v>LANIŠTE D.O.O., ALEXANDERA VON HUMBOLDTA 4B, 10000 ZAGREB, OIB: 3755384865</v>
      </c>
      <c r="H3478" s="4"/>
      <c r="I3478" s="1" t="s">
        <v>25</v>
      </c>
      <c r="J3478" s="5">
        <v>43606</v>
      </c>
      <c r="K3478" s="6" t="str">
        <f>"3.632,00"</f>
        <v>3.632,00</v>
      </c>
      <c r="L3478" s="6" t="str">
        <f>"908,00"</f>
        <v>908,00</v>
      </c>
      <c r="M3478" s="6" t="str">
        <f>"4.540,00"</f>
        <v>4.540,00</v>
      </c>
      <c r="N3478" s="1" t="s">
        <v>117</v>
      </c>
      <c r="O3478" s="7"/>
      <c r="P3478" s="6" t="str">
        <f>""</f>
        <v/>
      </c>
      <c r="Q3478" s="7"/>
      <c r="R3478" s="1"/>
      <c r="S3478" s="1" t="str">
        <f>"J-UN-2019-3429"</f>
        <v>J-UN-2019-3429</v>
      </c>
      <c r="T3478" s="2" t="s">
        <v>33</v>
      </c>
    </row>
    <row r="3479" spans="1:20" ht="38.25" x14ac:dyDescent="0.25">
      <c r="A3479" s="1">
        <v>3475</v>
      </c>
      <c r="B3479" s="1" t="str">
        <f>"2019-1083"</f>
        <v>2019-1083</v>
      </c>
      <c r="C3479" s="2" t="s">
        <v>2216</v>
      </c>
      <c r="D3479" s="1" t="s">
        <v>2217</v>
      </c>
      <c r="E3479" s="3" t="str">
        <f>""</f>
        <v/>
      </c>
      <c r="F3479" s="2" t="s">
        <v>1323</v>
      </c>
      <c r="G3479" s="2" t="str">
        <f t="shared" si="297"/>
        <v>LANIŠTE D.O.O., ALEXANDERA VON HUMBOLDTA 4B, 10000 ZAGREB, OIB: 3755384865</v>
      </c>
      <c r="H3479" s="4"/>
      <c r="I3479" s="1" t="s">
        <v>25</v>
      </c>
      <c r="J3479" s="5">
        <v>43606</v>
      </c>
      <c r="K3479" s="6" t="str">
        <f>"3.636,00"</f>
        <v>3.636,00</v>
      </c>
      <c r="L3479" s="6" t="str">
        <f>"909,00"</f>
        <v>909,00</v>
      </c>
      <c r="M3479" s="6" t="str">
        <f>"4.545,00"</f>
        <v>4.545,00</v>
      </c>
      <c r="N3479" s="1" t="s">
        <v>117</v>
      </c>
      <c r="O3479" s="7"/>
      <c r="P3479" s="6" t="str">
        <f>""</f>
        <v/>
      </c>
      <c r="Q3479" s="7"/>
      <c r="R3479" s="1"/>
      <c r="S3479" s="1" t="str">
        <f>"J-UN-2019-3430"</f>
        <v>J-UN-2019-3430</v>
      </c>
      <c r="T3479" s="2" t="s">
        <v>33</v>
      </c>
    </row>
    <row r="3480" spans="1:20" ht="38.25" x14ac:dyDescent="0.25">
      <c r="A3480" s="1">
        <v>3476</v>
      </c>
      <c r="B3480" s="1" t="str">
        <f>"2019-2305"</f>
        <v>2019-2305</v>
      </c>
      <c r="C3480" s="2" t="s">
        <v>2218</v>
      </c>
      <c r="D3480" s="1" t="s">
        <v>1901</v>
      </c>
      <c r="E3480" s="3" t="str">
        <f>""</f>
        <v/>
      </c>
      <c r="F3480" s="2" t="s">
        <v>1323</v>
      </c>
      <c r="G3480" s="2" t="str">
        <f t="shared" si="297"/>
        <v>LANIŠTE D.O.O., ALEXANDERA VON HUMBOLDTA 4B, 10000 ZAGREB, OIB: 3755384865</v>
      </c>
      <c r="H3480" s="4"/>
      <c r="I3480" s="1" t="s">
        <v>25</v>
      </c>
      <c r="J3480" s="5">
        <v>43606</v>
      </c>
      <c r="K3480" s="6" t="str">
        <f>"2.636,00"</f>
        <v>2.636,00</v>
      </c>
      <c r="L3480" s="6" t="str">
        <f>"659,00"</f>
        <v>659,00</v>
      </c>
      <c r="M3480" s="6" t="str">
        <f>"3.295,00"</f>
        <v>3.295,00</v>
      </c>
      <c r="N3480" s="1" t="s">
        <v>117</v>
      </c>
      <c r="O3480" s="7"/>
      <c r="P3480" s="6" t="str">
        <f>""</f>
        <v/>
      </c>
      <c r="Q3480" s="7"/>
      <c r="R3480" s="1"/>
      <c r="S3480" s="1" t="str">
        <f>"J-UN-2019-3431"</f>
        <v>J-UN-2019-3431</v>
      </c>
      <c r="T3480" s="2" t="s">
        <v>33</v>
      </c>
    </row>
    <row r="3481" spans="1:20" ht="38.25" x14ac:dyDescent="0.25">
      <c r="A3481" s="1">
        <v>3477</v>
      </c>
      <c r="B3481" s="1" t="str">
        <f>"2019-2151"</f>
        <v>2019-2151</v>
      </c>
      <c r="C3481" s="2" t="s">
        <v>2219</v>
      </c>
      <c r="D3481" s="1" t="s">
        <v>2211</v>
      </c>
      <c r="E3481" s="3" t="str">
        <f>""</f>
        <v/>
      </c>
      <c r="F3481" s="2" t="s">
        <v>1323</v>
      </c>
      <c r="G3481" s="2" t="str">
        <f t="shared" si="297"/>
        <v>LANIŠTE D.O.O., ALEXANDERA VON HUMBOLDTA 4B, 10000 ZAGREB, OIB: 3755384865</v>
      </c>
      <c r="H3481" s="4"/>
      <c r="I3481" s="1" t="s">
        <v>25</v>
      </c>
      <c r="J3481" s="5">
        <v>43606</v>
      </c>
      <c r="K3481" s="6" t="str">
        <f>"2.032,00"</f>
        <v>2.032,00</v>
      </c>
      <c r="L3481" s="6" t="str">
        <f>"508,00"</f>
        <v>508,00</v>
      </c>
      <c r="M3481" s="6" t="str">
        <f>"2.540,00"</f>
        <v>2.540,00</v>
      </c>
      <c r="N3481" s="1" t="s">
        <v>117</v>
      </c>
      <c r="O3481" s="7"/>
      <c r="P3481" s="6" t="str">
        <f>""</f>
        <v/>
      </c>
      <c r="Q3481" s="7"/>
      <c r="R3481" s="1"/>
      <c r="S3481" s="1" t="str">
        <f>"J-UN-2019-3432"</f>
        <v>J-UN-2019-3432</v>
      </c>
      <c r="T3481" s="2" t="s">
        <v>33</v>
      </c>
    </row>
    <row r="3482" spans="1:20" ht="38.25" x14ac:dyDescent="0.25">
      <c r="A3482" s="1">
        <v>3478</v>
      </c>
      <c r="B3482" s="1" t="str">
        <f>"2019-600"</f>
        <v>2019-600</v>
      </c>
      <c r="C3482" s="2" t="s">
        <v>2210</v>
      </c>
      <c r="D3482" s="1" t="s">
        <v>2211</v>
      </c>
      <c r="E3482" s="3" t="str">
        <f>""</f>
        <v/>
      </c>
      <c r="F3482" s="2" t="s">
        <v>1323</v>
      </c>
      <c r="G3482" s="2" t="str">
        <f t="shared" si="297"/>
        <v>LANIŠTE D.O.O., ALEXANDERA VON HUMBOLDTA 4B, 10000 ZAGREB, OIB: 3755384865</v>
      </c>
      <c r="H3482" s="4"/>
      <c r="I3482" s="1" t="s">
        <v>25</v>
      </c>
      <c r="J3482" s="5">
        <v>43606</v>
      </c>
      <c r="K3482" s="6" t="str">
        <f>"2.032,00"</f>
        <v>2.032,00</v>
      </c>
      <c r="L3482" s="6" t="str">
        <f>"508,00"</f>
        <v>508,00</v>
      </c>
      <c r="M3482" s="6" t="str">
        <f>"2.540,00"</f>
        <v>2.540,00</v>
      </c>
      <c r="N3482" s="1" t="s">
        <v>117</v>
      </c>
      <c r="O3482" s="7"/>
      <c r="P3482" s="6" t="str">
        <f>""</f>
        <v/>
      </c>
      <c r="Q3482" s="7"/>
      <c r="R3482" s="1"/>
      <c r="S3482" s="1" t="str">
        <f>"J-UN-2019-3433"</f>
        <v>J-UN-2019-3433</v>
      </c>
      <c r="T3482" s="2" t="s">
        <v>33</v>
      </c>
    </row>
    <row r="3483" spans="1:20" ht="38.25" x14ac:dyDescent="0.25">
      <c r="A3483" s="1">
        <v>3479</v>
      </c>
      <c r="B3483" s="1" t="str">
        <f>"2019-1229"</f>
        <v>2019-1229</v>
      </c>
      <c r="C3483" s="2" t="s">
        <v>2212</v>
      </c>
      <c r="D3483" s="1" t="s">
        <v>2213</v>
      </c>
      <c r="E3483" s="3" t="str">
        <f>""</f>
        <v/>
      </c>
      <c r="F3483" s="2" t="s">
        <v>1323</v>
      </c>
      <c r="G3483" s="2" t="str">
        <f t="shared" si="297"/>
        <v>LANIŠTE D.O.O., ALEXANDERA VON HUMBOLDTA 4B, 10000 ZAGREB, OIB: 3755384865</v>
      </c>
      <c r="H3483" s="4"/>
      <c r="I3483" s="1" t="s">
        <v>475</v>
      </c>
      <c r="J3483" s="5">
        <v>43607</v>
      </c>
      <c r="K3483" s="6" t="str">
        <f>"2.032,00"</f>
        <v>2.032,00</v>
      </c>
      <c r="L3483" s="6" t="str">
        <f>"508,00"</f>
        <v>508,00</v>
      </c>
      <c r="M3483" s="6" t="str">
        <f>"2.540,00"</f>
        <v>2.540,00</v>
      </c>
      <c r="N3483" s="1" t="s">
        <v>117</v>
      </c>
      <c r="O3483" s="7"/>
      <c r="P3483" s="6" t="str">
        <f>""</f>
        <v/>
      </c>
      <c r="Q3483" s="7"/>
      <c r="R3483" s="1"/>
      <c r="S3483" s="1" t="str">
        <f>"J-UN-2019-3434"</f>
        <v>J-UN-2019-3434</v>
      </c>
      <c r="T3483" s="2" t="s">
        <v>33</v>
      </c>
    </row>
    <row r="3484" spans="1:20" ht="38.25" x14ac:dyDescent="0.25">
      <c r="A3484" s="1">
        <v>3480</v>
      </c>
      <c r="B3484" s="1" t="str">
        <f>"2019-1694"</f>
        <v>2019-1694</v>
      </c>
      <c r="C3484" s="2" t="s">
        <v>2214</v>
      </c>
      <c r="D3484" s="1" t="s">
        <v>2215</v>
      </c>
      <c r="E3484" s="3" t="str">
        <f>""</f>
        <v/>
      </c>
      <c r="F3484" s="2" t="s">
        <v>1323</v>
      </c>
      <c r="G3484" s="2" t="str">
        <f t="shared" si="297"/>
        <v>LANIŠTE D.O.O., ALEXANDERA VON HUMBOLDTA 4B, 10000 ZAGREB, OIB: 3755384865</v>
      </c>
      <c r="H3484" s="4"/>
      <c r="I3484" s="1" t="s">
        <v>475</v>
      </c>
      <c r="J3484" s="5">
        <v>43607</v>
      </c>
      <c r="K3484" s="6" t="str">
        <f>"1.632,00"</f>
        <v>1.632,00</v>
      </c>
      <c r="L3484" s="6" t="str">
        <f>"408,00"</f>
        <v>408,00</v>
      </c>
      <c r="M3484" s="6" t="str">
        <f>"2.040,00"</f>
        <v>2.040,00</v>
      </c>
      <c r="N3484" s="1" t="s">
        <v>117</v>
      </c>
      <c r="O3484" s="7"/>
      <c r="P3484" s="6" t="str">
        <f>""</f>
        <v/>
      </c>
      <c r="Q3484" s="7"/>
      <c r="R3484" s="1"/>
      <c r="S3484" s="1" t="str">
        <f>"J-UN-2019-3435"</f>
        <v>J-UN-2019-3435</v>
      </c>
      <c r="T3484" s="2" t="s">
        <v>33</v>
      </c>
    </row>
    <row r="3485" spans="1:20" ht="38.25" x14ac:dyDescent="0.25">
      <c r="A3485" s="1">
        <v>3481</v>
      </c>
      <c r="B3485" s="1" t="str">
        <f>"2019-1083"</f>
        <v>2019-1083</v>
      </c>
      <c r="C3485" s="2" t="s">
        <v>2216</v>
      </c>
      <c r="D3485" s="1" t="s">
        <v>2217</v>
      </c>
      <c r="E3485" s="3" t="str">
        <f>""</f>
        <v/>
      </c>
      <c r="F3485" s="2" t="s">
        <v>1323</v>
      </c>
      <c r="G3485" s="2" t="str">
        <f t="shared" si="297"/>
        <v>LANIŠTE D.O.O., ALEXANDERA VON HUMBOLDTA 4B, 10000 ZAGREB, OIB: 3755384865</v>
      </c>
      <c r="H3485" s="4"/>
      <c r="I3485" s="1" t="s">
        <v>475</v>
      </c>
      <c r="J3485" s="5">
        <v>43607</v>
      </c>
      <c r="K3485" s="6" t="str">
        <f>"2.636,00"</f>
        <v>2.636,00</v>
      </c>
      <c r="L3485" s="6" t="str">
        <f>"659,00"</f>
        <v>659,00</v>
      </c>
      <c r="M3485" s="6" t="str">
        <f>"3.295,00"</f>
        <v>3.295,00</v>
      </c>
      <c r="N3485" s="1" t="s">
        <v>117</v>
      </c>
      <c r="O3485" s="7"/>
      <c r="P3485" s="6" t="str">
        <f>""</f>
        <v/>
      </c>
      <c r="Q3485" s="7"/>
      <c r="R3485" s="1"/>
      <c r="S3485" s="1" t="str">
        <f>"J-UN-2019-3436"</f>
        <v>J-UN-2019-3436</v>
      </c>
      <c r="T3485" s="2" t="s">
        <v>33</v>
      </c>
    </row>
    <row r="3486" spans="1:20" ht="38.25" x14ac:dyDescent="0.25">
      <c r="A3486" s="1">
        <v>3482</v>
      </c>
      <c r="B3486" s="1" t="str">
        <f>"2019-2305"</f>
        <v>2019-2305</v>
      </c>
      <c r="C3486" s="2" t="s">
        <v>2218</v>
      </c>
      <c r="D3486" s="1" t="s">
        <v>1901</v>
      </c>
      <c r="E3486" s="3" t="str">
        <f>""</f>
        <v/>
      </c>
      <c r="F3486" s="2" t="s">
        <v>1323</v>
      </c>
      <c r="G3486" s="2" t="str">
        <f t="shared" si="297"/>
        <v>LANIŠTE D.O.O., ALEXANDERA VON HUMBOLDTA 4B, 10000 ZAGREB, OIB: 3755384865</v>
      </c>
      <c r="H3486" s="4"/>
      <c r="I3486" s="1" t="s">
        <v>475</v>
      </c>
      <c r="J3486" s="5">
        <v>43607</v>
      </c>
      <c r="K3486" s="6" t="str">
        <f>"3.636,00"</f>
        <v>3.636,00</v>
      </c>
      <c r="L3486" s="6" t="str">
        <f>"909,00"</f>
        <v>909,00</v>
      </c>
      <c r="M3486" s="6" t="str">
        <f>"4.545,00"</f>
        <v>4.545,00</v>
      </c>
      <c r="N3486" s="1" t="s">
        <v>117</v>
      </c>
      <c r="O3486" s="7"/>
      <c r="P3486" s="6" t="str">
        <f>""</f>
        <v/>
      </c>
      <c r="Q3486" s="7"/>
      <c r="R3486" s="1"/>
      <c r="S3486" s="1" t="str">
        <f>"J-UN-2019-3437"</f>
        <v>J-UN-2019-3437</v>
      </c>
      <c r="T3486" s="2" t="s">
        <v>33</v>
      </c>
    </row>
    <row r="3487" spans="1:20" ht="38.25" x14ac:dyDescent="0.25">
      <c r="A3487" s="1">
        <v>3483</v>
      </c>
      <c r="B3487" s="1" t="str">
        <f>"2019-2151"</f>
        <v>2019-2151</v>
      </c>
      <c r="C3487" s="2" t="s">
        <v>2219</v>
      </c>
      <c r="D3487" s="1" t="s">
        <v>2211</v>
      </c>
      <c r="E3487" s="3" t="str">
        <f>""</f>
        <v/>
      </c>
      <c r="F3487" s="2" t="s">
        <v>1323</v>
      </c>
      <c r="G3487" s="2" t="str">
        <f t="shared" si="297"/>
        <v>LANIŠTE D.O.O., ALEXANDERA VON HUMBOLDTA 4B, 10000 ZAGREB, OIB: 3755384865</v>
      </c>
      <c r="H3487" s="4"/>
      <c r="I3487" s="1" t="s">
        <v>475</v>
      </c>
      <c r="J3487" s="5">
        <v>43607</v>
      </c>
      <c r="K3487" s="6" t="str">
        <f>"4.032,00"</f>
        <v>4.032,00</v>
      </c>
      <c r="L3487" s="6" t="str">
        <f>"1.008,00"</f>
        <v>1.008,00</v>
      </c>
      <c r="M3487" s="6" t="str">
        <f>"5.040,00"</f>
        <v>5.040,00</v>
      </c>
      <c r="N3487" s="1" t="s">
        <v>117</v>
      </c>
      <c r="O3487" s="7"/>
      <c r="P3487" s="6" t="str">
        <f>""</f>
        <v/>
      </c>
      <c r="Q3487" s="7"/>
      <c r="R3487" s="1"/>
      <c r="S3487" s="1" t="str">
        <f>"J-UN-2019-3438"</f>
        <v>J-UN-2019-3438</v>
      </c>
      <c r="T3487" s="2" t="s">
        <v>33</v>
      </c>
    </row>
    <row r="3488" spans="1:20" ht="38.25" x14ac:dyDescent="0.25">
      <c r="A3488" s="1">
        <v>3484</v>
      </c>
      <c r="B3488" s="1" t="str">
        <f>"2019-600"</f>
        <v>2019-600</v>
      </c>
      <c r="C3488" s="2" t="s">
        <v>2210</v>
      </c>
      <c r="D3488" s="1" t="s">
        <v>2211</v>
      </c>
      <c r="E3488" s="3" t="str">
        <f>""</f>
        <v/>
      </c>
      <c r="F3488" s="2" t="s">
        <v>1323</v>
      </c>
      <c r="G3488" s="2" t="str">
        <f t="shared" si="297"/>
        <v>LANIŠTE D.O.O., ALEXANDERA VON HUMBOLDTA 4B, 10000 ZAGREB, OIB: 3755384865</v>
      </c>
      <c r="H3488" s="4"/>
      <c r="I3488" s="1" t="s">
        <v>25</v>
      </c>
      <c r="J3488" s="5">
        <v>43606</v>
      </c>
      <c r="K3488" s="6" t="str">
        <f>"4.032,00"</f>
        <v>4.032,00</v>
      </c>
      <c r="L3488" s="6" t="str">
        <f>"1.008,00"</f>
        <v>1.008,00</v>
      </c>
      <c r="M3488" s="6" t="str">
        <f>"5.040,00"</f>
        <v>5.040,00</v>
      </c>
      <c r="N3488" s="1" t="s">
        <v>117</v>
      </c>
      <c r="O3488" s="7"/>
      <c r="P3488" s="6" t="str">
        <f>""</f>
        <v/>
      </c>
      <c r="Q3488" s="7"/>
      <c r="R3488" s="1"/>
      <c r="S3488" s="1" t="str">
        <f>"J-UN-2019-3439"</f>
        <v>J-UN-2019-3439</v>
      </c>
      <c r="T3488" s="2" t="s">
        <v>33</v>
      </c>
    </row>
    <row r="3489" spans="1:20" ht="38.25" x14ac:dyDescent="0.25">
      <c r="A3489" s="1">
        <v>3485</v>
      </c>
      <c r="B3489" s="1" t="str">
        <f>"2019-1229"</f>
        <v>2019-1229</v>
      </c>
      <c r="C3489" s="2" t="s">
        <v>2212</v>
      </c>
      <c r="D3489" s="1" t="s">
        <v>2213</v>
      </c>
      <c r="E3489" s="3" t="str">
        <f>""</f>
        <v/>
      </c>
      <c r="F3489" s="2" t="s">
        <v>1323</v>
      </c>
      <c r="G3489" s="2" t="str">
        <f t="shared" si="297"/>
        <v>LANIŠTE D.O.O., ALEXANDERA VON HUMBOLDTA 4B, 10000 ZAGREB, OIB: 3755384865</v>
      </c>
      <c r="H3489" s="4"/>
      <c r="I3489" s="1" t="s">
        <v>25</v>
      </c>
      <c r="J3489" s="5">
        <v>43606</v>
      </c>
      <c r="K3489" s="6" t="str">
        <f>"4.032,00"</f>
        <v>4.032,00</v>
      </c>
      <c r="L3489" s="6" t="str">
        <f>"1.008,00"</f>
        <v>1.008,00</v>
      </c>
      <c r="M3489" s="6" t="str">
        <f>"5.040,00"</f>
        <v>5.040,00</v>
      </c>
      <c r="N3489" s="1" t="s">
        <v>117</v>
      </c>
      <c r="O3489" s="7"/>
      <c r="P3489" s="6" t="str">
        <f>""</f>
        <v/>
      </c>
      <c r="Q3489" s="7"/>
      <c r="R3489" s="1"/>
      <c r="S3489" s="1" t="str">
        <f>"J-UN-2019-3440"</f>
        <v>J-UN-2019-3440</v>
      </c>
      <c r="T3489" s="2" t="s">
        <v>33</v>
      </c>
    </row>
    <row r="3490" spans="1:20" ht="38.25" x14ac:dyDescent="0.25">
      <c r="A3490" s="1">
        <v>3486</v>
      </c>
      <c r="B3490" s="1" t="str">
        <f>"2019-1694"</f>
        <v>2019-1694</v>
      </c>
      <c r="C3490" s="2" t="s">
        <v>2214</v>
      </c>
      <c r="D3490" s="1" t="s">
        <v>2215</v>
      </c>
      <c r="E3490" s="3" t="str">
        <f>""</f>
        <v/>
      </c>
      <c r="F3490" s="2" t="s">
        <v>1323</v>
      </c>
      <c r="G3490" s="2" t="str">
        <f t="shared" si="297"/>
        <v>LANIŠTE D.O.O., ALEXANDERA VON HUMBOLDTA 4B, 10000 ZAGREB, OIB: 3755384865</v>
      </c>
      <c r="H3490" s="4"/>
      <c r="I3490" s="1" t="s">
        <v>25</v>
      </c>
      <c r="J3490" s="5">
        <v>43606</v>
      </c>
      <c r="K3490" s="6" t="str">
        <f>"3.632,00"</f>
        <v>3.632,00</v>
      </c>
      <c r="L3490" s="6" t="str">
        <f>"908,00"</f>
        <v>908,00</v>
      </c>
      <c r="M3490" s="6" t="str">
        <f>"4.540,00"</f>
        <v>4.540,00</v>
      </c>
      <c r="N3490" s="1" t="s">
        <v>117</v>
      </c>
      <c r="O3490" s="7"/>
      <c r="P3490" s="6" t="str">
        <f>""</f>
        <v/>
      </c>
      <c r="Q3490" s="7"/>
      <c r="R3490" s="1"/>
      <c r="S3490" s="1" t="str">
        <f>"J-UN-2019-3441"</f>
        <v>J-UN-2019-3441</v>
      </c>
      <c r="T3490" s="2" t="s">
        <v>33</v>
      </c>
    </row>
    <row r="3491" spans="1:20" ht="38.25" x14ac:dyDescent="0.25">
      <c r="A3491" s="1">
        <v>3487</v>
      </c>
      <c r="B3491" s="1" t="str">
        <f>"2019-1083"</f>
        <v>2019-1083</v>
      </c>
      <c r="C3491" s="2" t="s">
        <v>2216</v>
      </c>
      <c r="D3491" s="1" t="s">
        <v>2217</v>
      </c>
      <c r="E3491" s="3" t="str">
        <f>""</f>
        <v/>
      </c>
      <c r="F3491" s="2" t="s">
        <v>1323</v>
      </c>
      <c r="G3491" s="2" t="str">
        <f t="shared" si="297"/>
        <v>LANIŠTE D.O.O., ALEXANDERA VON HUMBOLDTA 4B, 10000 ZAGREB, OIB: 3755384865</v>
      </c>
      <c r="H3491" s="4"/>
      <c r="I3491" s="1" t="s">
        <v>25</v>
      </c>
      <c r="J3491" s="5">
        <v>43606</v>
      </c>
      <c r="K3491" s="6" t="str">
        <f>"3.636,00"</f>
        <v>3.636,00</v>
      </c>
      <c r="L3491" s="6" t="str">
        <f>"909,00"</f>
        <v>909,00</v>
      </c>
      <c r="M3491" s="6" t="str">
        <f>"4.545,00"</f>
        <v>4.545,00</v>
      </c>
      <c r="N3491" s="1" t="s">
        <v>117</v>
      </c>
      <c r="O3491" s="7"/>
      <c r="P3491" s="6" t="str">
        <f>""</f>
        <v/>
      </c>
      <c r="Q3491" s="7"/>
      <c r="R3491" s="1"/>
      <c r="S3491" s="1" t="str">
        <f>"J-UN-2019-3442"</f>
        <v>J-UN-2019-3442</v>
      </c>
      <c r="T3491" s="2" t="s">
        <v>33</v>
      </c>
    </row>
    <row r="3492" spans="1:20" ht="38.25" x14ac:dyDescent="0.25">
      <c r="A3492" s="1">
        <v>3488</v>
      </c>
      <c r="B3492" s="1" t="str">
        <f>"2019-2112"</f>
        <v>2019-2112</v>
      </c>
      <c r="C3492" s="2" t="s">
        <v>2220</v>
      </c>
      <c r="D3492" s="1" t="s">
        <v>603</v>
      </c>
      <c r="E3492" s="3" t="str">
        <f>""</f>
        <v/>
      </c>
      <c r="F3492" s="2" t="s">
        <v>1323</v>
      </c>
      <c r="G3492" s="2" t="str">
        <f>CONCATENATE("EUROMONT INTRO D.O.O.,"," KANALSKI PUT 20,"," 10000 ZAGREB,"," OIB: 46289034988")</f>
        <v>EUROMONT INTRO D.O.O., KANALSKI PUT 20, 10000 ZAGREB, OIB: 46289034988</v>
      </c>
      <c r="H3492" s="4"/>
      <c r="I3492" s="1" t="s">
        <v>25</v>
      </c>
      <c r="J3492" s="5">
        <v>43606</v>
      </c>
      <c r="K3492" s="6" t="str">
        <f>"5.350,00"</f>
        <v>5.350,00</v>
      </c>
      <c r="L3492" s="6" t="str">
        <f>"1.337,50"</f>
        <v>1.337,50</v>
      </c>
      <c r="M3492" s="6" t="str">
        <f>"6.687,50"</f>
        <v>6.687,50</v>
      </c>
      <c r="N3492" s="1" t="s">
        <v>117</v>
      </c>
      <c r="O3492" s="7"/>
      <c r="P3492" s="6" t="str">
        <f>""</f>
        <v/>
      </c>
      <c r="Q3492" s="7"/>
      <c r="R3492" s="1"/>
      <c r="S3492" s="1" t="str">
        <f>"J-UN-2019-3443"</f>
        <v>J-UN-2019-3443</v>
      </c>
      <c r="T3492" s="2" t="s">
        <v>33</v>
      </c>
    </row>
    <row r="3493" spans="1:20" ht="38.25" x14ac:dyDescent="0.25">
      <c r="A3493" s="1">
        <v>3489</v>
      </c>
      <c r="B3493" s="1" t="str">
        <f>"2019-2305"</f>
        <v>2019-2305</v>
      </c>
      <c r="C3493" s="2" t="s">
        <v>2218</v>
      </c>
      <c r="D3493" s="1" t="s">
        <v>1901</v>
      </c>
      <c r="E3493" s="3" t="str">
        <f>""</f>
        <v/>
      </c>
      <c r="F3493" s="2" t="s">
        <v>1323</v>
      </c>
      <c r="G3493" s="2" t="str">
        <f t="shared" ref="G3493:G3498" si="298">CONCATENATE("LANIŠTE D.O.O.,"," ALEXANDERA VON HUMBOLDTA 4B,"," 10000 ZAGREB,"," OIB: 3755384865")</f>
        <v>LANIŠTE D.O.O., ALEXANDERA VON HUMBOLDTA 4B, 10000 ZAGREB, OIB: 3755384865</v>
      </c>
      <c r="H3493" s="4"/>
      <c r="I3493" s="1" t="s">
        <v>25</v>
      </c>
      <c r="J3493" s="5">
        <v>43606</v>
      </c>
      <c r="K3493" s="6" t="str">
        <f>"3.636,00"</f>
        <v>3.636,00</v>
      </c>
      <c r="L3493" s="6" t="str">
        <f>"909,00"</f>
        <v>909,00</v>
      </c>
      <c r="M3493" s="6" t="str">
        <f>"4.545,00"</f>
        <v>4.545,00</v>
      </c>
      <c r="N3493" s="1" t="s">
        <v>117</v>
      </c>
      <c r="O3493" s="7"/>
      <c r="P3493" s="6" t="str">
        <f>""</f>
        <v/>
      </c>
      <c r="Q3493" s="7"/>
      <c r="R3493" s="1"/>
      <c r="S3493" s="1" t="str">
        <f>"J-UN-2019-3444"</f>
        <v>J-UN-2019-3444</v>
      </c>
      <c r="T3493" s="2" t="s">
        <v>33</v>
      </c>
    </row>
    <row r="3494" spans="1:20" ht="38.25" x14ac:dyDescent="0.25">
      <c r="A3494" s="1">
        <v>3490</v>
      </c>
      <c r="B3494" s="1" t="str">
        <f>"2019-2151"</f>
        <v>2019-2151</v>
      </c>
      <c r="C3494" s="2" t="s">
        <v>2219</v>
      </c>
      <c r="D3494" s="1" t="s">
        <v>2211</v>
      </c>
      <c r="E3494" s="3" t="str">
        <f>""</f>
        <v/>
      </c>
      <c r="F3494" s="2" t="s">
        <v>1323</v>
      </c>
      <c r="G3494" s="2" t="str">
        <f t="shared" si="298"/>
        <v>LANIŠTE D.O.O., ALEXANDERA VON HUMBOLDTA 4B, 10000 ZAGREB, OIB: 3755384865</v>
      </c>
      <c r="H3494" s="4"/>
      <c r="I3494" s="1" t="s">
        <v>25</v>
      </c>
      <c r="J3494" s="5">
        <v>43606</v>
      </c>
      <c r="K3494" s="6" t="str">
        <f>"4.032,00"</f>
        <v>4.032,00</v>
      </c>
      <c r="L3494" s="6" t="str">
        <f>"1.008,00"</f>
        <v>1.008,00</v>
      </c>
      <c r="M3494" s="6" t="str">
        <f>"5.040,00"</f>
        <v>5.040,00</v>
      </c>
      <c r="N3494" s="1" t="s">
        <v>117</v>
      </c>
      <c r="O3494" s="7"/>
      <c r="P3494" s="6" t="str">
        <f>""</f>
        <v/>
      </c>
      <c r="Q3494" s="7"/>
      <c r="R3494" s="1"/>
      <c r="S3494" s="1" t="str">
        <f>"J-UN-2019-3445"</f>
        <v>J-UN-2019-3445</v>
      </c>
      <c r="T3494" s="2" t="s">
        <v>33</v>
      </c>
    </row>
    <row r="3495" spans="1:20" ht="38.25" x14ac:dyDescent="0.25">
      <c r="A3495" s="1">
        <v>3491</v>
      </c>
      <c r="B3495" s="1" t="str">
        <f>"2019-600"</f>
        <v>2019-600</v>
      </c>
      <c r="C3495" s="2" t="s">
        <v>2210</v>
      </c>
      <c r="D3495" s="1" t="s">
        <v>2211</v>
      </c>
      <c r="E3495" s="3" t="str">
        <f>""</f>
        <v/>
      </c>
      <c r="F3495" s="2" t="s">
        <v>1323</v>
      </c>
      <c r="G3495" s="2" t="str">
        <f t="shared" si="298"/>
        <v>LANIŠTE D.O.O., ALEXANDERA VON HUMBOLDTA 4B, 10000 ZAGREB, OIB: 3755384865</v>
      </c>
      <c r="H3495" s="4"/>
      <c r="I3495" s="1" t="s">
        <v>25</v>
      </c>
      <c r="J3495" s="5">
        <v>43606</v>
      </c>
      <c r="K3495" s="6" t="str">
        <f>"4.032,00"</f>
        <v>4.032,00</v>
      </c>
      <c r="L3495" s="6" t="str">
        <f>"1.008,00"</f>
        <v>1.008,00</v>
      </c>
      <c r="M3495" s="6" t="str">
        <f>"5.040,00"</f>
        <v>5.040,00</v>
      </c>
      <c r="N3495" s="1" t="s">
        <v>117</v>
      </c>
      <c r="O3495" s="7"/>
      <c r="P3495" s="6" t="str">
        <f>""</f>
        <v/>
      </c>
      <c r="Q3495" s="7"/>
      <c r="R3495" s="1"/>
      <c r="S3495" s="1" t="str">
        <f>"J-UN-2019-3446"</f>
        <v>J-UN-2019-3446</v>
      </c>
      <c r="T3495" s="2" t="s">
        <v>33</v>
      </c>
    </row>
    <row r="3496" spans="1:20" ht="38.25" x14ac:dyDescent="0.25">
      <c r="A3496" s="1">
        <v>3492</v>
      </c>
      <c r="B3496" s="1" t="str">
        <f>"2019-1229"</f>
        <v>2019-1229</v>
      </c>
      <c r="C3496" s="2" t="s">
        <v>2212</v>
      </c>
      <c r="D3496" s="1" t="s">
        <v>2213</v>
      </c>
      <c r="E3496" s="3" t="str">
        <f>""</f>
        <v/>
      </c>
      <c r="F3496" s="2" t="s">
        <v>1323</v>
      </c>
      <c r="G3496" s="2" t="str">
        <f t="shared" si="298"/>
        <v>LANIŠTE D.O.O., ALEXANDERA VON HUMBOLDTA 4B, 10000 ZAGREB, OIB: 3755384865</v>
      </c>
      <c r="H3496" s="4"/>
      <c r="I3496" s="1" t="s">
        <v>25</v>
      </c>
      <c r="J3496" s="5">
        <v>43606</v>
      </c>
      <c r="K3496" s="6" t="str">
        <f>"4.032,00"</f>
        <v>4.032,00</v>
      </c>
      <c r="L3496" s="6" t="str">
        <f>"1.008,00"</f>
        <v>1.008,00</v>
      </c>
      <c r="M3496" s="6" t="str">
        <f>"5.040,00"</f>
        <v>5.040,00</v>
      </c>
      <c r="N3496" s="1" t="s">
        <v>117</v>
      </c>
      <c r="O3496" s="7"/>
      <c r="P3496" s="6" t="str">
        <f>""</f>
        <v/>
      </c>
      <c r="Q3496" s="7"/>
      <c r="R3496" s="1"/>
      <c r="S3496" s="1" t="str">
        <f>"J-UN-2019-3447"</f>
        <v>J-UN-2019-3447</v>
      </c>
      <c r="T3496" s="2" t="s">
        <v>33</v>
      </c>
    </row>
    <row r="3497" spans="1:20" ht="38.25" x14ac:dyDescent="0.25">
      <c r="A3497" s="1">
        <v>3493</v>
      </c>
      <c r="B3497" s="1" t="str">
        <f>"2019-1694"</f>
        <v>2019-1694</v>
      </c>
      <c r="C3497" s="2" t="s">
        <v>2214</v>
      </c>
      <c r="D3497" s="1" t="s">
        <v>2215</v>
      </c>
      <c r="E3497" s="3" t="str">
        <f>""</f>
        <v/>
      </c>
      <c r="F3497" s="2" t="s">
        <v>1323</v>
      </c>
      <c r="G3497" s="2" t="str">
        <f t="shared" si="298"/>
        <v>LANIŠTE D.O.O., ALEXANDERA VON HUMBOLDTA 4B, 10000 ZAGREB, OIB: 3755384865</v>
      </c>
      <c r="H3497" s="4"/>
      <c r="I3497" s="1" t="s">
        <v>25</v>
      </c>
      <c r="J3497" s="5">
        <v>43606</v>
      </c>
      <c r="K3497" s="6" t="str">
        <f>"3.632,00"</f>
        <v>3.632,00</v>
      </c>
      <c r="L3497" s="6" t="str">
        <f>"908,00"</f>
        <v>908,00</v>
      </c>
      <c r="M3497" s="6" t="str">
        <f>"4.540,00"</f>
        <v>4.540,00</v>
      </c>
      <c r="N3497" s="1" t="s">
        <v>117</v>
      </c>
      <c r="O3497" s="7"/>
      <c r="P3497" s="6" t="str">
        <f>""</f>
        <v/>
      </c>
      <c r="Q3497" s="7"/>
      <c r="R3497" s="1"/>
      <c r="S3497" s="1" t="str">
        <f>"J-UN-2019-3448"</f>
        <v>J-UN-2019-3448</v>
      </c>
      <c r="T3497" s="2" t="s">
        <v>33</v>
      </c>
    </row>
    <row r="3498" spans="1:20" ht="38.25" x14ac:dyDescent="0.25">
      <c r="A3498" s="1">
        <v>3494</v>
      </c>
      <c r="B3498" s="1" t="str">
        <f>"2019-1083"</f>
        <v>2019-1083</v>
      </c>
      <c r="C3498" s="2" t="s">
        <v>2216</v>
      </c>
      <c r="D3498" s="1" t="s">
        <v>2217</v>
      </c>
      <c r="E3498" s="3" t="str">
        <f>""</f>
        <v/>
      </c>
      <c r="F3498" s="2" t="s">
        <v>1323</v>
      </c>
      <c r="G3498" s="2" t="str">
        <f t="shared" si="298"/>
        <v>LANIŠTE D.O.O., ALEXANDERA VON HUMBOLDTA 4B, 10000 ZAGREB, OIB: 3755384865</v>
      </c>
      <c r="H3498" s="4"/>
      <c r="I3498" s="1" t="s">
        <v>25</v>
      </c>
      <c r="J3498" s="5">
        <v>43606</v>
      </c>
      <c r="K3498" s="6" t="str">
        <f>"3.636,00"</f>
        <v>3.636,00</v>
      </c>
      <c r="L3498" s="6" t="str">
        <f>"909,00"</f>
        <v>909,00</v>
      </c>
      <c r="M3498" s="6" t="str">
        <f>"4.545,00"</f>
        <v>4.545,00</v>
      </c>
      <c r="N3498" s="1" t="s">
        <v>117</v>
      </c>
      <c r="O3498" s="7"/>
      <c r="P3498" s="6" t="str">
        <f>""</f>
        <v/>
      </c>
      <c r="Q3498" s="7"/>
      <c r="R3498" s="1"/>
      <c r="S3498" s="1" t="str">
        <f>"J-UN-2019-3449"</f>
        <v>J-UN-2019-3449</v>
      </c>
      <c r="T3498" s="2" t="s">
        <v>33</v>
      </c>
    </row>
    <row r="3499" spans="1:20" ht="38.25" x14ac:dyDescent="0.25">
      <c r="A3499" s="1">
        <v>3495</v>
      </c>
      <c r="B3499" s="1" t="str">
        <f>"2019-1303"</f>
        <v>2019-1303</v>
      </c>
      <c r="C3499" s="2" t="s">
        <v>2221</v>
      </c>
      <c r="D3499" s="1" t="s">
        <v>860</v>
      </c>
      <c r="E3499" s="3" t="str">
        <f>""</f>
        <v/>
      </c>
      <c r="F3499" s="2" t="s">
        <v>1323</v>
      </c>
      <c r="G3499" s="2" t="str">
        <f>CONCATENATE("STROJOOBNOVA,"," VL.TIHOMIR LJUBIĆ,"," RAVNICE 13,"," 10294 DONJA PUŠĆA,"," OIB: 50149576546")</f>
        <v>STROJOOBNOVA, VL.TIHOMIR LJUBIĆ, RAVNICE 13, 10294 DONJA PUŠĆA, OIB: 50149576546</v>
      </c>
      <c r="H3499" s="4"/>
      <c r="I3499" s="1" t="s">
        <v>32</v>
      </c>
      <c r="J3499" s="5">
        <v>43612</v>
      </c>
      <c r="K3499" s="6" t="str">
        <f>"4.250,00"</f>
        <v>4.250,00</v>
      </c>
      <c r="L3499" s="6" t="str">
        <f>"1.062,50"</f>
        <v>1.062,50</v>
      </c>
      <c r="M3499" s="6" t="str">
        <f>"5.312,50"</f>
        <v>5.312,50</v>
      </c>
      <c r="N3499" s="5">
        <v>43627</v>
      </c>
      <c r="O3499" s="7"/>
      <c r="P3499" s="6" t="str">
        <f>"5.312,50"</f>
        <v>5.312,50</v>
      </c>
      <c r="Q3499" s="7"/>
      <c r="R3499" s="1"/>
      <c r="S3499" s="1" t="str">
        <f>"J-UN-2019-3453"</f>
        <v>J-UN-2019-3453</v>
      </c>
      <c r="T3499" s="2" t="s">
        <v>33</v>
      </c>
    </row>
    <row r="3500" spans="1:20" ht="38.25" x14ac:dyDescent="0.25">
      <c r="A3500" s="1">
        <v>3496</v>
      </c>
      <c r="B3500" s="1" t="str">
        <f>"2019-1482"</f>
        <v>2019-1482</v>
      </c>
      <c r="C3500" s="2" t="s">
        <v>2222</v>
      </c>
      <c r="D3500" s="1" t="s">
        <v>466</v>
      </c>
      <c r="E3500" s="3" t="str">
        <f>""</f>
        <v/>
      </c>
      <c r="F3500" s="2" t="s">
        <v>1323</v>
      </c>
      <c r="G3500" s="2" t="str">
        <f>CONCATENATE("ELEKTRO-KOMUNIKACIJE D.O.O.,"," 14. PODBREŽJE 4,"," 10000 ZAGREB,"," OIB: 76412373309")</f>
        <v>ELEKTRO-KOMUNIKACIJE D.O.O., 14. PODBREŽJE 4, 10000 ZAGREB, OIB: 76412373309</v>
      </c>
      <c r="H3500" s="4"/>
      <c r="I3500" s="1" t="s">
        <v>32</v>
      </c>
      <c r="J3500" s="5">
        <v>43612</v>
      </c>
      <c r="K3500" s="6" t="str">
        <f>"3.995,00"</f>
        <v>3.995,00</v>
      </c>
      <c r="L3500" s="6" t="str">
        <f>"998,75"</f>
        <v>998,75</v>
      </c>
      <c r="M3500" s="6" t="str">
        <f>"4.993,75"</f>
        <v>4.993,75</v>
      </c>
      <c r="N3500" s="5">
        <v>43679</v>
      </c>
      <c r="O3500" s="7"/>
      <c r="P3500" s="6" t="str">
        <f>"4.993,75"</f>
        <v>4.993,75</v>
      </c>
      <c r="Q3500" s="7"/>
      <c r="R3500" s="1"/>
      <c r="S3500" s="1" t="str">
        <f>"J-UN-2019-3454"</f>
        <v>J-UN-2019-3454</v>
      </c>
      <c r="T3500" s="2" t="s">
        <v>33</v>
      </c>
    </row>
    <row r="3501" spans="1:20" ht="25.5" x14ac:dyDescent="0.25">
      <c r="A3501" s="1">
        <v>3497</v>
      </c>
      <c r="B3501" s="1" t="str">
        <f>"2019-762"</f>
        <v>2019-762</v>
      </c>
      <c r="C3501" s="2" t="s">
        <v>2223</v>
      </c>
      <c r="D3501" s="1" t="s">
        <v>2224</v>
      </c>
      <c r="E3501" s="3" t="str">
        <f>""</f>
        <v/>
      </c>
      <c r="F3501" s="2" t="s">
        <v>1323</v>
      </c>
      <c r="G3501" s="2" t="str">
        <f>CONCATENATE("INOKEM D.O.O.,"," INDUSTRIJSKA CESTA 12,"," 10310 IVANIĆ GRAD,"," OIB: 2791900237")</f>
        <v>INOKEM D.O.O., INDUSTRIJSKA CESTA 12, 10310 IVANIĆ GRAD, OIB: 2791900237</v>
      </c>
      <c r="H3501" s="4"/>
      <c r="I3501" s="1" t="s">
        <v>32</v>
      </c>
      <c r="J3501" s="5">
        <v>43612</v>
      </c>
      <c r="K3501" s="6" t="str">
        <f>"116.725,00"</f>
        <v>116.725,00</v>
      </c>
      <c r="L3501" s="6" t="str">
        <f>"29.181,25"</f>
        <v>29.181,25</v>
      </c>
      <c r="M3501" s="6" t="str">
        <f>"145.906,25"</f>
        <v>145.906,25</v>
      </c>
      <c r="N3501" s="5">
        <v>43612</v>
      </c>
      <c r="O3501" s="7"/>
      <c r="P3501" s="6" t="str">
        <f>"145.906,25"</f>
        <v>145.906,25</v>
      </c>
      <c r="Q3501" s="7"/>
      <c r="R3501" s="1"/>
      <c r="S3501" s="1" t="str">
        <f>"J-UN-2019-3456"</f>
        <v>J-UN-2019-3456</v>
      </c>
      <c r="T3501" s="2" t="s">
        <v>33</v>
      </c>
    </row>
    <row r="3502" spans="1:20" ht="38.25" x14ac:dyDescent="0.25">
      <c r="A3502" s="1">
        <v>3498</v>
      </c>
      <c r="B3502" s="1" t="str">
        <f>"2019-2151"</f>
        <v>2019-2151</v>
      </c>
      <c r="C3502" s="2" t="s">
        <v>2219</v>
      </c>
      <c r="D3502" s="1" t="s">
        <v>2211</v>
      </c>
      <c r="E3502" s="3" t="str">
        <f>""</f>
        <v/>
      </c>
      <c r="F3502" s="2" t="s">
        <v>1323</v>
      </c>
      <c r="G3502" s="2" t="str">
        <f t="shared" ref="G3502:G3509" si="299">CONCATENATE("LANIŠTE D.O.O.,"," ALEXANDERA VON HUMBOLDTA 4B,"," 10000 ZAGREB,"," OIB: 3755384865")</f>
        <v>LANIŠTE D.O.O., ALEXANDERA VON HUMBOLDTA 4B, 10000 ZAGREB, OIB: 3755384865</v>
      </c>
      <c r="H3502" s="4"/>
      <c r="I3502" s="1" t="s">
        <v>25</v>
      </c>
      <c r="J3502" s="5">
        <v>43606</v>
      </c>
      <c r="K3502" s="6" t="str">
        <f>"4.032,00"</f>
        <v>4.032,00</v>
      </c>
      <c r="L3502" s="6" t="str">
        <f>"1.008,00"</f>
        <v>1.008,00</v>
      </c>
      <c r="M3502" s="6" t="str">
        <f>"5.040,00"</f>
        <v>5.040,00</v>
      </c>
      <c r="N3502" s="1" t="s">
        <v>117</v>
      </c>
      <c r="O3502" s="7"/>
      <c r="P3502" s="6" t="str">
        <f>""</f>
        <v/>
      </c>
      <c r="Q3502" s="7"/>
      <c r="R3502" s="1"/>
      <c r="S3502" s="1" t="str">
        <f>"J-UN-2019-3457"</f>
        <v>J-UN-2019-3457</v>
      </c>
      <c r="T3502" s="2" t="s">
        <v>33</v>
      </c>
    </row>
    <row r="3503" spans="1:20" ht="38.25" x14ac:dyDescent="0.25">
      <c r="A3503" s="1">
        <v>3499</v>
      </c>
      <c r="B3503" s="1" t="str">
        <f>"2019-2305"</f>
        <v>2019-2305</v>
      </c>
      <c r="C3503" s="2" t="s">
        <v>2218</v>
      </c>
      <c r="D3503" s="1" t="s">
        <v>1901</v>
      </c>
      <c r="E3503" s="3" t="str">
        <f>""</f>
        <v/>
      </c>
      <c r="F3503" s="2" t="s">
        <v>1323</v>
      </c>
      <c r="G3503" s="2" t="str">
        <f t="shared" si="299"/>
        <v>LANIŠTE D.O.O., ALEXANDERA VON HUMBOLDTA 4B, 10000 ZAGREB, OIB: 3755384865</v>
      </c>
      <c r="H3503" s="4"/>
      <c r="I3503" s="1" t="s">
        <v>25</v>
      </c>
      <c r="J3503" s="5">
        <v>43606</v>
      </c>
      <c r="K3503" s="6" t="str">
        <f>"3.636,00"</f>
        <v>3.636,00</v>
      </c>
      <c r="L3503" s="6" t="str">
        <f>"909,00"</f>
        <v>909,00</v>
      </c>
      <c r="M3503" s="6" t="str">
        <f>"4.545,00"</f>
        <v>4.545,00</v>
      </c>
      <c r="N3503" s="1" t="s">
        <v>117</v>
      </c>
      <c r="O3503" s="7"/>
      <c r="P3503" s="6" t="str">
        <f>""</f>
        <v/>
      </c>
      <c r="Q3503" s="7"/>
      <c r="R3503" s="1"/>
      <c r="S3503" s="1" t="str">
        <f>"J-UN-2019-3458"</f>
        <v>J-UN-2019-3458</v>
      </c>
      <c r="T3503" s="2" t="s">
        <v>33</v>
      </c>
    </row>
    <row r="3504" spans="1:20" ht="38.25" x14ac:dyDescent="0.25">
      <c r="A3504" s="1">
        <v>3500</v>
      </c>
      <c r="B3504" s="1" t="str">
        <f>"2019-1083"</f>
        <v>2019-1083</v>
      </c>
      <c r="C3504" s="2" t="s">
        <v>2216</v>
      </c>
      <c r="D3504" s="1" t="s">
        <v>2217</v>
      </c>
      <c r="E3504" s="3" t="str">
        <f>""</f>
        <v/>
      </c>
      <c r="F3504" s="2" t="s">
        <v>1323</v>
      </c>
      <c r="G3504" s="2" t="str">
        <f t="shared" si="299"/>
        <v>LANIŠTE D.O.O., ALEXANDERA VON HUMBOLDTA 4B, 10000 ZAGREB, OIB: 3755384865</v>
      </c>
      <c r="H3504" s="4"/>
      <c r="I3504" s="1" t="s">
        <v>25</v>
      </c>
      <c r="J3504" s="5">
        <v>43606</v>
      </c>
      <c r="K3504" s="6" t="str">
        <f>"3.636,00"</f>
        <v>3.636,00</v>
      </c>
      <c r="L3504" s="6" t="str">
        <f>"909,00"</f>
        <v>909,00</v>
      </c>
      <c r="M3504" s="6" t="str">
        <f>"4.545,00"</f>
        <v>4.545,00</v>
      </c>
      <c r="N3504" s="1" t="s">
        <v>117</v>
      </c>
      <c r="O3504" s="7"/>
      <c r="P3504" s="6" t="str">
        <f>""</f>
        <v/>
      </c>
      <c r="Q3504" s="7"/>
      <c r="R3504" s="1"/>
      <c r="S3504" s="1" t="str">
        <f>"J-UN-2019-3459"</f>
        <v>J-UN-2019-3459</v>
      </c>
      <c r="T3504" s="2" t="s">
        <v>33</v>
      </c>
    </row>
    <row r="3505" spans="1:20" ht="38.25" x14ac:dyDescent="0.25">
      <c r="A3505" s="1">
        <v>3501</v>
      </c>
      <c r="B3505" s="1" t="str">
        <f>"2019-1694"</f>
        <v>2019-1694</v>
      </c>
      <c r="C3505" s="2" t="s">
        <v>2214</v>
      </c>
      <c r="D3505" s="1" t="s">
        <v>2215</v>
      </c>
      <c r="E3505" s="3" t="str">
        <f>""</f>
        <v/>
      </c>
      <c r="F3505" s="2" t="s">
        <v>1323</v>
      </c>
      <c r="G3505" s="2" t="str">
        <f t="shared" si="299"/>
        <v>LANIŠTE D.O.O., ALEXANDERA VON HUMBOLDTA 4B, 10000 ZAGREB, OIB: 3755384865</v>
      </c>
      <c r="H3505" s="4"/>
      <c r="I3505" s="1" t="s">
        <v>25</v>
      </c>
      <c r="J3505" s="5">
        <v>43606</v>
      </c>
      <c r="K3505" s="6" t="str">
        <f>"3.632,00"</f>
        <v>3.632,00</v>
      </c>
      <c r="L3505" s="6" t="str">
        <f>"908,00"</f>
        <v>908,00</v>
      </c>
      <c r="M3505" s="6" t="str">
        <f>"4.540,00"</f>
        <v>4.540,00</v>
      </c>
      <c r="N3505" s="1" t="s">
        <v>117</v>
      </c>
      <c r="O3505" s="7"/>
      <c r="P3505" s="6" t="str">
        <f>""</f>
        <v/>
      </c>
      <c r="Q3505" s="7"/>
      <c r="R3505" s="1"/>
      <c r="S3505" s="1" t="str">
        <f>"J-UN-2019-3460"</f>
        <v>J-UN-2019-3460</v>
      </c>
      <c r="T3505" s="2" t="s">
        <v>33</v>
      </c>
    </row>
    <row r="3506" spans="1:20" ht="38.25" x14ac:dyDescent="0.25">
      <c r="A3506" s="1">
        <v>3502</v>
      </c>
      <c r="B3506" s="1" t="str">
        <f>"2019-1229"</f>
        <v>2019-1229</v>
      </c>
      <c r="C3506" s="2" t="s">
        <v>2212</v>
      </c>
      <c r="D3506" s="1" t="s">
        <v>2213</v>
      </c>
      <c r="E3506" s="3" t="str">
        <f>""</f>
        <v/>
      </c>
      <c r="F3506" s="2" t="s">
        <v>1323</v>
      </c>
      <c r="G3506" s="2" t="str">
        <f t="shared" si="299"/>
        <v>LANIŠTE D.O.O., ALEXANDERA VON HUMBOLDTA 4B, 10000 ZAGREB, OIB: 3755384865</v>
      </c>
      <c r="H3506" s="4"/>
      <c r="I3506" s="1" t="s">
        <v>25</v>
      </c>
      <c r="J3506" s="5">
        <v>43606</v>
      </c>
      <c r="K3506" s="6" t="str">
        <f>"4.032,00"</f>
        <v>4.032,00</v>
      </c>
      <c r="L3506" s="6" t="str">
        <f>"1.008,00"</f>
        <v>1.008,00</v>
      </c>
      <c r="M3506" s="6" t="str">
        <f>"5.040,00"</f>
        <v>5.040,00</v>
      </c>
      <c r="N3506" s="1" t="s">
        <v>117</v>
      </c>
      <c r="O3506" s="7"/>
      <c r="P3506" s="6" t="str">
        <f>""</f>
        <v/>
      </c>
      <c r="Q3506" s="7"/>
      <c r="R3506" s="1"/>
      <c r="S3506" s="1" t="str">
        <f>"J-UN-2019-3461"</f>
        <v>J-UN-2019-3461</v>
      </c>
      <c r="T3506" s="2" t="s">
        <v>33</v>
      </c>
    </row>
    <row r="3507" spans="1:20" ht="38.25" x14ac:dyDescent="0.25">
      <c r="A3507" s="1">
        <v>3503</v>
      </c>
      <c r="B3507" s="1" t="str">
        <f>"2019-600"</f>
        <v>2019-600</v>
      </c>
      <c r="C3507" s="2" t="s">
        <v>2210</v>
      </c>
      <c r="D3507" s="1" t="s">
        <v>2211</v>
      </c>
      <c r="E3507" s="3" t="str">
        <f>""</f>
        <v/>
      </c>
      <c r="F3507" s="2" t="s">
        <v>1323</v>
      </c>
      <c r="G3507" s="2" t="str">
        <f t="shared" si="299"/>
        <v>LANIŠTE D.O.O., ALEXANDERA VON HUMBOLDTA 4B, 10000 ZAGREB, OIB: 3755384865</v>
      </c>
      <c r="H3507" s="4"/>
      <c r="I3507" s="1" t="s">
        <v>25</v>
      </c>
      <c r="J3507" s="5">
        <v>43606</v>
      </c>
      <c r="K3507" s="6" t="str">
        <f>"4.032,00"</f>
        <v>4.032,00</v>
      </c>
      <c r="L3507" s="6" t="str">
        <f>"1.008,00"</f>
        <v>1.008,00</v>
      </c>
      <c r="M3507" s="6" t="str">
        <f>"5.040,00"</f>
        <v>5.040,00</v>
      </c>
      <c r="N3507" s="1" t="s">
        <v>117</v>
      </c>
      <c r="O3507" s="7"/>
      <c r="P3507" s="6" t="str">
        <f>""</f>
        <v/>
      </c>
      <c r="Q3507" s="7"/>
      <c r="R3507" s="1"/>
      <c r="S3507" s="1" t="str">
        <f>"J-UN-2019-3462"</f>
        <v>J-UN-2019-3462</v>
      </c>
      <c r="T3507" s="2" t="s">
        <v>33</v>
      </c>
    </row>
    <row r="3508" spans="1:20" ht="38.25" x14ac:dyDescent="0.25">
      <c r="A3508" s="1">
        <v>3504</v>
      </c>
      <c r="B3508" s="1" t="str">
        <f>"2019-2151"</f>
        <v>2019-2151</v>
      </c>
      <c r="C3508" s="2" t="s">
        <v>2219</v>
      </c>
      <c r="D3508" s="1" t="s">
        <v>2211</v>
      </c>
      <c r="E3508" s="3" t="str">
        <f>""</f>
        <v/>
      </c>
      <c r="F3508" s="2" t="s">
        <v>1323</v>
      </c>
      <c r="G3508" s="2" t="str">
        <f t="shared" si="299"/>
        <v>LANIŠTE D.O.O., ALEXANDERA VON HUMBOLDTA 4B, 10000 ZAGREB, OIB: 3755384865</v>
      </c>
      <c r="H3508" s="4"/>
      <c r="I3508" s="1" t="s">
        <v>25</v>
      </c>
      <c r="J3508" s="5">
        <v>43606</v>
      </c>
      <c r="K3508" s="6" t="str">
        <f>"4.032,00"</f>
        <v>4.032,00</v>
      </c>
      <c r="L3508" s="6" t="str">
        <f>"1.008,00"</f>
        <v>1.008,00</v>
      </c>
      <c r="M3508" s="6" t="str">
        <f>"5.040,00"</f>
        <v>5.040,00</v>
      </c>
      <c r="N3508" s="1" t="s">
        <v>117</v>
      </c>
      <c r="O3508" s="7"/>
      <c r="P3508" s="6" t="str">
        <f>""</f>
        <v/>
      </c>
      <c r="Q3508" s="7"/>
      <c r="R3508" s="1"/>
      <c r="S3508" s="1" t="str">
        <f>"J-UN-2019-3463"</f>
        <v>J-UN-2019-3463</v>
      </c>
      <c r="T3508" s="2" t="s">
        <v>33</v>
      </c>
    </row>
    <row r="3509" spans="1:20" ht="38.25" x14ac:dyDescent="0.25">
      <c r="A3509" s="1">
        <v>3505</v>
      </c>
      <c r="B3509" s="1" t="str">
        <f>"2019-2305"</f>
        <v>2019-2305</v>
      </c>
      <c r="C3509" s="2" t="s">
        <v>2218</v>
      </c>
      <c r="D3509" s="1" t="s">
        <v>1901</v>
      </c>
      <c r="E3509" s="3" t="str">
        <f>""</f>
        <v/>
      </c>
      <c r="F3509" s="2" t="s">
        <v>1323</v>
      </c>
      <c r="G3509" s="2" t="str">
        <f t="shared" si="299"/>
        <v>LANIŠTE D.O.O., ALEXANDERA VON HUMBOLDTA 4B, 10000 ZAGREB, OIB: 3755384865</v>
      </c>
      <c r="H3509" s="4"/>
      <c r="I3509" s="1" t="s">
        <v>2225</v>
      </c>
      <c r="J3509" s="5">
        <v>43606</v>
      </c>
      <c r="K3509" s="6" t="str">
        <f>"3.636,00"</f>
        <v>3.636,00</v>
      </c>
      <c r="L3509" s="6" t="str">
        <f>"909,00"</f>
        <v>909,00</v>
      </c>
      <c r="M3509" s="6" t="str">
        <f>"4.545,00"</f>
        <v>4.545,00</v>
      </c>
      <c r="N3509" s="1" t="s">
        <v>117</v>
      </c>
      <c r="O3509" s="7"/>
      <c r="P3509" s="6" t="str">
        <f>""</f>
        <v/>
      </c>
      <c r="Q3509" s="7"/>
      <c r="R3509" s="1"/>
      <c r="S3509" s="1" t="str">
        <f>"J-UN-2019-3464"</f>
        <v>J-UN-2019-3464</v>
      </c>
      <c r="T3509" s="2" t="s">
        <v>33</v>
      </c>
    </row>
    <row r="3510" spans="1:20" ht="25.5" x14ac:dyDescent="0.25">
      <c r="A3510" s="1">
        <v>3506</v>
      </c>
      <c r="B3510" s="1" t="str">
        <f>"2019-169"</f>
        <v>2019-169</v>
      </c>
      <c r="C3510" s="2" t="s">
        <v>2226</v>
      </c>
      <c r="D3510" s="1" t="s">
        <v>235</v>
      </c>
      <c r="E3510" s="3" t="str">
        <f>""</f>
        <v/>
      </c>
      <c r="F3510" s="2" t="s">
        <v>1323</v>
      </c>
      <c r="G3510" s="2" t="str">
        <f>CONCATENATE("SCHEDA D.O.O.,"," LJUDEVITA POSAVSKOG 29,"," 10360 SESVETE,"," OIB: 76219817247")</f>
        <v>SCHEDA D.O.O., LJUDEVITA POSAVSKOG 29, 10360 SESVETE, OIB: 76219817247</v>
      </c>
      <c r="H3510" s="4"/>
      <c r="I3510" s="1" t="s">
        <v>320</v>
      </c>
      <c r="J3510" s="5">
        <v>43620</v>
      </c>
      <c r="K3510" s="6" t="str">
        <f>"9.448,60"</f>
        <v>9.448,60</v>
      </c>
      <c r="L3510" s="6" t="str">
        <f>"2.362,15"</f>
        <v>2.362,15</v>
      </c>
      <c r="M3510" s="6" t="str">
        <f>"11.810,75"</f>
        <v>11.810,75</v>
      </c>
      <c r="N3510" s="5">
        <v>43677</v>
      </c>
      <c r="O3510" s="7"/>
      <c r="P3510" s="6" t="str">
        <f>"11.810,75"</f>
        <v>11.810,75</v>
      </c>
      <c r="Q3510" s="7"/>
      <c r="R3510" s="1"/>
      <c r="S3510" s="1" t="str">
        <f>"J-UN-2019-3491"</f>
        <v>J-UN-2019-3491</v>
      </c>
      <c r="T3510" s="2" t="s">
        <v>33</v>
      </c>
    </row>
    <row r="3511" spans="1:20" ht="38.25" x14ac:dyDescent="0.25">
      <c r="A3511" s="1">
        <v>3507</v>
      </c>
      <c r="B3511" s="1" t="str">
        <f>"2019-13"</f>
        <v>2019-13</v>
      </c>
      <c r="C3511" s="2" t="s">
        <v>2146</v>
      </c>
      <c r="D3511" s="1" t="s">
        <v>2147</v>
      </c>
      <c r="E3511" s="3" t="str">
        <f>""</f>
        <v/>
      </c>
      <c r="F3511" s="2" t="s">
        <v>1323</v>
      </c>
      <c r="G3511" s="2" t="str">
        <f>CONCATENATE("ADRIALIFT D.O.O.,"," BRAĆE BAĆIĆA 36,"," 51000 RIJEKA,"," OIB: 36856415212")</f>
        <v>ADRIALIFT D.O.O., BRAĆE BAĆIĆA 36, 51000 RIJEKA, OIB: 36856415212</v>
      </c>
      <c r="H3511" s="4"/>
      <c r="I3511" s="1" t="s">
        <v>361</v>
      </c>
      <c r="J3511" s="5">
        <v>43608</v>
      </c>
      <c r="K3511" s="6" t="str">
        <f>"1.250,00"</f>
        <v>1.250,00</v>
      </c>
      <c r="L3511" s="6" t="str">
        <f>"312,50"</f>
        <v>312,50</v>
      </c>
      <c r="M3511" s="6" t="str">
        <f>"1.562,50"</f>
        <v>1.562,50</v>
      </c>
      <c r="N3511" s="1" t="s">
        <v>117</v>
      </c>
      <c r="O3511" s="7"/>
      <c r="P3511" s="6" t="str">
        <f>""</f>
        <v/>
      </c>
      <c r="Q3511" s="7"/>
      <c r="R3511" s="1"/>
      <c r="S3511" s="1" t="str">
        <f>"J-UN-2019-3492"</f>
        <v>J-UN-2019-3492</v>
      </c>
      <c r="T3511" s="2" t="s">
        <v>33</v>
      </c>
    </row>
    <row r="3512" spans="1:20" ht="38.25" x14ac:dyDescent="0.25">
      <c r="A3512" s="1">
        <v>3508</v>
      </c>
      <c r="B3512" s="1" t="str">
        <f>"2019-1340"</f>
        <v>2019-1340</v>
      </c>
      <c r="C3512" s="2" t="s">
        <v>2227</v>
      </c>
      <c r="D3512" s="1" t="s">
        <v>1266</v>
      </c>
      <c r="E3512" s="3" t="str">
        <f>""</f>
        <v/>
      </c>
      <c r="F3512" s="2" t="s">
        <v>1323</v>
      </c>
      <c r="G3512" s="2" t="str">
        <f>CONCATENATE("DRÄGER SAFETY D.O.O.,"," AVENIJA VEĆESLAVA HOLJEVCA 40,"," 10010 ZAGREB,"," OIB: 32874587842")</f>
        <v>DRÄGER SAFETY D.O.O., AVENIJA VEĆESLAVA HOLJEVCA 40, 10010 ZAGREB, OIB: 32874587842</v>
      </c>
      <c r="H3512" s="4"/>
      <c r="I3512" s="1" t="s">
        <v>361</v>
      </c>
      <c r="J3512" s="5">
        <v>43608</v>
      </c>
      <c r="K3512" s="6" t="str">
        <f>"1.051,26"</f>
        <v>1.051,26</v>
      </c>
      <c r="L3512" s="6" t="str">
        <f>"262,82"</f>
        <v>262,82</v>
      </c>
      <c r="M3512" s="6" t="str">
        <f>"1.314,08"</f>
        <v>1.314,08</v>
      </c>
      <c r="N3512" s="5">
        <v>43630</v>
      </c>
      <c r="O3512" s="7"/>
      <c r="P3512" s="6" t="str">
        <f>"1.314,08"</f>
        <v>1.314,08</v>
      </c>
      <c r="Q3512" s="7"/>
      <c r="R3512" s="1"/>
      <c r="S3512" s="1" t="str">
        <f>"J-UN-2019-3494"</f>
        <v>J-UN-2019-3494</v>
      </c>
      <c r="T3512" s="2" t="s">
        <v>33</v>
      </c>
    </row>
    <row r="3513" spans="1:20" ht="25.5" x14ac:dyDescent="0.25">
      <c r="A3513" s="1">
        <v>3509</v>
      </c>
      <c r="B3513" s="1" t="str">
        <f>"2019-1583"</f>
        <v>2019-1583</v>
      </c>
      <c r="C3513" s="2" t="s">
        <v>2201</v>
      </c>
      <c r="D3513" s="1" t="s">
        <v>2202</v>
      </c>
      <c r="E3513" s="3" t="str">
        <f>""</f>
        <v/>
      </c>
      <c r="F3513" s="2" t="s">
        <v>1323</v>
      </c>
      <c r="G3513" s="2" t="str">
        <f>CONCATENATE("DEBENC PLUS D. O. O.,"," OSJEČKA 39,"," 51000 RIJEKA,"," OIB: 82510351433")</f>
        <v>DEBENC PLUS D. O. O., OSJEČKA 39, 51000 RIJEKA, OIB: 82510351433</v>
      </c>
      <c r="H3513" s="4"/>
      <c r="I3513" s="1" t="s">
        <v>361</v>
      </c>
      <c r="J3513" s="5">
        <v>43608</v>
      </c>
      <c r="K3513" s="6" t="str">
        <f>"15.534,70"</f>
        <v>15.534,70</v>
      </c>
      <c r="L3513" s="6" t="str">
        <f>"3.883,68"</f>
        <v>3.883,68</v>
      </c>
      <c r="M3513" s="6" t="str">
        <f>"19.418,38"</f>
        <v>19.418,38</v>
      </c>
      <c r="N3513" s="5">
        <v>43620</v>
      </c>
      <c r="O3513" s="7"/>
      <c r="P3513" s="6" t="str">
        <f>"19.418,38"</f>
        <v>19.418,38</v>
      </c>
      <c r="Q3513" s="7"/>
      <c r="R3513" s="1"/>
      <c r="S3513" s="1" t="str">
        <f>"J-UN-2019-3495"</f>
        <v>J-UN-2019-3495</v>
      </c>
      <c r="T3513" s="2" t="s">
        <v>33</v>
      </c>
    </row>
    <row r="3514" spans="1:20" ht="38.25" x14ac:dyDescent="0.25">
      <c r="A3514" s="1">
        <v>3510</v>
      </c>
      <c r="B3514" s="1" t="str">
        <f>"2019-482"</f>
        <v>2019-482</v>
      </c>
      <c r="C3514" s="2" t="s">
        <v>2228</v>
      </c>
      <c r="D3514" s="1" t="s">
        <v>2229</v>
      </c>
      <c r="E3514" s="3" t="str">
        <f>""</f>
        <v/>
      </c>
      <c r="F3514" s="2" t="s">
        <v>1323</v>
      </c>
      <c r="G3514" s="2" t="str">
        <f>CONCATENATE("NOVAKOVIĆ SUSTAVI J.D.O.O,"," KRALJA TOMISLAVA 12,"," 10312 KLOŠTAR IVANIĆ,"," OIB: 3052135173")</f>
        <v>NOVAKOVIĆ SUSTAVI J.D.O.O, KRALJA TOMISLAVA 12, 10312 KLOŠTAR IVANIĆ, OIB: 3052135173</v>
      </c>
      <c r="H3514" s="4"/>
      <c r="I3514" s="1" t="s">
        <v>361</v>
      </c>
      <c r="J3514" s="5">
        <v>43608</v>
      </c>
      <c r="K3514" s="6" t="str">
        <f>"4.425,00"</f>
        <v>4.425,00</v>
      </c>
      <c r="L3514" s="6" t="str">
        <f>"1.106,25"</f>
        <v>1.106,25</v>
      </c>
      <c r="M3514" s="6" t="str">
        <f>"5.531,25"</f>
        <v>5.531,25</v>
      </c>
      <c r="N3514" s="5">
        <v>43622</v>
      </c>
      <c r="O3514" s="7"/>
      <c r="P3514" s="6" t="str">
        <f>"5.531,25"</f>
        <v>5.531,25</v>
      </c>
      <c r="Q3514" s="7"/>
      <c r="R3514" s="1"/>
      <c r="S3514" s="1" t="str">
        <f>"J-UN-2019-3496"</f>
        <v>J-UN-2019-3496</v>
      </c>
      <c r="T3514" s="2" t="s">
        <v>33</v>
      </c>
    </row>
    <row r="3515" spans="1:20" ht="25.5" x14ac:dyDescent="0.25">
      <c r="A3515" s="1">
        <v>3511</v>
      </c>
      <c r="B3515" s="1" t="str">
        <f>"2019-513"</f>
        <v>2019-513</v>
      </c>
      <c r="C3515" s="2" t="s">
        <v>2230</v>
      </c>
      <c r="D3515" s="1" t="s">
        <v>2231</v>
      </c>
      <c r="E3515" s="3" t="str">
        <f>""</f>
        <v/>
      </c>
      <c r="F3515" s="2" t="s">
        <v>1323</v>
      </c>
      <c r="G3515" s="2" t="str">
        <f>CONCATENATE("VERLAG DASHOFER,"," DRAŠKOVIĆEVA 49,"," 10000 ZAGREB,"," OIB: 92176483054")</f>
        <v>VERLAG DASHOFER, DRAŠKOVIĆEVA 49, 10000 ZAGREB, OIB: 92176483054</v>
      </c>
      <c r="H3515" s="4"/>
      <c r="I3515" s="1" t="s">
        <v>361</v>
      </c>
      <c r="J3515" s="5">
        <v>43608</v>
      </c>
      <c r="K3515" s="6" t="str">
        <f>"1.890,00"</f>
        <v>1.890,00</v>
      </c>
      <c r="L3515" s="6" t="str">
        <f>"472,50"</f>
        <v>472,50</v>
      </c>
      <c r="M3515" s="6" t="str">
        <f>"2.362,50"</f>
        <v>2.362,50</v>
      </c>
      <c r="N3515" s="5">
        <v>43616</v>
      </c>
      <c r="O3515" s="7"/>
      <c r="P3515" s="6" t="str">
        <f>"2.362,50"</f>
        <v>2.362,50</v>
      </c>
      <c r="Q3515" s="7"/>
      <c r="R3515" s="1"/>
      <c r="S3515" s="1" t="str">
        <f>"J-UN-2019-3497"</f>
        <v>J-UN-2019-3497</v>
      </c>
      <c r="T3515" s="2" t="s">
        <v>33</v>
      </c>
    </row>
    <row r="3516" spans="1:20" ht="25.5" x14ac:dyDescent="0.25">
      <c r="A3516" s="1">
        <v>3512</v>
      </c>
      <c r="B3516" s="1" t="str">
        <f>"2019-672"</f>
        <v>2019-672</v>
      </c>
      <c r="C3516" s="2" t="s">
        <v>2232</v>
      </c>
      <c r="D3516" s="1" t="s">
        <v>1561</v>
      </c>
      <c r="E3516" s="3" t="str">
        <f>""</f>
        <v/>
      </c>
      <c r="F3516" s="2" t="s">
        <v>1323</v>
      </c>
      <c r="G3516" s="2" t="str">
        <f>CONCATENATE("MAN-EKO D.O.O.,"," BRAĆE CVIJIĆA 17,"," 10000 ZAGREB,"," OIB: 708190967")</f>
        <v>MAN-EKO D.O.O., BRAĆE CVIJIĆA 17, 10000 ZAGREB, OIB: 708190967</v>
      </c>
      <c r="H3516" s="4"/>
      <c r="I3516" s="1" t="s">
        <v>642</v>
      </c>
      <c r="J3516" s="5">
        <v>43615</v>
      </c>
      <c r="K3516" s="6" t="str">
        <f>"2.820,00"</f>
        <v>2.820,00</v>
      </c>
      <c r="L3516" s="6" t="str">
        <f>"705,00"</f>
        <v>705,00</v>
      </c>
      <c r="M3516" s="6" t="str">
        <f>"3.525,00"</f>
        <v>3.525,00</v>
      </c>
      <c r="N3516" s="5">
        <v>43628</v>
      </c>
      <c r="O3516" s="7"/>
      <c r="P3516" s="6" t="str">
        <f>"3.525,00"</f>
        <v>3.525,00</v>
      </c>
      <c r="Q3516" s="7"/>
      <c r="R3516" s="1"/>
      <c r="S3516" s="1" t="str">
        <f>"J-UN-2019-3498"</f>
        <v>J-UN-2019-3498</v>
      </c>
      <c r="T3516" s="2" t="s">
        <v>33</v>
      </c>
    </row>
    <row r="3517" spans="1:20" ht="25.5" x14ac:dyDescent="0.25">
      <c r="A3517" s="1">
        <v>3513</v>
      </c>
      <c r="B3517" s="1" t="str">
        <f>"2019-1558"</f>
        <v>2019-1558</v>
      </c>
      <c r="C3517" s="2" t="s">
        <v>2233</v>
      </c>
      <c r="D3517" s="1" t="s">
        <v>2234</v>
      </c>
      <c r="E3517" s="3" t="str">
        <f>""</f>
        <v/>
      </c>
      <c r="F3517" s="2" t="s">
        <v>1323</v>
      </c>
      <c r="G3517" s="2" t="str">
        <f>CONCATENATE("TOP TEAM PLUS D.O.O.,"," HRASTOVIČKA 19,"," 10250 LUČKO,"," OIB: 39314954298")</f>
        <v>TOP TEAM PLUS D.O.O., HRASTOVIČKA 19, 10250 LUČKO, OIB: 39314954298</v>
      </c>
      <c r="H3517" s="4"/>
      <c r="I3517" s="1" t="s">
        <v>642</v>
      </c>
      <c r="J3517" s="5">
        <v>43615</v>
      </c>
      <c r="K3517" s="6" t="str">
        <f>"8.100,00"</f>
        <v>8.100,00</v>
      </c>
      <c r="L3517" s="6" t="str">
        <f>"2.025,00"</f>
        <v>2.025,00</v>
      </c>
      <c r="M3517" s="6" t="str">
        <f>"10.125,00"</f>
        <v>10.125,00</v>
      </c>
      <c r="N3517" s="5">
        <v>43623</v>
      </c>
      <c r="O3517" s="7"/>
      <c r="P3517" s="6" t="str">
        <f>"9.787,50"</f>
        <v>9.787,50</v>
      </c>
      <c r="Q3517" s="7"/>
      <c r="R3517" s="1"/>
      <c r="S3517" s="1" t="str">
        <f>"J-UN-2019-3499"</f>
        <v>J-UN-2019-3499</v>
      </c>
      <c r="T3517" s="2" t="s">
        <v>33</v>
      </c>
    </row>
    <row r="3518" spans="1:20" ht="25.5" x14ac:dyDescent="0.25">
      <c r="A3518" s="1">
        <v>3514</v>
      </c>
      <c r="B3518" s="1" t="str">
        <f>"2019-390"</f>
        <v>2019-390</v>
      </c>
      <c r="C3518" s="2" t="s">
        <v>2235</v>
      </c>
      <c r="D3518" s="1" t="s">
        <v>2236</v>
      </c>
      <c r="E3518" s="3" t="str">
        <f>""</f>
        <v/>
      </c>
      <c r="F3518" s="2" t="s">
        <v>1323</v>
      </c>
      <c r="G3518" s="2" t="str">
        <f>CONCATENATE("NIACO D.O.O.,"," IVANA KAMENARIĆA 9,"," 10380 SVETI IVAN ZELINA,"," OIB: 61876916009")</f>
        <v>NIACO D.O.O., IVANA KAMENARIĆA 9, 10380 SVETI IVAN ZELINA, OIB: 61876916009</v>
      </c>
      <c r="H3518" s="4"/>
      <c r="I3518" s="1" t="s">
        <v>642</v>
      </c>
      <c r="J3518" s="5">
        <v>43615</v>
      </c>
      <c r="K3518" s="6" t="str">
        <f>"3.890,00"</f>
        <v>3.890,00</v>
      </c>
      <c r="L3518" s="6" t="str">
        <f>"972,50"</f>
        <v>972,50</v>
      </c>
      <c r="M3518" s="6" t="str">
        <f>"4.862,50"</f>
        <v>4.862,50</v>
      </c>
      <c r="N3518" s="5">
        <v>43634</v>
      </c>
      <c r="O3518" s="7"/>
      <c r="P3518" s="6" t="str">
        <f>"4.862,50"</f>
        <v>4.862,50</v>
      </c>
      <c r="Q3518" s="7"/>
      <c r="R3518" s="1"/>
      <c r="S3518" s="1" t="str">
        <f>"J-UN-2019-3500"</f>
        <v>J-UN-2019-3500</v>
      </c>
      <c r="T3518" s="2" t="s">
        <v>33</v>
      </c>
    </row>
    <row r="3519" spans="1:20" ht="25.5" x14ac:dyDescent="0.25">
      <c r="A3519" s="1">
        <v>3515</v>
      </c>
      <c r="B3519" s="1" t="str">
        <f>"2019-1418"</f>
        <v>2019-1418</v>
      </c>
      <c r="C3519" s="2" t="s">
        <v>1998</v>
      </c>
      <c r="D3519" s="1" t="s">
        <v>192</v>
      </c>
      <c r="E3519" s="3" t="str">
        <f>""</f>
        <v/>
      </c>
      <c r="F3519" s="2" t="s">
        <v>1323</v>
      </c>
      <c r="G3519" s="2" t="str">
        <f>CONCATENATE("SAFIR D.O.O.,"," HORVAĆANSKA 17,"," 10000 ZAGREB,"," OIB: 33548604975")</f>
        <v>SAFIR D.O.O., HORVAĆANSKA 17, 10000 ZAGREB, OIB: 33548604975</v>
      </c>
      <c r="H3519" s="4"/>
      <c r="I3519" s="1" t="s">
        <v>435</v>
      </c>
      <c r="J3519" s="5">
        <v>43614</v>
      </c>
      <c r="K3519" s="6" t="str">
        <f>"43.344,00"</f>
        <v>43.344,00</v>
      </c>
      <c r="L3519" s="6" t="str">
        <f>"10.836,00"</f>
        <v>10.836,00</v>
      </c>
      <c r="M3519" s="6" t="str">
        <f>"54.180,00"</f>
        <v>54.180,00</v>
      </c>
      <c r="N3519" s="5">
        <v>43628</v>
      </c>
      <c r="O3519" s="7"/>
      <c r="P3519" s="6" t="str">
        <f>"54.180,00"</f>
        <v>54.180,00</v>
      </c>
      <c r="Q3519" s="7"/>
      <c r="R3519" s="1"/>
      <c r="S3519" s="1" t="str">
        <f>"J-UN-2019-3502"</f>
        <v>J-UN-2019-3502</v>
      </c>
      <c r="T3519" s="2" t="s">
        <v>33</v>
      </c>
    </row>
    <row r="3520" spans="1:20" ht="25.5" x14ac:dyDescent="0.25">
      <c r="A3520" s="1">
        <v>3516</v>
      </c>
      <c r="B3520" s="1" t="str">
        <f>"2019-1272"</f>
        <v>2019-1272</v>
      </c>
      <c r="C3520" s="2" t="s">
        <v>2237</v>
      </c>
      <c r="D3520" s="1" t="s">
        <v>2238</v>
      </c>
      <c r="E3520" s="3" t="str">
        <f>""</f>
        <v/>
      </c>
      <c r="F3520" s="2" t="s">
        <v>1323</v>
      </c>
      <c r="G3520" s="2" t="str">
        <f>CONCATENATE("GLOBALDIZAJN D.O.O.,"," BUZIN,"," BANI 75,"," 10000 ZAGREB,"," OIB: 2562731408")</f>
        <v>GLOBALDIZAJN D.O.O., BUZIN, BANI 75, 10000 ZAGREB, OIB: 2562731408</v>
      </c>
      <c r="H3520" s="4"/>
      <c r="I3520" s="1" t="s">
        <v>435</v>
      </c>
      <c r="J3520" s="5">
        <v>43614</v>
      </c>
      <c r="K3520" s="6" t="str">
        <f>"9.240,00"</f>
        <v>9.240,00</v>
      </c>
      <c r="L3520" s="6" t="str">
        <f>"2.310,00"</f>
        <v>2.310,00</v>
      </c>
      <c r="M3520" s="6" t="str">
        <f>"11.550,00"</f>
        <v>11.550,00</v>
      </c>
      <c r="N3520" s="5">
        <v>43614</v>
      </c>
      <c r="O3520" s="7"/>
      <c r="P3520" s="6" t="str">
        <f>"11.550,00"</f>
        <v>11.550,00</v>
      </c>
      <c r="Q3520" s="7"/>
      <c r="R3520" s="1"/>
      <c r="S3520" s="1" t="str">
        <f>"J-UN-2019-3503"</f>
        <v>J-UN-2019-3503</v>
      </c>
      <c r="T3520" s="2" t="s">
        <v>33</v>
      </c>
    </row>
    <row r="3521" spans="1:20" ht="25.5" x14ac:dyDescent="0.25">
      <c r="A3521" s="1">
        <v>3517</v>
      </c>
      <c r="B3521" s="1" t="str">
        <f>"2019-572"</f>
        <v>2019-572</v>
      </c>
      <c r="C3521" s="2" t="s">
        <v>2239</v>
      </c>
      <c r="D3521" s="1" t="s">
        <v>823</v>
      </c>
      <c r="E3521" s="3" t="str">
        <f>""</f>
        <v/>
      </c>
      <c r="F3521" s="2" t="s">
        <v>1323</v>
      </c>
      <c r="G3521" s="2" t="str">
        <f>CONCATENATE("URIHO - ZAGREB,"," AVENIJA MARINA DRŽIĆA 1,"," 10000 ZAGREB,"," OIB: 77931216562")</f>
        <v>URIHO - ZAGREB, AVENIJA MARINA DRŽIĆA 1, 10000 ZAGREB, OIB: 77931216562</v>
      </c>
      <c r="H3521" s="4"/>
      <c r="I3521" s="1" t="s">
        <v>642</v>
      </c>
      <c r="J3521" s="5">
        <v>43615</v>
      </c>
      <c r="K3521" s="6" t="str">
        <f>"2.472,00"</f>
        <v>2.472,00</v>
      </c>
      <c r="L3521" s="6" t="str">
        <f>"618,00"</f>
        <v>618,00</v>
      </c>
      <c r="M3521" s="6" t="str">
        <f>"3.090,00"</f>
        <v>3.090,00</v>
      </c>
      <c r="N3521" s="5">
        <v>43644</v>
      </c>
      <c r="O3521" s="7"/>
      <c r="P3521" s="6" t="str">
        <f>"3.090,00"</f>
        <v>3.090,00</v>
      </c>
      <c r="Q3521" s="7"/>
      <c r="R3521" s="1"/>
      <c r="S3521" s="1" t="str">
        <f>"J-UN-2019-3504"</f>
        <v>J-UN-2019-3504</v>
      </c>
      <c r="T3521" s="2" t="s">
        <v>33</v>
      </c>
    </row>
    <row r="3522" spans="1:20" ht="38.25" x14ac:dyDescent="0.25">
      <c r="A3522" s="1">
        <v>3518</v>
      </c>
      <c r="B3522" s="1" t="str">
        <f>"2019-84"</f>
        <v>2019-84</v>
      </c>
      <c r="C3522" s="2" t="s">
        <v>2240</v>
      </c>
      <c r="D3522" s="1" t="s">
        <v>1419</v>
      </c>
      <c r="E3522" s="3" t="str">
        <f>""</f>
        <v/>
      </c>
      <c r="F3522" s="2" t="s">
        <v>1323</v>
      </c>
      <c r="G3522" s="2" t="str">
        <f>CONCATENATE("MAN IMPORTER HRVATSKA D.O.O.,"," ZASTAVNICE 25C,"," 10251 HRVATSKI LESKOVAC,"," OIB: 07719493783")</f>
        <v>MAN IMPORTER HRVATSKA D.O.O., ZASTAVNICE 25C, 10251 HRVATSKI LESKOVAC, OIB: 07719493783</v>
      </c>
      <c r="H3522" s="4"/>
      <c r="I3522" s="1" t="s">
        <v>361</v>
      </c>
      <c r="J3522" s="5">
        <v>43608</v>
      </c>
      <c r="K3522" s="6" t="str">
        <f>"24.928,00"</f>
        <v>24.928,00</v>
      </c>
      <c r="L3522" s="6" t="str">
        <f>"6.232,00"</f>
        <v>6.232,00</v>
      </c>
      <c r="M3522" s="6" t="str">
        <f>"31.160,00"</f>
        <v>31.160,00</v>
      </c>
      <c r="N3522" s="5">
        <v>43619</v>
      </c>
      <c r="O3522" s="7"/>
      <c r="P3522" s="6" t="str">
        <f>"31.160,00"</f>
        <v>31.160,00</v>
      </c>
      <c r="Q3522" s="7"/>
      <c r="R3522" s="1"/>
      <c r="S3522" s="1" t="str">
        <f>"J-UN-2019-3506"</f>
        <v>J-UN-2019-3506</v>
      </c>
      <c r="T3522" s="2" t="s">
        <v>33</v>
      </c>
    </row>
    <row r="3523" spans="1:20" ht="38.25" x14ac:dyDescent="0.25">
      <c r="A3523" s="1">
        <v>3519</v>
      </c>
      <c r="B3523" s="1" t="str">
        <f>"2019-177"</f>
        <v>2019-177</v>
      </c>
      <c r="C3523" s="2" t="s">
        <v>2241</v>
      </c>
      <c r="D3523" s="1" t="s">
        <v>1419</v>
      </c>
      <c r="E3523" s="3" t="str">
        <f>""</f>
        <v/>
      </c>
      <c r="F3523" s="2" t="s">
        <v>1323</v>
      </c>
      <c r="G3523" s="2" t="str">
        <f>CONCATENATE("MAN IMPORTER HRVATSKA D.O.O.,"," ZASTAVNICE 25C,"," 10251 HRVATSKI LESKOVAC,"," OIB: 07719493783")</f>
        <v>MAN IMPORTER HRVATSKA D.O.O., ZASTAVNICE 25C, 10251 HRVATSKI LESKOVAC, OIB: 07719493783</v>
      </c>
      <c r="H3523" s="4"/>
      <c r="I3523" s="1" t="s">
        <v>361</v>
      </c>
      <c r="J3523" s="5">
        <v>43608</v>
      </c>
      <c r="K3523" s="6" t="str">
        <f>"15.100,00"</f>
        <v>15.100,00</v>
      </c>
      <c r="L3523" s="6" t="str">
        <f>"3.775,00"</f>
        <v>3.775,00</v>
      </c>
      <c r="M3523" s="6" t="str">
        <f>"18.875,00"</f>
        <v>18.875,00</v>
      </c>
      <c r="N3523" s="5">
        <v>43703</v>
      </c>
      <c r="O3523" s="7"/>
      <c r="P3523" s="6" t="str">
        <f>"6.462,80"</f>
        <v>6.462,80</v>
      </c>
      <c r="Q3523" s="7"/>
      <c r="R3523" s="1"/>
      <c r="S3523" s="1" t="str">
        <f>"J-UN-2019-3507"</f>
        <v>J-UN-2019-3507</v>
      </c>
      <c r="T3523" s="2" t="s">
        <v>33</v>
      </c>
    </row>
    <row r="3524" spans="1:20" ht="25.5" x14ac:dyDescent="0.25">
      <c r="A3524" s="1">
        <v>3520</v>
      </c>
      <c r="B3524" s="1" t="str">
        <f>"2019-2020"</f>
        <v>2019-2020</v>
      </c>
      <c r="C3524" s="2" t="s">
        <v>2242</v>
      </c>
      <c r="D3524" s="1" t="s">
        <v>2243</v>
      </c>
      <c r="E3524" s="3" t="str">
        <f>""</f>
        <v/>
      </c>
      <c r="F3524" s="2" t="s">
        <v>1323</v>
      </c>
      <c r="G3524" s="2" t="str">
        <f>CONCATENATE("POLJOOPSKRBA-TEHNO D.D.,"," SAMOBORSKA 96,"," 10000 ZAGREB,"," OIB: 5372167324")</f>
        <v>POLJOOPSKRBA-TEHNO D.D., SAMOBORSKA 96, 10000 ZAGREB, OIB: 5372167324</v>
      </c>
      <c r="H3524" s="4"/>
      <c r="I3524" s="1" t="s">
        <v>642</v>
      </c>
      <c r="J3524" s="5">
        <v>43615</v>
      </c>
      <c r="K3524" s="6" t="str">
        <f>"720,00"</f>
        <v>720,00</v>
      </c>
      <c r="L3524" s="6" t="str">
        <f>"180,00"</f>
        <v>180,00</v>
      </c>
      <c r="M3524" s="6" t="str">
        <f>"900,00"</f>
        <v>900,00</v>
      </c>
      <c r="N3524" s="5">
        <v>43626</v>
      </c>
      <c r="O3524" s="7"/>
      <c r="P3524" s="6" t="str">
        <f>"900,00"</f>
        <v>900,00</v>
      </c>
      <c r="Q3524" s="7"/>
      <c r="R3524" s="1"/>
      <c r="S3524" s="1" t="str">
        <f>"J-UN-2019-3508"</f>
        <v>J-UN-2019-3508</v>
      </c>
      <c r="T3524" s="2" t="s">
        <v>33</v>
      </c>
    </row>
    <row r="3525" spans="1:20" ht="38.25" x14ac:dyDescent="0.25">
      <c r="A3525" s="1">
        <v>3521</v>
      </c>
      <c r="B3525" s="1" t="str">
        <f>"2019-2183"</f>
        <v>2019-2183</v>
      </c>
      <c r="C3525" s="2" t="s">
        <v>2244</v>
      </c>
      <c r="D3525" s="1" t="s">
        <v>1905</v>
      </c>
      <c r="E3525" s="3" t="str">
        <f>""</f>
        <v/>
      </c>
      <c r="F3525" s="2" t="s">
        <v>1323</v>
      </c>
      <c r="G3525" s="2" t="str">
        <f>CONCATENATE("ADRIA NORMA D.O.O.,"," VUKOVARSKA 284D,"," 10000 ZAGREB,"," OIB: 80109305109")</f>
        <v>ADRIA NORMA D.O.O., VUKOVARSKA 284D, 10000 ZAGREB, OIB: 80109305109</v>
      </c>
      <c r="H3525" s="4"/>
      <c r="I3525" s="1" t="s">
        <v>361</v>
      </c>
      <c r="J3525" s="5">
        <v>43608</v>
      </c>
      <c r="K3525" s="6" t="str">
        <f>"18.000,00"</f>
        <v>18.000,00</v>
      </c>
      <c r="L3525" s="6" t="str">
        <f>"4.500,00"</f>
        <v>4.500,00</v>
      </c>
      <c r="M3525" s="6" t="str">
        <f>"22.500,00"</f>
        <v>22.500,00</v>
      </c>
      <c r="N3525" s="5">
        <v>43630</v>
      </c>
      <c r="O3525" s="7"/>
      <c r="P3525" s="6" t="str">
        <f>"22.500,00"</f>
        <v>22.500,00</v>
      </c>
      <c r="Q3525" s="7"/>
      <c r="R3525" s="1"/>
      <c r="S3525" s="1" t="str">
        <f>"J-UN-2019-3509"</f>
        <v>J-UN-2019-3509</v>
      </c>
      <c r="T3525" s="2" t="s">
        <v>33</v>
      </c>
    </row>
    <row r="3526" spans="1:20" ht="25.5" x14ac:dyDescent="0.25">
      <c r="A3526" s="1">
        <v>3522</v>
      </c>
      <c r="B3526" s="1" t="str">
        <f>"2019-1807"</f>
        <v>2019-1807</v>
      </c>
      <c r="C3526" s="2" t="s">
        <v>2245</v>
      </c>
      <c r="D3526" s="1" t="s">
        <v>1905</v>
      </c>
      <c r="E3526" s="3" t="str">
        <f>""</f>
        <v/>
      </c>
      <c r="F3526" s="2" t="s">
        <v>1323</v>
      </c>
      <c r="G3526" s="2" t="str">
        <f>CONCATENATE("ADRIA NORMA D.O.O.,"," VUKOVARSKA 284D,"," 10000 ZAGREB,"," OIB: 80109305109")</f>
        <v>ADRIA NORMA D.O.O., VUKOVARSKA 284D, 10000 ZAGREB, OIB: 80109305109</v>
      </c>
      <c r="H3526" s="4"/>
      <c r="I3526" s="1" t="s">
        <v>361</v>
      </c>
      <c r="J3526" s="5">
        <v>43608</v>
      </c>
      <c r="K3526" s="6" t="str">
        <f>"14.375,00"</f>
        <v>14.375,00</v>
      </c>
      <c r="L3526" s="6" t="str">
        <f>"3.593,75"</f>
        <v>3.593,75</v>
      </c>
      <c r="M3526" s="6" t="str">
        <f>"17.968,75"</f>
        <v>17.968,75</v>
      </c>
      <c r="N3526" s="5">
        <v>43630</v>
      </c>
      <c r="O3526" s="7"/>
      <c r="P3526" s="6" t="str">
        <f>"17.968,75"</f>
        <v>17.968,75</v>
      </c>
      <c r="Q3526" s="7"/>
      <c r="R3526" s="1"/>
      <c r="S3526" s="1" t="str">
        <f>"J-UN-2019-3510"</f>
        <v>J-UN-2019-3510</v>
      </c>
      <c r="T3526" s="2" t="s">
        <v>33</v>
      </c>
    </row>
    <row r="3527" spans="1:20" ht="25.5" x14ac:dyDescent="0.25">
      <c r="A3527" s="1">
        <v>3523</v>
      </c>
      <c r="B3527" s="1" t="str">
        <f>"2019-1602"</f>
        <v>2019-1602</v>
      </c>
      <c r="C3527" s="2" t="s">
        <v>2246</v>
      </c>
      <c r="D3527" s="1" t="s">
        <v>2247</v>
      </c>
      <c r="E3527" s="3" t="str">
        <f>""</f>
        <v/>
      </c>
      <c r="F3527" s="2" t="s">
        <v>1323</v>
      </c>
      <c r="G3527" s="2" t="str">
        <f>CONCATENATE("AUTOBUS D.O.O.,"," I. RESNIK 178,"," 10040 ZAGREB,"," OIB: 77383886713")</f>
        <v>AUTOBUS D.O.O., I. RESNIK 178, 10040 ZAGREB, OIB: 77383886713</v>
      </c>
      <c r="H3527" s="4"/>
      <c r="I3527" s="1" t="s">
        <v>361</v>
      </c>
      <c r="J3527" s="5">
        <v>43608</v>
      </c>
      <c r="K3527" s="6" t="str">
        <f>"2.819,64"</f>
        <v>2.819,64</v>
      </c>
      <c r="L3527" s="6" t="str">
        <f>"704,91"</f>
        <v>704,91</v>
      </c>
      <c r="M3527" s="6" t="str">
        <f>"3.524,55"</f>
        <v>3.524,55</v>
      </c>
      <c r="N3527" s="5">
        <v>43613</v>
      </c>
      <c r="O3527" s="7"/>
      <c r="P3527" s="6" t="str">
        <f>"3.524,55"</f>
        <v>3.524,55</v>
      </c>
      <c r="Q3527" s="7"/>
      <c r="R3527" s="1"/>
      <c r="S3527" s="1" t="str">
        <f>"J-UN-2019-3518"</f>
        <v>J-UN-2019-3518</v>
      </c>
      <c r="T3527" s="2" t="s">
        <v>33</v>
      </c>
    </row>
    <row r="3528" spans="1:20" ht="25.5" x14ac:dyDescent="0.25">
      <c r="A3528" s="1">
        <v>3524</v>
      </c>
      <c r="B3528" s="1" t="str">
        <f>"2019-1602"</f>
        <v>2019-1602</v>
      </c>
      <c r="C3528" s="2" t="s">
        <v>2246</v>
      </c>
      <c r="D3528" s="1" t="s">
        <v>2247</v>
      </c>
      <c r="E3528" s="3" t="str">
        <f>""</f>
        <v/>
      </c>
      <c r="F3528" s="2" t="s">
        <v>1323</v>
      </c>
      <c r="G3528" s="2" t="str">
        <f>CONCATENATE("AUTOBUS D.O.O.,"," I. RESNIK 178,"," 10040 ZAGREB,"," OIB: 77383886713")</f>
        <v>AUTOBUS D.O.O., I. RESNIK 178, 10040 ZAGREB, OIB: 77383886713</v>
      </c>
      <c r="H3528" s="4"/>
      <c r="I3528" s="1" t="s">
        <v>361</v>
      </c>
      <c r="J3528" s="5">
        <v>43608</v>
      </c>
      <c r="K3528" s="6" t="str">
        <f>"1.846,49"</f>
        <v>1.846,49</v>
      </c>
      <c r="L3528" s="6" t="str">
        <f>"461,62"</f>
        <v>461,62</v>
      </c>
      <c r="M3528" s="6" t="str">
        <f>"2.308,11"</f>
        <v>2.308,11</v>
      </c>
      <c r="N3528" s="5">
        <v>43539</v>
      </c>
      <c r="O3528" s="7"/>
      <c r="P3528" s="6" t="str">
        <f>"2.308,11"</f>
        <v>2.308,11</v>
      </c>
      <c r="Q3528" s="7"/>
      <c r="R3528" s="1"/>
      <c r="S3528" s="1" t="str">
        <f>"J-UN-2019-3520"</f>
        <v>J-UN-2019-3520</v>
      </c>
      <c r="T3528" s="2" t="s">
        <v>33</v>
      </c>
    </row>
    <row r="3529" spans="1:20" ht="25.5" x14ac:dyDescent="0.25">
      <c r="A3529" s="1">
        <v>3525</v>
      </c>
      <c r="B3529" s="1" t="str">
        <f>"2019-2699"</f>
        <v>2019-2699</v>
      </c>
      <c r="C3529" s="2" t="s">
        <v>2248</v>
      </c>
      <c r="D3529" s="1" t="s">
        <v>2132</v>
      </c>
      <c r="E3529" s="3" t="str">
        <f>""</f>
        <v/>
      </c>
      <c r="F3529" s="2" t="s">
        <v>1323</v>
      </c>
      <c r="G3529" s="2" t="str">
        <f>CONCATENATE("VEČERNJI LIST D.O.O.,"," OREŠKOVIĆEVA 6H1,"," 10000 ZAGREB,"," OIB: 92276133102")</f>
        <v>VEČERNJI LIST D.O.O., OREŠKOVIĆEVA 6H1, 10000 ZAGREB, OIB: 92276133102</v>
      </c>
      <c r="H3529" s="4"/>
      <c r="I3529" s="1" t="s">
        <v>361</v>
      </c>
      <c r="J3529" s="5">
        <v>43608</v>
      </c>
      <c r="K3529" s="6" t="str">
        <f>"100.000,00"</f>
        <v>100.000,00</v>
      </c>
      <c r="L3529" s="6" t="str">
        <f>"25.000,00"</f>
        <v>25.000,00</v>
      </c>
      <c r="M3529" s="6" t="str">
        <f>"125.000,00"</f>
        <v>125.000,00</v>
      </c>
      <c r="N3529" s="1" t="s">
        <v>117</v>
      </c>
      <c r="O3529" s="7"/>
      <c r="P3529" s="6" t="str">
        <f>""</f>
        <v/>
      </c>
      <c r="Q3529" s="7"/>
      <c r="R3529" s="1"/>
      <c r="S3529" s="1" t="str">
        <f>"J-UN-2019-3522"</f>
        <v>J-UN-2019-3522</v>
      </c>
      <c r="T3529" s="2" t="s">
        <v>33</v>
      </c>
    </row>
    <row r="3530" spans="1:20" ht="38.25" x14ac:dyDescent="0.25">
      <c r="A3530" s="1">
        <v>3526</v>
      </c>
      <c r="B3530" s="1" t="str">
        <f>"2019-13"</f>
        <v>2019-13</v>
      </c>
      <c r="C3530" s="2" t="s">
        <v>2146</v>
      </c>
      <c r="D3530" s="1" t="s">
        <v>2147</v>
      </c>
      <c r="E3530" s="3" t="str">
        <f>""</f>
        <v/>
      </c>
      <c r="F3530" s="2" t="s">
        <v>1323</v>
      </c>
      <c r="G3530" s="2" t="str">
        <f>CONCATENATE("BROLEX D.O.O.,"," MOMJANSKA ULICA 2,"," 52460 BUJE (BUIE),"," OIB: 99214387")</f>
        <v>BROLEX D.O.O., MOMJANSKA ULICA 2, 52460 BUJE (BUIE), OIB: 99214387</v>
      </c>
      <c r="H3530" s="4"/>
      <c r="I3530" s="1" t="s">
        <v>361</v>
      </c>
      <c r="J3530" s="5">
        <v>43608</v>
      </c>
      <c r="K3530" s="6" t="str">
        <f>"8.700,00"</f>
        <v>8.700,00</v>
      </c>
      <c r="L3530" s="6" t="str">
        <f>"2.175,00"</f>
        <v>2.175,00</v>
      </c>
      <c r="M3530" s="6" t="str">
        <f>"10.875,00"</f>
        <v>10.875,00</v>
      </c>
      <c r="N3530" s="5">
        <v>43613</v>
      </c>
      <c r="O3530" s="7"/>
      <c r="P3530" s="6" t="str">
        <f>"10.875,00"</f>
        <v>10.875,00</v>
      </c>
      <c r="Q3530" s="7"/>
      <c r="R3530" s="1"/>
      <c r="S3530" s="1" t="str">
        <f>"J-UN-2019-3523"</f>
        <v>J-UN-2019-3523</v>
      </c>
      <c r="T3530" s="2" t="s">
        <v>33</v>
      </c>
    </row>
    <row r="3531" spans="1:20" ht="25.5" x14ac:dyDescent="0.25">
      <c r="A3531" s="1">
        <v>3527</v>
      </c>
      <c r="B3531" s="1" t="str">
        <f>"2019-1031"</f>
        <v>2019-1031</v>
      </c>
      <c r="C3531" s="2" t="s">
        <v>2249</v>
      </c>
      <c r="D3531" s="1" t="s">
        <v>2158</v>
      </c>
      <c r="E3531" s="3" t="str">
        <f>""</f>
        <v/>
      </c>
      <c r="F3531" s="2" t="s">
        <v>1323</v>
      </c>
      <c r="G3531" s="2" t="str">
        <f>CONCATENATE("POLJOOPSKRBA-TEHNO D.D.,"," SAMOBORSKA 96,"," 10000 ZAGREB,"," OIB: 5372167324")</f>
        <v>POLJOOPSKRBA-TEHNO D.D., SAMOBORSKA 96, 10000 ZAGREB, OIB: 5372167324</v>
      </c>
      <c r="H3531" s="4"/>
      <c r="I3531" s="1" t="s">
        <v>642</v>
      </c>
      <c r="J3531" s="5">
        <v>43615</v>
      </c>
      <c r="K3531" s="6" t="str">
        <f>"29.960,00"</f>
        <v>29.960,00</v>
      </c>
      <c r="L3531" s="6" t="str">
        <f>"7.490,00"</f>
        <v>7.490,00</v>
      </c>
      <c r="M3531" s="6" t="str">
        <f>"37.450,00"</f>
        <v>37.450,00</v>
      </c>
      <c r="N3531" s="5">
        <v>43623</v>
      </c>
      <c r="O3531" s="7"/>
      <c r="P3531" s="6" t="str">
        <f>"37.450,00"</f>
        <v>37.450,00</v>
      </c>
      <c r="Q3531" s="7"/>
      <c r="R3531" s="1"/>
      <c r="S3531" s="1" t="str">
        <f>"J-UN-2019-3524"</f>
        <v>J-UN-2019-3524</v>
      </c>
      <c r="T3531" s="2" t="s">
        <v>33</v>
      </c>
    </row>
    <row r="3532" spans="1:20" ht="25.5" x14ac:dyDescent="0.25">
      <c r="A3532" s="1">
        <v>3528</v>
      </c>
      <c r="B3532" s="1" t="str">
        <f>"2019-900"</f>
        <v>2019-900</v>
      </c>
      <c r="C3532" s="2" t="s">
        <v>2150</v>
      </c>
      <c r="D3532" s="1" t="s">
        <v>860</v>
      </c>
      <c r="E3532" s="3" t="str">
        <f>""</f>
        <v/>
      </c>
      <c r="F3532" s="2" t="s">
        <v>1323</v>
      </c>
      <c r="G3532" s="2" t="str">
        <f>CONCATENATE("EUROMONT INTRO D.O.O.,"," KANALSKI PUT 20,"," 10000 ZAGREB,"," OIB: 46289034988")</f>
        <v>EUROMONT INTRO D.O.O., KANALSKI PUT 20, 10000 ZAGREB, OIB: 46289034988</v>
      </c>
      <c r="H3532" s="4"/>
      <c r="I3532" s="1" t="s">
        <v>32</v>
      </c>
      <c r="J3532" s="5">
        <v>43612</v>
      </c>
      <c r="K3532" s="6" t="str">
        <f>"16.122,00"</f>
        <v>16.122,00</v>
      </c>
      <c r="L3532" s="6" t="str">
        <f>"4.030,50"</f>
        <v>4.030,50</v>
      </c>
      <c r="M3532" s="6" t="str">
        <f>"20.152,50"</f>
        <v>20.152,50</v>
      </c>
      <c r="N3532" s="5">
        <v>43623</v>
      </c>
      <c r="O3532" s="7"/>
      <c r="P3532" s="6" t="str">
        <f>"20.152,50"</f>
        <v>20.152,50</v>
      </c>
      <c r="Q3532" s="7"/>
      <c r="R3532" s="1"/>
      <c r="S3532" s="1" t="str">
        <f>"J-UN-2019-3528"</f>
        <v>J-UN-2019-3528</v>
      </c>
      <c r="T3532" s="2" t="s">
        <v>33</v>
      </c>
    </row>
    <row r="3533" spans="1:20" ht="25.5" x14ac:dyDescent="0.25">
      <c r="A3533" s="1">
        <v>3529</v>
      </c>
      <c r="B3533" s="1" t="str">
        <f>"2019-1587"</f>
        <v>2019-1587</v>
      </c>
      <c r="C3533" s="2" t="s">
        <v>2250</v>
      </c>
      <c r="D3533" s="1" t="s">
        <v>1500</v>
      </c>
      <c r="E3533" s="3" t="str">
        <f>""</f>
        <v/>
      </c>
      <c r="F3533" s="2" t="s">
        <v>1323</v>
      </c>
      <c r="G3533" s="2" t="str">
        <f>CONCATENATE("COMET D.O.O.,"," VARAŽDINSKA 40/C,"," 42220 NOVI MAROF,"," OIB: 48249084626")</f>
        <v>COMET D.O.O., VARAŽDINSKA 40/C, 42220 NOVI MAROF, OIB: 48249084626</v>
      </c>
      <c r="H3533" s="4"/>
      <c r="I3533" s="1" t="s">
        <v>320</v>
      </c>
      <c r="J3533" s="5">
        <v>43620</v>
      </c>
      <c r="K3533" s="6" t="str">
        <f>"3.299,00"</f>
        <v>3.299,00</v>
      </c>
      <c r="L3533" s="6" t="str">
        <f>"824,75"</f>
        <v>824,75</v>
      </c>
      <c r="M3533" s="6" t="str">
        <f>"4.123,75"</f>
        <v>4.123,75</v>
      </c>
      <c r="N3533" s="5">
        <v>43629</v>
      </c>
      <c r="O3533" s="7"/>
      <c r="P3533" s="6" t="str">
        <f>"4.123,75"</f>
        <v>4.123,75</v>
      </c>
      <c r="Q3533" s="7"/>
      <c r="R3533" s="1"/>
      <c r="S3533" s="1" t="str">
        <f>"J-UN-2019-3530"</f>
        <v>J-UN-2019-3530</v>
      </c>
      <c r="T3533" s="2" t="s">
        <v>33</v>
      </c>
    </row>
    <row r="3534" spans="1:20" ht="38.25" x14ac:dyDescent="0.25">
      <c r="A3534" s="1">
        <v>3530</v>
      </c>
      <c r="B3534" s="1" t="str">
        <f>"2019-955"</f>
        <v>2019-955</v>
      </c>
      <c r="C3534" s="2" t="s">
        <v>1520</v>
      </c>
      <c r="D3534" s="1" t="s">
        <v>1521</v>
      </c>
      <c r="E3534" s="3" t="str">
        <f>""</f>
        <v/>
      </c>
      <c r="F3534" s="2" t="s">
        <v>1323</v>
      </c>
      <c r="G3534" s="2" t="str">
        <f>CONCATENATE("NORD POGONI DRUŠTVO S OGRANIČENOM ODGOVORNOŠĆU ZA TRGOVINU,"," SERVIS I MONTAŽU,"," OIB: 01049893289")</f>
        <v>NORD POGONI DRUŠTVO S OGRANIČENOM ODGOVORNOŠĆU ZA TRGOVINU, SERVIS I MONTAŽU, OIB: 01049893289</v>
      </c>
      <c r="H3534" s="4"/>
      <c r="I3534" s="1" t="s">
        <v>320</v>
      </c>
      <c r="J3534" s="5">
        <v>43620</v>
      </c>
      <c r="K3534" s="6" t="str">
        <f>"10.669,96"</f>
        <v>10.669,96</v>
      </c>
      <c r="L3534" s="6" t="str">
        <f>"2.667,49"</f>
        <v>2.667,49</v>
      </c>
      <c r="M3534" s="6" t="str">
        <f>"13.337,45"</f>
        <v>13.337,45</v>
      </c>
      <c r="N3534" s="5">
        <v>43654</v>
      </c>
      <c r="O3534" s="7"/>
      <c r="P3534" s="6" t="str">
        <f>"13.337,45"</f>
        <v>13.337,45</v>
      </c>
      <c r="Q3534" s="7"/>
      <c r="R3534" s="1"/>
      <c r="S3534" s="1" t="str">
        <f>"J-UN-2019-3531"</f>
        <v>J-UN-2019-3531</v>
      </c>
      <c r="T3534" s="2" t="s">
        <v>33</v>
      </c>
    </row>
    <row r="3535" spans="1:20" ht="38.25" x14ac:dyDescent="0.25">
      <c r="A3535" s="1">
        <v>3531</v>
      </c>
      <c r="B3535" s="1" t="str">
        <f>"2019-2312"</f>
        <v>2019-2312</v>
      </c>
      <c r="C3535" s="2" t="s">
        <v>2251</v>
      </c>
      <c r="D3535" s="1" t="s">
        <v>1905</v>
      </c>
      <c r="E3535" s="3" t="str">
        <f>""</f>
        <v/>
      </c>
      <c r="F3535" s="2" t="s">
        <v>1323</v>
      </c>
      <c r="G3535" s="2" t="str">
        <f>CONCATENATE("INFO BONUS D.O.O. ZA USLUGE I SAVJETOVANJE,"," LANIŠTE 12C,"," 10000 ZAGREB,"," OIB: 66647717454")</f>
        <v>INFO BONUS D.O.O. ZA USLUGE I SAVJETOVANJE, LANIŠTE 12C, 10000 ZAGREB, OIB: 66647717454</v>
      </c>
      <c r="H3535" s="4"/>
      <c r="I3535" s="1" t="s">
        <v>320</v>
      </c>
      <c r="J3535" s="5">
        <v>43620</v>
      </c>
      <c r="K3535" s="6" t="str">
        <f>"28.000,00"</f>
        <v>28.000,00</v>
      </c>
      <c r="L3535" s="6" t="str">
        <f>"7.000,00"</f>
        <v>7.000,00</v>
      </c>
      <c r="M3535" s="6" t="str">
        <f>"35.000,00"</f>
        <v>35.000,00</v>
      </c>
      <c r="N3535" s="1" t="s">
        <v>117</v>
      </c>
      <c r="O3535" s="7"/>
      <c r="P3535" s="6" t="str">
        <f>""</f>
        <v/>
      </c>
      <c r="Q3535" s="7"/>
      <c r="R3535" s="1"/>
      <c r="S3535" s="1" t="str">
        <f>"J-UN-2019-3533"</f>
        <v>J-UN-2019-3533</v>
      </c>
      <c r="T3535" s="2" t="s">
        <v>33</v>
      </c>
    </row>
    <row r="3536" spans="1:20" ht="38.25" x14ac:dyDescent="0.25">
      <c r="A3536" s="1">
        <v>3532</v>
      </c>
      <c r="B3536" s="1" t="str">
        <f>"2019-841"</f>
        <v>2019-841</v>
      </c>
      <c r="C3536" s="2" t="s">
        <v>2252</v>
      </c>
      <c r="D3536" s="1" t="s">
        <v>90</v>
      </c>
      <c r="E3536" s="3" t="str">
        <f>""</f>
        <v/>
      </c>
      <c r="F3536" s="2" t="s">
        <v>1323</v>
      </c>
      <c r="G3536" s="2" t="str">
        <f>CONCATENATE("DDSERVIS D.O.O.,"," SISAČKA CESTA III ODVOJAK 7,"," 10020 ZAGREB,"," OIB: 95325472047")</f>
        <v>DDSERVIS D.O.O., SISAČKA CESTA III ODVOJAK 7, 10020 ZAGREB, OIB: 95325472047</v>
      </c>
      <c r="H3536" s="4"/>
      <c r="I3536" s="1" t="s">
        <v>320</v>
      </c>
      <c r="J3536" s="5">
        <v>43620</v>
      </c>
      <c r="K3536" s="6" t="str">
        <f>"3.150,00"</f>
        <v>3.150,00</v>
      </c>
      <c r="L3536" s="6" t="str">
        <f>"787,50"</f>
        <v>787,50</v>
      </c>
      <c r="M3536" s="6" t="str">
        <f>"3.937,50"</f>
        <v>3.937,50</v>
      </c>
      <c r="N3536" s="5">
        <v>43629</v>
      </c>
      <c r="O3536" s="7"/>
      <c r="P3536" s="6" t="str">
        <f>"3.937,50"</f>
        <v>3.937,50</v>
      </c>
      <c r="Q3536" s="7"/>
      <c r="R3536" s="1"/>
      <c r="S3536" s="1" t="str">
        <f>"J-UN-2019-3534"</f>
        <v>J-UN-2019-3534</v>
      </c>
      <c r="T3536" s="2" t="s">
        <v>33</v>
      </c>
    </row>
    <row r="3537" spans="1:20" ht="25.5" x14ac:dyDescent="0.25">
      <c r="A3537" s="1">
        <v>3533</v>
      </c>
      <c r="B3537" s="1" t="str">
        <f>"2019-1938"</f>
        <v>2019-1938</v>
      </c>
      <c r="C3537" s="2" t="s">
        <v>2253</v>
      </c>
      <c r="D3537" s="1" t="s">
        <v>2254</v>
      </c>
      <c r="E3537" s="3" t="str">
        <f>""</f>
        <v/>
      </c>
      <c r="F3537" s="2" t="s">
        <v>1323</v>
      </c>
      <c r="G3537" s="2" t="str">
        <f>CONCATENATE("COMET D.O.O.,"," VARAŽDINSKA 40/C,"," 42220 NOVI MAROF,"," OIB: 48249084626")</f>
        <v>COMET D.O.O., VARAŽDINSKA 40/C, 42220 NOVI MAROF, OIB: 48249084626</v>
      </c>
      <c r="H3537" s="4"/>
      <c r="I3537" s="1" t="s">
        <v>320</v>
      </c>
      <c r="J3537" s="5">
        <v>43620</v>
      </c>
      <c r="K3537" s="6" t="str">
        <f>"540,00"</f>
        <v>540,00</v>
      </c>
      <c r="L3537" s="6" t="str">
        <f>"135,00"</f>
        <v>135,00</v>
      </c>
      <c r="M3537" s="6" t="str">
        <f>"675,00"</f>
        <v>675,00</v>
      </c>
      <c r="N3537" s="5">
        <v>43633</v>
      </c>
      <c r="O3537" s="7"/>
      <c r="P3537" s="6" t="str">
        <f>"675,00"</f>
        <v>675,00</v>
      </c>
      <c r="Q3537" s="7"/>
      <c r="R3537" s="1"/>
      <c r="S3537" s="1" t="str">
        <f>"J-UN-2019-3535"</f>
        <v>J-UN-2019-3535</v>
      </c>
      <c r="T3537" s="2" t="s">
        <v>33</v>
      </c>
    </row>
    <row r="3538" spans="1:20" ht="38.25" x14ac:dyDescent="0.25">
      <c r="A3538" s="1">
        <v>3534</v>
      </c>
      <c r="B3538" s="1" t="str">
        <f>"2019-687"</f>
        <v>2019-687</v>
      </c>
      <c r="C3538" s="2" t="s">
        <v>2255</v>
      </c>
      <c r="D3538" s="1" t="s">
        <v>2256</v>
      </c>
      <c r="E3538" s="3" t="str">
        <f>""</f>
        <v/>
      </c>
      <c r="F3538" s="2" t="s">
        <v>1323</v>
      </c>
      <c r="G3538" s="2" t="str">
        <f>CONCATENATE("ELEKTROCENTAR PETEK D.O.O.,"," ETANSKA CESTA 8,"," 10310 IVANIĆ-GRAD,"," OIB: 17491977848")</f>
        <v>ELEKTROCENTAR PETEK D.O.O., ETANSKA CESTA 8, 10310 IVANIĆ-GRAD, OIB: 17491977848</v>
      </c>
      <c r="H3538" s="4"/>
      <c r="I3538" s="1" t="s">
        <v>74</v>
      </c>
      <c r="J3538" s="5">
        <v>43619</v>
      </c>
      <c r="K3538" s="6" t="str">
        <f>"339,00"</f>
        <v>339,00</v>
      </c>
      <c r="L3538" s="6" t="str">
        <f>"84,75"</f>
        <v>84,75</v>
      </c>
      <c r="M3538" s="6" t="str">
        <f>"423,75"</f>
        <v>423,75</v>
      </c>
      <c r="N3538" s="5">
        <v>43649</v>
      </c>
      <c r="O3538" s="7"/>
      <c r="P3538" s="6" t="str">
        <f>"423,75"</f>
        <v>423,75</v>
      </c>
      <c r="Q3538" s="7"/>
      <c r="R3538" s="1"/>
      <c r="S3538" s="1" t="str">
        <f>"J-UN-2019-3537"</f>
        <v>J-UN-2019-3537</v>
      </c>
      <c r="T3538" s="2" t="s">
        <v>33</v>
      </c>
    </row>
    <row r="3539" spans="1:20" ht="38.25" x14ac:dyDescent="0.25">
      <c r="A3539" s="1">
        <v>3535</v>
      </c>
      <c r="B3539" s="1" t="str">
        <f>"2019-1993"</f>
        <v>2019-1993</v>
      </c>
      <c r="C3539" s="2" t="s">
        <v>2257</v>
      </c>
      <c r="D3539" s="1" t="s">
        <v>2258</v>
      </c>
      <c r="E3539" s="3" t="str">
        <f>""</f>
        <v/>
      </c>
      <c r="F3539" s="2" t="s">
        <v>1323</v>
      </c>
      <c r="G3539" s="2" t="str">
        <f>CONCATENATE("PROTING HORVAT D.O.O.,"," FRANA GALINOVIĆA 4,"," 49000 KRAPINA,"," OIB: 75263812619")</f>
        <v>PROTING HORVAT D.O.O., FRANA GALINOVIĆA 4, 49000 KRAPINA, OIB: 75263812619</v>
      </c>
      <c r="H3539" s="4"/>
      <c r="I3539" s="1" t="s">
        <v>74</v>
      </c>
      <c r="J3539" s="5">
        <v>43619</v>
      </c>
      <c r="K3539" s="6" t="str">
        <f>"3.960,00"</f>
        <v>3.960,00</v>
      </c>
      <c r="L3539" s="6" t="str">
        <f>"990,00"</f>
        <v>990,00</v>
      </c>
      <c r="M3539" s="6" t="str">
        <f>"4.950,00"</f>
        <v>4.950,00</v>
      </c>
      <c r="N3539" s="5">
        <v>43622</v>
      </c>
      <c r="O3539" s="7"/>
      <c r="P3539" s="6" t="str">
        <f>"4.950,00"</f>
        <v>4.950,00</v>
      </c>
      <c r="Q3539" s="7"/>
      <c r="R3539" s="1"/>
      <c r="S3539" s="1" t="str">
        <f>"J-UN-2019-3538"</f>
        <v>J-UN-2019-3538</v>
      </c>
      <c r="T3539" s="2" t="s">
        <v>33</v>
      </c>
    </row>
    <row r="3540" spans="1:20" ht="38.25" x14ac:dyDescent="0.25">
      <c r="A3540" s="1">
        <v>3536</v>
      </c>
      <c r="B3540" s="1" t="str">
        <f>"2019-1931"</f>
        <v>2019-1931</v>
      </c>
      <c r="C3540" s="2" t="s">
        <v>2259</v>
      </c>
      <c r="D3540" s="1" t="s">
        <v>2099</v>
      </c>
      <c r="E3540" s="3" t="str">
        <f>""</f>
        <v/>
      </c>
      <c r="F3540" s="2" t="s">
        <v>1323</v>
      </c>
      <c r="G3540" s="2" t="str">
        <f>CONCATENATE("FRIGOMOTORS D.O.O.,"," DUGOPOLJSKA 35,"," 21204 DUGOPOLJE,"," OIB: 09191580513")</f>
        <v>FRIGOMOTORS D.O.O., DUGOPOLJSKA 35, 21204 DUGOPOLJE, OIB: 09191580513</v>
      </c>
      <c r="H3540" s="4"/>
      <c r="I3540" s="1" t="s">
        <v>74</v>
      </c>
      <c r="J3540" s="5">
        <v>43619</v>
      </c>
      <c r="K3540" s="6" t="str">
        <f>"8.800,00"</f>
        <v>8.800,00</v>
      </c>
      <c r="L3540" s="6" t="str">
        <f>"2.200,00"</f>
        <v>2.200,00</v>
      </c>
      <c r="M3540" s="6" t="str">
        <f>"11.000,00"</f>
        <v>11.000,00</v>
      </c>
      <c r="N3540" s="5">
        <v>43633</v>
      </c>
      <c r="O3540" s="7"/>
      <c r="P3540" s="6" t="str">
        <f>"11.000,00"</f>
        <v>11.000,00</v>
      </c>
      <c r="Q3540" s="7"/>
      <c r="R3540" s="1"/>
      <c r="S3540" s="1" t="str">
        <f>"J-UN-2019-3539"</f>
        <v>J-UN-2019-3539</v>
      </c>
      <c r="T3540" s="2" t="s">
        <v>33</v>
      </c>
    </row>
    <row r="3541" spans="1:20" ht="25.5" x14ac:dyDescent="0.25">
      <c r="A3541" s="1">
        <v>3537</v>
      </c>
      <c r="B3541" s="1" t="str">
        <f>"2019-823"</f>
        <v>2019-823</v>
      </c>
      <c r="C3541" s="2" t="s">
        <v>2260</v>
      </c>
      <c r="D3541" s="1" t="s">
        <v>737</v>
      </c>
      <c r="E3541" s="3" t="str">
        <f>""</f>
        <v/>
      </c>
      <c r="F3541" s="2" t="s">
        <v>1323</v>
      </c>
      <c r="G3541" s="2" t="str">
        <f>CONCATENATE("INA MAZIVA D.O.O.,"," RADNIČKA CESTA 175,"," 10000 ZAGREB,"," OIB: 63988426425")</f>
        <v>INA MAZIVA D.O.O., RADNIČKA CESTA 175, 10000 ZAGREB, OIB: 63988426425</v>
      </c>
      <c r="H3541" s="4"/>
      <c r="I3541" s="1" t="s">
        <v>74</v>
      </c>
      <c r="J3541" s="5">
        <v>43619</v>
      </c>
      <c r="K3541" s="6" t="str">
        <f>"23.600,00"</f>
        <v>23.600,00</v>
      </c>
      <c r="L3541" s="6" t="str">
        <f>"5.900,00"</f>
        <v>5.900,00</v>
      </c>
      <c r="M3541" s="6" t="str">
        <f>"29.500,00"</f>
        <v>29.500,00</v>
      </c>
      <c r="N3541" s="5">
        <v>43657</v>
      </c>
      <c r="O3541" s="7"/>
      <c r="P3541" s="6" t="str">
        <f>"29.500,00"</f>
        <v>29.500,00</v>
      </c>
      <c r="Q3541" s="7"/>
      <c r="R3541" s="1"/>
      <c r="S3541" s="1" t="str">
        <f>"J-UN-2019-3540"</f>
        <v>J-UN-2019-3540</v>
      </c>
      <c r="T3541" s="2" t="s">
        <v>33</v>
      </c>
    </row>
    <row r="3542" spans="1:20" ht="25.5" x14ac:dyDescent="0.25">
      <c r="A3542" s="1">
        <v>3538</v>
      </c>
      <c r="B3542" s="1" t="str">
        <f>"2019-251"</f>
        <v>2019-251</v>
      </c>
      <c r="C3542" s="2" t="s">
        <v>2261</v>
      </c>
      <c r="D3542" s="1" t="s">
        <v>582</v>
      </c>
      <c r="E3542" s="3" t="str">
        <f>""</f>
        <v/>
      </c>
      <c r="F3542" s="2" t="s">
        <v>1323</v>
      </c>
      <c r="G3542" s="2" t="str">
        <f>CONCATENATE("AQUA KEM D.O.O.,"," ANTE MIKE TRIPALA 1,"," 10000 ZAGREB,"," OIB: 82941319525")</f>
        <v>AQUA KEM D.O.O., ANTE MIKE TRIPALA 1, 10000 ZAGREB, OIB: 82941319525</v>
      </c>
      <c r="H3542" s="4"/>
      <c r="I3542" s="1" t="s">
        <v>499</v>
      </c>
      <c r="J3542" s="5">
        <v>43613</v>
      </c>
      <c r="K3542" s="6" t="str">
        <f>"850,00"</f>
        <v>850,00</v>
      </c>
      <c r="L3542" s="6" t="str">
        <f>"212,50"</f>
        <v>212,50</v>
      </c>
      <c r="M3542" s="6" t="str">
        <f>"1.062,50"</f>
        <v>1.062,50</v>
      </c>
      <c r="N3542" s="5">
        <v>43607</v>
      </c>
      <c r="O3542" s="7"/>
      <c r="P3542" s="6" t="str">
        <f>"1.062,50"</f>
        <v>1.062,50</v>
      </c>
      <c r="Q3542" s="7"/>
      <c r="R3542" s="1"/>
      <c r="S3542" s="1" t="str">
        <f>"J-UN-2019-3543"</f>
        <v>J-UN-2019-3543</v>
      </c>
      <c r="T3542" s="2" t="s">
        <v>33</v>
      </c>
    </row>
    <row r="3543" spans="1:20" ht="25.5" x14ac:dyDescent="0.25">
      <c r="A3543" s="1">
        <v>3539</v>
      </c>
      <c r="B3543" s="1" t="str">
        <f>"2019-1936"</f>
        <v>2019-1936</v>
      </c>
      <c r="C3543" s="2" t="s">
        <v>2262</v>
      </c>
      <c r="D3543" s="1" t="s">
        <v>2263</v>
      </c>
      <c r="E3543" s="3" t="str">
        <f>""</f>
        <v/>
      </c>
      <c r="F3543" s="2" t="s">
        <v>1323</v>
      </c>
      <c r="G3543" s="2" t="str">
        <f>CONCATENATE("SCHEDA D.O.O.,"," LJUDEVITA POSAVSKOG 29,"," 10360 SESVETE,"," OIB: 76219817247")</f>
        <v>SCHEDA D.O.O., LJUDEVITA POSAVSKOG 29, 10360 SESVETE, OIB: 76219817247</v>
      </c>
      <c r="H3543" s="4"/>
      <c r="I3543" s="1" t="s">
        <v>74</v>
      </c>
      <c r="J3543" s="5">
        <v>43619</v>
      </c>
      <c r="K3543" s="6" t="str">
        <f>"98.370,00"</f>
        <v>98.370,00</v>
      </c>
      <c r="L3543" s="6" t="str">
        <f>"24.592,50"</f>
        <v>24.592,50</v>
      </c>
      <c r="M3543" s="6" t="str">
        <f>"122.962,50"</f>
        <v>122.962,50</v>
      </c>
      <c r="N3543" s="5">
        <v>43621</v>
      </c>
      <c r="O3543" s="7"/>
      <c r="P3543" s="6" t="str">
        <f>"122.962,50"</f>
        <v>122.962,50</v>
      </c>
      <c r="Q3543" s="7"/>
      <c r="R3543" s="1"/>
      <c r="S3543" s="1" t="str">
        <f>"J-UN-2019-3544"</f>
        <v>J-UN-2019-3544</v>
      </c>
      <c r="T3543" s="2" t="s">
        <v>33</v>
      </c>
    </row>
    <row r="3544" spans="1:20" ht="51" x14ac:dyDescent="0.25">
      <c r="A3544" s="1">
        <v>3540</v>
      </c>
      <c r="B3544" s="1" t="str">
        <f>"2019-2698"</f>
        <v>2019-2698</v>
      </c>
      <c r="C3544" s="2" t="s">
        <v>2264</v>
      </c>
      <c r="D3544" s="1" t="s">
        <v>1384</v>
      </c>
      <c r="E3544" s="3" t="str">
        <f>""</f>
        <v/>
      </c>
      <c r="F3544" s="2" t="s">
        <v>1323</v>
      </c>
      <c r="G3544" s="2" t="str">
        <f>CONCATENATE("MM NOVA DESIGN D.O.O.,"," RAPSKA ULICA 69,"," 10000 ZAGREB,"," OIB: 95481917083")</f>
        <v>MM NOVA DESIGN D.O.O., RAPSKA ULICA 69, 10000 ZAGREB, OIB: 95481917083</v>
      </c>
      <c r="H3544" s="4"/>
      <c r="I3544" s="1" t="s">
        <v>499</v>
      </c>
      <c r="J3544" s="5">
        <v>43613</v>
      </c>
      <c r="K3544" s="6" t="str">
        <f>"30.000,00"</f>
        <v>30.000,00</v>
      </c>
      <c r="L3544" s="6" t="str">
        <f>"7.500,00"</f>
        <v>7.500,00</v>
      </c>
      <c r="M3544" s="6" t="str">
        <f>"37.500,00"</f>
        <v>37.500,00</v>
      </c>
      <c r="N3544" s="1" t="s">
        <v>117</v>
      </c>
      <c r="O3544" s="7"/>
      <c r="P3544" s="6" t="str">
        <f>""</f>
        <v/>
      </c>
      <c r="Q3544" s="7"/>
      <c r="R3544" s="1"/>
      <c r="S3544" s="1" t="str">
        <f>"J-UN-2019-3545"</f>
        <v>J-UN-2019-3545</v>
      </c>
      <c r="T3544" s="2" t="s">
        <v>33</v>
      </c>
    </row>
    <row r="3545" spans="1:20" ht="51" x14ac:dyDescent="0.25">
      <c r="A3545" s="1">
        <v>3541</v>
      </c>
      <c r="B3545" s="1" t="str">
        <f>"2019-2675"</f>
        <v>2019-2675</v>
      </c>
      <c r="C3545" s="2" t="s">
        <v>2265</v>
      </c>
      <c r="D3545" s="1" t="s">
        <v>239</v>
      </c>
      <c r="E3545" s="3" t="str">
        <f>""</f>
        <v/>
      </c>
      <c r="F3545" s="2" t="s">
        <v>1323</v>
      </c>
      <c r="G3545" s="2" t="str">
        <f>CONCATENATE("PASTOR - TVA - D.D.,"," RAKITJE,"," NOVAČKA 2,"," 10437 BESTOVJE,"," OIB: 17140959007")</f>
        <v>PASTOR - TVA - D.D., RAKITJE, NOVAČKA 2, 10437 BESTOVJE, OIB: 17140959007</v>
      </c>
      <c r="H3545" s="4"/>
      <c r="I3545" s="1" t="s">
        <v>435</v>
      </c>
      <c r="J3545" s="5">
        <v>43830</v>
      </c>
      <c r="K3545" s="6" t="str">
        <f>"59.680,00"</f>
        <v>59.680,00</v>
      </c>
      <c r="L3545" s="6" t="str">
        <f>"14.920,00"</f>
        <v>14.920,00</v>
      </c>
      <c r="M3545" s="6" t="str">
        <f>"74.600,00"</f>
        <v>74.600,00</v>
      </c>
      <c r="N3545" s="5">
        <v>43671</v>
      </c>
      <c r="O3545" s="7"/>
      <c r="P3545" s="6" t="str">
        <f>"70.192,42"</f>
        <v>70.192,42</v>
      </c>
      <c r="Q3545" s="7"/>
      <c r="R3545" s="1"/>
      <c r="S3545" s="1" t="str">
        <f>"J-UN-2019-3548"</f>
        <v>J-UN-2019-3548</v>
      </c>
      <c r="T3545" s="2" t="s">
        <v>33</v>
      </c>
    </row>
    <row r="3546" spans="1:20" ht="38.25" x14ac:dyDescent="0.25">
      <c r="A3546" s="1">
        <v>3542</v>
      </c>
      <c r="B3546" s="1" t="str">
        <f>"2019-1321"</f>
        <v>2019-1321</v>
      </c>
      <c r="C3546" s="2" t="s">
        <v>2149</v>
      </c>
      <c r="D3546" s="1" t="s">
        <v>388</v>
      </c>
      <c r="E3546" s="3" t="str">
        <f>""</f>
        <v/>
      </c>
      <c r="F3546" s="2" t="s">
        <v>1323</v>
      </c>
      <c r="G3546" s="2" t="str">
        <f>CONCATENATE("SELMET D.O.O.,"," OIB: 25531283613")</f>
        <v>SELMET D.O.O., OIB: 25531283613</v>
      </c>
      <c r="H3546" s="4"/>
      <c r="I3546" s="1" t="s">
        <v>32</v>
      </c>
      <c r="J3546" s="5">
        <v>43612</v>
      </c>
      <c r="K3546" s="6" t="str">
        <f>"3.720,00"</f>
        <v>3.720,00</v>
      </c>
      <c r="L3546" s="6" t="str">
        <f>"930,00"</f>
        <v>930,00</v>
      </c>
      <c r="M3546" s="6" t="str">
        <f>"4.650,00"</f>
        <v>4.650,00</v>
      </c>
      <c r="N3546" s="5">
        <v>43620</v>
      </c>
      <c r="O3546" s="7"/>
      <c r="P3546" s="6" t="str">
        <f>"4.650,00"</f>
        <v>4.650,00</v>
      </c>
      <c r="Q3546" s="7"/>
      <c r="R3546" s="1"/>
      <c r="S3546" s="1" t="str">
        <f>"J-UN-2019-3549"</f>
        <v>J-UN-2019-3549</v>
      </c>
      <c r="T3546" s="2" t="s">
        <v>33</v>
      </c>
    </row>
    <row r="3547" spans="1:20" ht="25.5" x14ac:dyDescent="0.25">
      <c r="A3547" s="1">
        <v>3543</v>
      </c>
      <c r="B3547" s="1" t="str">
        <f>"2019-841"</f>
        <v>2019-841</v>
      </c>
      <c r="C3547" s="2" t="s">
        <v>2252</v>
      </c>
      <c r="D3547" s="1" t="s">
        <v>90</v>
      </c>
      <c r="E3547" s="3" t="str">
        <f>""</f>
        <v/>
      </c>
      <c r="F3547" s="2" t="s">
        <v>1323</v>
      </c>
      <c r="G3547" s="2" t="str">
        <f>CONCATENATE("JUBAR D.O.O.,"," SESVETSKA CESTA 5,"," 10360 SESVETE,"," OIB: 63662155252")</f>
        <v>JUBAR D.O.O., SESVETSKA CESTA 5, 10360 SESVETE, OIB: 63662155252</v>
      </c>
      <c r="H3547" s="4"/>
      <c r="I3547" s="1" t="s">
        <v>435</v>
      </c>
      <c r="J3547" s="5">
        <v>43614</v>
      </c>
      <c r="K3547" s="6" t="str">
        <f>"82.374,00"</f>
        <v>82.374,00</v>
      </c>
      <c r="L3547" s="6" t="str">
        <f>"20.593,50"</f>
        <v>20.593,50</v>
      </c>
      <c r="M3547" s="6" t="str">
        <f>"102.967,50"</f>
        <v>102.967,50</v>
      </c>
      <c r="N3547" s="1" t="s">
        <v>117</v>
      </c>
      <c r="O3547" s="7"/>
      <c r="P3547" s="6" t="str">
        <f>""</f>
        <v/>
      </c>
      <c r="Q3547" s="7"/>
      <c r="R3547" s="1"/>
      <c r="S3547" s="1" t="str">
        <f>"J-UN-2019-3553"</f>
        <v>J-UN-2019-3553</v>
      </c>
      <c r="T3547" s="2" t="s">
        <v>33</v>
      </c>
    </row>
    <row r="3548" spans="1:20" ht="25.5" x14ac:dyDescent="0.25">
      <c r="A3548" s="1">
        <v>3544</v>
      </c>
      <c r="B3548" s="1" t="str">
        <f>"2019-954"</f>
        <v>2019-954</v>
      </c>
      <c r="C3548" s="2" t="s">
        <v>2266</v>
      </c>
      <c r="D3548" s="1" t="s">
        <v>977</v>
      </c>
      <c r="E3548" s="3" t="str">
        <f>""</f>
        <v/>
      </c>
      <c r="F3548" s="2" t="s">
        <v>1323</v>
      </c>
      <c r="G3548" s="2" t="str">
        <f>CONCATENATE("POLJOOPSKRBA-TEHNO D.D.,"," SAMOBORSKA 96,"," 10000 ZAGREB,"," OIB: 5372167324")</f>
        <v>POLJOOPSKRBA-TEHNO D.D., SAMOBORSKA 96, 10000 ZAGREB, OIB: 5372167324</v>
      </c>
      <c r="H3548" s="4"/>
      <c r="I3548" s="1" t="s">
        <v>639</v>
      </c>
      <c r="J3548" s="5">
        <v>43621</v>
      </c>
      <c r="K3548" s="6" t="str">
        <f>"1.886,00"</f>
        <v>1.886,00</v>
      </c>
      <c r="L3548" s="6" t="str">
        <f>"471,50"</f>
        <v>471,50</v>
      </c>
      <c r="M3548" s="6" t="str">
        <f>"2.357,50"</f>
        <v>2.357,50</v>
      </c>
      <c r="N3548" s="5">
        <v>43626</v>
      </c>
      <c r="O3548" s="7"/>
      <c r="P3548" s="6" t="str">
        <f>"2.357,50"</f>
        <v>2.357,50</v>
      </c>
      <c r="Q3548" s="7"/>
      <c r="R3548" s="1"/>
      <c r="S3548" s="1" t="str">
        <f>"J-UN-2019-3555"</f>
        <v>J-UN-2019-3555</v>
      </c>
      <c r="T3548" s="2" t="s">
        <v>33</v>
      </c>
    </row>
    <row r="3549" spans="1:20" ht="25.5" x14ac:dyDescent="0.25">
      <c r="A3549" s="1">
        <v>3545</v>
      </c>
      <c r="B3549" s="1" t="str">
        <f>"2019-2145"</f>
        <v>2019-2145</v>
      </c>
      <c r="C3549" s="2" t="s">
        <v>2267</v>
      </c>
      <c r="D3549" s="1" t="s">
        <v>235</v>
      </c>
      <c r="E3549" s="3" t="str">
        <f>""</f>
        <v/>
      </c>
      <c r="F3549" s="2" t="s">
        <v>1323</v>
      </c>
      <c r="G3549" s="2" t="str">
        <f>CONCATENATE("CHARVAT D.O.O.,"," JOSIPA JELAČIĆA 87A,"," 43500 DARUVAR,"," OIB: 14321572653")</f>
        <v>CHARVAT D.O.O., JOSIPA JELAČIĆA 87A, 43500 DARUVAR, OIB: 14321572653</v>
      </c>
      <c r="H3549" s="4"/>
      <c r="I3549" s="1" t="s">
        <v>162</v>
      </c>
      <c r="J3549" s="5">
        <v>43622</v>
      </c>
      <c r="K3549" s="6" t="str">
        <f>"28.055,83"</f>
        <v>28.055,83</v>
      </c>
      <c r="L3549" s="6" t="str">
        <f>"7.013,96"</f>
        <v>7.013,96</v>
      </c>
      <c r="M3549" s="6" t="str">
        <f>"35.069,79"</f>
        <v>35.069,79</v>
      </c>
      <c r="N3549" s="5">
        <v>43633</v>
      </c>
      <c r="O3549" s="7"/>
      <c r="P3549" s="6" t="str">
        <f>"35.069,79"</f>
        <v>35.069,79</v>
      </c>
      <c r="Q3549" s="7"/>
      <c r="R3549" s="1"/>
      <c r="S3549" s="1" t="str">
        <f>"J-UN-2019-3556"</f>
        <v>J-UN-2019-3556</v>
      </c>
      <c r="T3549" s="2" t="s">
        <v>33</v>
      </c>
    </row>
    <row r="3550" spans="1:20" ht="25.5" x14ac:dyDescent="0.25">
      <c r="A3550" s="1">
        <v>3546</v>
      </c>
      <c r="B3550" s="1" t="str">
        <f>"2019-189"</f>
        <v>2019-189</v>
      </c>
      <c r="C3550" s="2" t="s">
        <v>2268</v>
      </c>
      <c r="D3550" s="1" t="s">
        <v>382</v>
      </c>
      <c r="E3550" s="3" t="str">
        <f>""</f>
        <v/>
      </c>
      <c r="F3550" s="2" t="s">
        <v>1323</v>
      </c>
      <c r="G3550" s="2" t="str">
        <f>CONCATENATE("MIGRAL D.O.O.,"," RUJANSKA 1,"," 10000 ZAGREB,"," OIB: 957173045")</f>
        <v>MIGRAL D.O.O., RUJANSKA 1, 10000 ZAGREB, OIB: 957173045</v>
      </c>
      <c r="H3550" s="4"/>
      <c r="I3550" s="1" t="s">
        <v>642</v>
      </c>
      <c r="J3550" s="5">
        <v>43615</v>
      </c>
      <c r="K3550" s="6" t="str">
        <f>"16.306,20"</f>
        <v>16.306,20</v>
      </c>
      <c r="L3550" s="6" t="str">
        <f>"4.076,55"</f>
        <v>4.076,55</v>
      </c>
      <c r="M3550" s="6" t="str">
        <f>"20.382,75"</f>
        <v>20.382,75</v>
      </c>
      <c r="N3550" s="5">
        <v>43615</v>
      </c>
      <c r="O3550" s="7"/>
      <c r="P3550" s="6" t="str">
        <f>"20.382,75"</f>
        <v>20.382,75</v>
      </c>
      <c r="Q3550" s="7"/>
      <c r="R3550" s="1"/>
      <c r="S3550" s="1" t="str">
        <f>"J-UN-2019-3557"</f>
        <v>J-UN-2019-3557</v>
      </c>
      <c r="T3550" s="2" t="s">
        <v>33</v>
      </c>
    </row>
    <row r="3551" spans="1:20" ht="25.5" x14ac:dyDescent="0.25">
      <c r="A3551" s="1">
        <v>3547</v>
      </c>
      <c r="B3551" s="1" t="str">
        <f>"2019-345"</f>
        <v>2019-345</v>
      </c>
      <c r="C3551" s="2" t="s">
        <v>2269</v>
      </c>
      <c r="D3551" s="1" t="s">
        <v>977</v>
      </c>
      <c r="E3551" s="3" t="str">
        <f>""</f>
        <v/>
      </c>
      <c r="F3551" s="2" t="s">
        <v>1323</v>
      </c>
      <c r="G3551" s="2" t="str">
        <f>CONCATENATE("COMET D.O.O.,"," VARAŽDINSKA 40/C,"," 42220 NOVI MAROF,"," OIB: 48249084626")</f>
        <v>COMET D.O.O., VARAŽDINSKA 40/C, 42220 NOVI MAROF, OIB: 48249084626</v>
      </c>
      <c r="H3551" s="4"/>
      <c r="I3551" s="1" t="s">
        <v>162</v>
      </c>
      <c r="J3551" s="5">
        <v>43622</v>
      </c>
      <c r="K3551" s="6" t="str">
        <f>"3.495,00"</f>
        <v>3.495,00</v>
      </c>
      <c r="L3551" s="6" t="str">
        <f>"873,75"</f>
        <v>873,75</v>
      </c>
      <c r="M3551" s="6" t="str">
        <f>"4.368,75"</f>
        <v>4.368,75</v>
      </c>
      <c r="N3551" s="5">
        <v>43643</v>
      </c>
      <c r="O3551" s="7"/>
      <c r="P3551" s="6" t="str">
        <f>"4.368,75"</f>
        <v>4.368,75</v>
      </c>
      <c r="Q3551" s="7"/>
      <c r="R3551" s="1"/>
      <c r="S3551" s="1" t="str">
        <f>"J-UN-2019-3558"</f>
        <v>J-UN-2019-3558</v>
      </c>
      <c r="T3551" s="2" t="s">
        <v>33</v>
      </c>
    </row>
    <row r="3552" spans="1:20" ht="25.5" x14ac:dyDescent="0.25">
      <c r="A3552" s="1">
        <v>3548</v>
      </c>
      <c r="B3552" s="1" t="str">
        <f>"2019-749"</f>
        <v>2019-749</v>
      </c>
      <c r="C3552" s="2" t="s">
        <v>2270</v>
      </c>
      <c r="D3552" s="1" t="s">
        <v>2271</v>
      </c>
      <c r="E3552" s="3" t="str">
        <f>""</f>
        <v/>
      </c>
      <c r="F3552" s="2" t="s">
        <v>1323</v>
      </c>
      <c r="G3552" s="2" t="str">
        <f>CONCATENATE("TED D.O.O.,"," VRHOVČEV VIJENAC 84,"," 10000 ZAGREB,"," OIB: 22740118957")</f>
        <v>TED D.O.O., VRHOVČEV VIJENAC 84, 10000 ZAGREB, OIB: 22740118957</v>
      </c>
      <c r="H3552" s="4"/>
      <c r="I3552" s="1" t="s">
        <v>639</v>
      </c>
      <c r="J3552" s="5">
        <v>43621</v>
      </c>
      <c r="K3552" s="6" t="str">
        <f>"14.100,00"</f>
        <v>14.100,00</v>
      </c>
      <c r="L3552" s="6" t="str">
        <f>"3.525,00"</f>
        <v>3.525,00</v>
      </c>
      <c r="M3552" s="6" t="str">
        <f>"17.625,00"</f>
        <v>17.625,00</v>
      </c>
      <c r="N3552" s="5">
        <v>43675</v>
      </c>
      <c r="O3552" s="7"/>
      <c r="P3552" s="6" t="str">
        <f>"17.625,00"</f>
        <v>17.625,00</v>
      </c>
      <c r="Q3552" s="7"/>
      <c r="R3552" s="1"/>
      <c r="S3552" s="1" t="str">
        <f>"J-UN-2019-3559"</f>
        <v>J-UN-2019-3559</v>
      </c>
      <c r="T3552" s="2" t="s">
        <v>33</v>
      </c>
    </row>
    <row r="3553" spans="1:20" ht="25.5" x14ac:dyDescent="0.25">
      <c r="A3553" s="1">
        <v>3549</v>
      </c>
      <c r="B3553" s="1" t="str">
        <f>"2019-1111"</f>
        <v>2019-1111</v>
      </c>
      <c r="C3553" s="2" t="s">
        <v>2119</v>
      </c>
      <c r="D3553" s="1" t="s">
        <v>2120</v>
      </c>
      <c r="E3553" s="3" t="str">
        <f>""</f>
        <v/>
      </c>
      <c r="F3553" s="2" t="s">
        <v>1323</v>
      </c>
      <c r="G3553" s="2" t="str">
        <f>CONCATENATE("SCHEDA D.O.O.,"," LJUDEVITA POSAVSKOG 29,"," 10360 SESVETE,"," OIB: 76219817247")</f>
        <v>SCHEDA D.O.O., LJUDEVITA POSAVSKOG 29, 10360 SESVETE, OIB: 76219817247</v>
      </c>
      <c r="H3553" s="4"/>
      <c r="I3553" s="1" t="s">
        <v>639</v>
      </c>
      <c r="J3553" s="5">
        <v>43621</v>
      </c>
      <c r="K3553" s="6" t="str">
        <f>"1.800,00"</f>
        <v>1.800,00</v>
      </c>
      <c r="L3553" s="6" t="str">
        <f>"450,00"</f>
        <v>450,00</v>
      </c>
      <c r="M3553" s="6" t="str">
        <f>"2.250,00"</f>
        <v>2.250,00</v>
      </c>
      <c r="N3553" s="5">
        <v>43633</v>
      </c>
      <c r="O3553" s="7"/>
      <c r="P3553" s="6" t="str">
        <f>"2.250,00"</f>
        <v>2.250,00</v>
      </c>
      <c r="Q3553" s="7"/>
      <c r="R3553" s="1"/>
      <c r="S3553" s="1" t="str">
        <f>"J-UN-2019-3560"</f>
        <v>J-UN-2019-3560</v>
      </c>
      <c r="T3553" s="2" t="s">
        <v>33</v>
      </c>
    </row>
    <row r="3554" spans="1:20" ht="25.5" x14ac:dyDescent="0.25">
      <c r="A3554" s="1">
        <v>3550</v>
      </c>
      <c r="B3554" s="1" t="str">
        <f>"2019-2020"</f>
        <v>2019-2020</v>
      </c>
      <c r="C3554" s="2" t="s">
        <v>2242</v>
      </c>
      <c r="D3554" s="1" t="s">
        <v>2243</v>
      </c>
      <c r="E3554" s="3" t="str">
        <f>""</f>
        <v/>
      </c>
      <c r="F3554" s="2" t="s">
        <v>1323</v>
      </c>
      <c r="G3554" s="2" t="str">
        <f>CONCATENATE("SCHEDA D.O.O.,"," LJUDEVITA POSAVSKOG 29,"," 10360 SESVETE,"," OIB: 76219817247")</f>
        <v>SCHEDA D.O.O., LJUDEVITA POSAVSKOG 29, 10360 SESVETE, OIB: 76219817247</v>
      </c>
      <c r="H3554" s="4"/>
      <c r="I3554" s="1" t="s">
        <v>597</v>
      </c>
      <c r="J3554" s="5">
        <v>43626</v>
      </c>
      <c r="K3554" s="6" t="str">
        <f>"11.304,27"</f>
        <v>11.304,27</v>
      </c>
      <c r="L3554" s="6" t="str">
        <f>"2.826,07"</f>
        <v>2.826,07</v>
      </c>
      <c r="M3554" s="6" t="str">
        <f>"14.130,34"</f>
        <v>14.130,34</v>
      </c>
      <c r="N3554" s="5">
        <v>43633</v>
      </c>
      <c r="O3554" s="7"/>
      <c r="P3554" s="6" t="str">
        <f>"14.130,34"</f>
        <v>14.130,34</v>
      </c>
      <c r="Q3554" s="7"/>
      <c r="R3554" s="1"/>
      <c r="S3554" s="1" t="str">
        <f>"J-UN-2019-3561"</f>
        <v>J-UN-2019-3561</v>
      </c>
      <c r="T3554" s="2" t="s">
        <v>33</v>
      </c>
    </row>
    <row r="3555" spans="1:20" ht="38.25" x14ac:dyDescent="0.25">
      <c r="A3555" s="1">
        <v>3551</v>
      </c>
      <c r="B3555" s="1" t="str">
        <f>"2019-2455"</f>
        <v>2019-2455</v>
      </c>
      <c r="C3555" s="2" t="s">
        <v>169</v>
      </c>
      <c r="D3555" s="1" t="s">
        <v>170</v>
      </c>
      <c r="E3555" s="3" t="str">
        <f>""</f>
        <v/>
      </c>
      <c r="F3555" s="2" t="s">
        <v>1323</v>
      </c>
      <c r="G3555" s="2" t="str">
        <f>CONCATENATE("METALNO PLASTIČNA GALANTERIJA,"," VL. KREŠIMIR CVETKOVIĆ,"," CVETKOVIĆEV PUT 13,"," 10000 ZAGREB,"," OIB: 47166610982")</f>
        <v>METALNO PLASTIČNA GALANTERIJA, VL. KREŠIMIR CVETKOVIĆ, CVETKOVIĆEV PUT 13, 10000 ZAGREB, OIB: 47166610982</v>
      </c>
      <c r="H3555" s="4"/>
      <c r="I3555" s="1" t="s">
        <v>639</v>
      </c>
      <c r="J3555" s="5">
        <v>43621</v>
      </c>
      <c r="K3555" s="6" t="str">
        <f>"22.330,00"</f>
        <v>22.330,00</v>
      </c>
      <c r="L3555" s="6" t="str">
        <f>"5.582,50"</f>
        <v>5.582,50</v>
      </c>
      <c r="M3555" s="6" t="str">
        <f>"27.912,50"</f>
        <v>27.912,50</v>
      </c>
      <c r="N3555" s="5">
        <v>43642</v>
      </c>
      <c r="O3555" s="7"/>
      <c r="P3555" s="6" t="str">
        <f>"27.912,50"</f>
        <v>27.912,50</v>
      </c>
      <c r="Q3555" s="7"/>
      <c r="R3555" s="1"/>
      <c r="S3555" s="1" t="str">
        <f>"J-UN-2019-3562"</f>
        <v>J-UN-2019-3562</v>
      </c>
      <c r="T3555" s="2" t="s">
        <v>33</v>
      </c>
    </row>
    <row r="3556" spans="1:20" ht="38.25" x14ac:dyDescent="0.25">
      <c r="A3556" s="1">
        <v>3552</v>
      </c>
      <c r="B3556" s="1" t="str">
        <f>"2019-542"</f>
        <v>2019-542</v>
      </c>
      <c r="C3556" s="2" t="s">
        <v>2272</v>
      </c>
      <c r="D3556" s="1" t="s">
        <v>2158</v>
      </c>
      <c r="E3556" s="3" t="str">
        <f>""</f>
        <v/>
      </c>
      <c r="F3556" s="2" t="s">
        <v>1323</v>
      </c>
      <c r="G3556" s="2" t="str">
        <f>CONCATENATE("KEMOBOJA-DUBRAVA D.O.O.,"," AVENIJA DUBRAVA 37,"," 10000 ZAGREB,"," OIB: 6402157427")</f>
        <v>KEMOBOJA-DUBRAVA D.O.O., AVENIJA DUBRAVA 37, 10000 ZAGREB, OIB: 6402157427</v>
      </c>
      <c r="H3556" s="4"/>
      <c r="I3556" s="1" t="s">
        <v>639</v>
      </c>
      <c r="J3556" s="5">
        <v>43621</v>
      </c>
      <c r="K3556" s="6" t="str">
        <f>"2.482,50"</f>
        <v>2.482,50</v>
      </c>
      <c r="L3556" s="6" t="str">
        <f>"620,63"</f>
        <v>620,63</v>
      </c>
      <c r="M3556" s="6" t="str">
        <f>"3.103,13"</f>
        <v>3.103,13</v>
      </c>
      <c r="N3556" s="5">
        <v>43629</v>
      </c>
      <c r="O3556" s="7"/>
      <c r="P3556" s="6" t="str">
        <f>"3.103,12"</f>
        <v>3.103,12</v>
      </c>
      <c r="Q3556" s="7"/>
      <c r="R3556" s="1"/>
      <c r="S3556" s="1" t="str">
        <f>"J-UN-2019-3564"</f>
        <v>J-UN-2019-3564</v>
      </c>
      <c r="T3556" s="2" t="s">
        <v>33</v>
      </c>
    </row>
    <row r="3557" spans="1:20" ht="25.5" x14ac:dyDescent="0.25">
      <c r="A3557" s="1">
        <v>3553</v>
      </c>
      <c r="B3557" s="1" t="str">
        <f>"2019-668"</f>
        <v>2019-668</v>
      </c>
      <c r="C3557" s="2" t="s">
        <v>2273</v>
      </c>
      <c r="D3557" s="1" t="s">
        <v>292</v>
      </c>
      <c r="E3557" s="3" t="str">
        <f>""</f>
        <v/>
      </c>
      <c r="F3557" s="2" t="s">
        <v>1323</v>
      </c>
      <c r="G3557" s="2" t="str">
        <f>CONCATENATE("SCHEDA D.O.O.,"," LJUDEVITA POSAVSKOG 29,"," 10360 SESVETE,"," OIB: 76219817247")</f>
        <v>SCHEDA D.O.O., LJUDEVITA POSAVSKOG 29, 10360 SESVETE, OIB: 76219817247</v>
      </c>
      <c r="H3557" s="4"/>
      <c r="I3557" s="1" t="s">
        <v>639</v>
      </c>
      <c r="J3557" s="5">
        <v>43621</v>
      </c>
      <c r="K3557" s="6" t="str">
        <f>"3.410,00"</f>
        <v>3.410,00</v>
      </c>
      <c r="L3557" s="6" t="str">
        <f>"852,50"</f>
        <v>852,50</v>
      </c>
      <c r="M3557" s="6" t="str">
        <f>"4.262,50"</f>
        <v>4.262,50</v>
      </c>
      <c r="N3557" s="5">
        <v>43642</v>
      </c>
      <c r="O3557" s="7"/>
      <c r="P3557" s="6" t="str">
        <f>"4.262,50"</f>
        <v>4.262,50</v>
      </c>
      <c r="Q3557" s="7"/>
      <c r="R3557" s="1"/>
      <c r="S3557" s="1" t="str">
        <f>"J-UN-2019-3565"</f>
        <v>J-UN-2019-3565</v>
      </c>
      <c r="T3557" s="2" t="s">
        <v>33</v>
      </c>
    </row>
    <row r="3558" spans="1:20" ht="25.5" x14ac:dyDescent="0.25">
      <c r="A3558" s="1">
        <v>3554</v>
      </c>
      <c r="B3558" s="1" t="str">
        <f>"2019-1131"</f>
        <v>2019-1131</v>
      </c>
      <c r="C3558" s="2" t="s">
        <v>2274</v>
      </c>
      <c r="D3558" s="1" t="s">
        <v>382</v>
      </c>
      <c r="E3558" s="3" t="str">
        <f>""</f>
        <v/>
      </c>
      <c r="F3558" s="2" t="s">
        <v>1323</v>
      </c>
      <c r="G3558" s="2" t="str">
        <f>CONCATENATE("MAN-EKO D.O.O.,"," BRAĆE CVIJIĆA 17,"," 10000 ZAGREB,"," OIB: 708190967")</f>
        <v>MAN-EKO D.O.O., BRAĆE CVIJIĆA 17, 10000 ZAGREB, OIB: 708190967</v>
      </c>
      <c r="H3558" s="4"/>
      <c r="I3558" s="1" t="s">
        <v>639</v>
      </c>
      <c r="J3558" s="5">
        <v>43621</v>
      </c>
      <c r="K3558" s="6" t="str">
        <f>"7.960,00"</f>
        <v>7.960,00</v>
      </c>
      <c r="L3558" s="6" t="str">
        <f>"1.990,00"</f>
        <v>1.990,00</v>
      </c>
      <c r="M3558" s="6" t="str">
        <f>"9.950,00"</f>
        <v>9.950,00</v>
      </c>
      <c r="N3558" s="5">
        <v>43644</v>
      </c>
      <c r="O3558" s="7"/>
      <c r="P3558" s="6" t="str">
        <f>"9.950,00"</f>
        <v>9.950,00</v>
      </c>
      <c r="Q3558" s="7"/>
      <c r="R3558" s="1"/>
      <c r="S3558" s="1" t="str">
        <f>"J-UN-2019-3566"</f>
        <v>J-UN-2019-3566</v>
      </c>
      <c r="T3558" s="2" t="s">
        <v>33</v>
      </c>
    </row>
    <row r="3559" spans="1:20" ht="38.25" x14ac:dyDescent="0.25">
      <c r="A3559" s="1">
        <v>3555</v>
      </c>
      <c r="B3559" s="1" t="str">
        <f>"2019-358"</f>
        <v>2019-358</v>
      </c>
      <c r="C3559" s="2" t="s">
        <v>2275</v>
      </c>
      <c r="D3559" s="1" t="s">
        <v>2276</v>
      </c>
      <c r="E3559" s="3" t="str">
        <f>""</f>
        <v/>
      </c>
      <c r="F3559" s="2" t="s">
        <v>1323</v>
      </c>
      <c r="G3559" s="2" t="str">
        <f>CONCATENATE("GRADSKA LJEKARNA ZAGREB,"," KRALJA DRŽISLAVA 6,"," 10000 ZAGREB,"," OIB: 37268254106")</f>
        <v>GRADSKA LJEKARNA ZAGREB, KRALJA DRŽISLAVA 6, 10000 ZAGREB, OIB: 37268254106</v>
      </c>
      <c r="H3559" s="4"/>
      <c r="I3559" s="1" t="s">
        <v>639</v>
      </c>
      <c r="J3559" s="5">
        <v>43621</v>
      </c>
      <c r="K3559" s="6" t="str">
        <f>"9.627,80"</f>
        <v>9.627,80</v>
      </c>
      <c r="L3559" s="6" t="str">
        <f>"2.406,95"</f>
        <v>2.406,95</v>
      </c>
      <c r="M3559" s="6" t="str">
        <f>"12.034,75"</f>
        <v>12.034,75</v>
      </c>
      <c r="N3559" s="5">
        <v>43626</v>
      </c>
      <c r="O3559" s="7"/>
      <c r="P3559" s="6" t="str">
        <f>"12.034,75"</f>
        <v>12.034,75</v>
      </c>
      <c r="Q3559" s="7"/>
      <c r="R3559" s="1"/>
      <c r="S3559" s="1" t="str">
        <f>"J-UN-2019-3567"</f>
        <v>J-UN-2019-3567</v>
      </c>
      <c r="T3559" s="2" t="s">
        <v>33</v>
      </c>
    </row>
    <row r="3560" spans="1:20" ht="38.25" x14ac:dyDescent="0.25">
      <c r="A3560" s="1">
        <v>3556</v>
      </c>
      <c r="B3560" s="1" t="str">
        <f>"2019-1597"</f>
        <v>2019-1597</v>
      </c>
      <c r="C3560" s="2" t="s">
        <v>2277</v>
      </c>
      <c r="D3560" s="1" t="s">
        <v>795</v>
      </c>
      <c r="E3560" s="3" t="str">
        <f>""</f>
        <v/>
      </c>
      <c r="F3560" s="2" t="s">
        <v>1323</v>
      </c>
      <c r="G3560" s="2" t="str">
        <f>CONCATENATE("SMIT-COMMERCE D.O.O.,"," GORNJOSTUPNIČKA 9B,"," 10255 GORNJI STUPNIK,"," OIB: 9524348214")</f>
        <v>SMIT-COMMERCE D.O.O., GORNJOSTUPNIČKA 9B, 10255 GORNJI STUPNIK, OIB: 9524348214</v>
      </c>
      <c r="H3560" s="4"/>
      <c r="I3560" s="1" t="s">
        <v>639</v>
      </c>
      <c r="J3560" s="5">
        <v>43621</v>
      </c>
      <c r="K3560" s="6" t="str">
        <f>"5.694,57"</f>
        <v>5.694,57</v>
      </c>
      <c r="L3560" s="6" t="str">
        <f>"1.423,64"</f>
        <v>1.423,64</v>
      </c>
      <c r="M3560" s="6" t="str">
        <f>"7.118,21"</f>
        <v>7.118,21</v>
      </c>
      <c r="N3560" s="5">
        <v>43651</v>
      </c>
      <c r="O3560" s="7"/>
      <c r="P3560" s="6" t="str">
        <f>"7.118,21"</f>
        <v>7.118,21</v>
      </c>
      <c r="Q3560" s="7"/>
      <c r="R3560" s="1"/>
      <c r="S3560" s="1" t="str">
        <f>"J-UN-2019-3569"</f>
        <v>J-UN-2019-3569</v>
      </c>
      <c r="T3560" s="2" t="s">
        <v>33</v>
      </c>
    </row>
    <row r="3561" spans="1:20" ht="38.25" x14ac:dyDescent="0.25">
      <c r="A3561" s="1">
        <v>3557</v>
      </c>
      <c r="B3561" s="1" t="str">
        <f>"2019-974"</f>
        <v>2019-974</v>
      </c>
      <c r="C3561" s="2" t="s">
        <v>2278</v>
      </c>
      <c r="D3561" s="1" t="s">
        <v>1419</v>
      </c>
      <c r="E3561" s="3" t="str">
        <f>""</f>
        <v/>
      </c>
      <c r="F3561" s="2" t="s">
        <v>1323</v>
      </c>
      <c r="G3561" s="2" t="str">
        <f>CONCATENATE("TAHOGRAF D.O.O.,"," DR. FRANJE TUĐMANA 24,"," 10431 SVETA NEDELJA,"," OIB: 73777060562")</f>
        <v>TAHOGRAF D.O.O., DR. FRANJE TUĐMANA 24, 10431 SVETA NEDELJA, OIB: 73777060562</v>
      </c>
      <c r="H3561" s="4"/>
      <c r="I3561" s="1" t="s">
        <v>639</v>
      </c>
      <c r="J3561" s="5">
        <v>43621</v>
      </c>
      <c r="K3561" s="6" t="str">
        <f>"225,00"</f>
        <v>225,00</v>
      </c>
      <c r="L3561" s="6" t="str">
        <f>"56,25"</f>
        <v>56,25</v>
      </c>
      <c r="M3561" s="6" t="str">
        <f>"281,25"</f>
        <v>281,25</v>
      </c>
      <c r="N3561" s="5">
        <v>43626</v>
      </c>
      <c r="O3561" s="7"/>
      <c r="P3561" s="6" t="str">
        <f>"281,25"</f>
        <v>281,25</v>
      </c>
      <c r="Q3561" s="7"/>
      <c r="R3561" s="1"/>
      <c r="S3561" s="1" t="str">
        <f>"J-UN-2019-3570"</f>
        <v>J-UN-2019-3570</v>
      </c>
      <c r="T3561" s="2" t="s">
        <v>33</v>
      </c>
    </row>
    <row r="3562" spans="1:20" ht="38.25" x14ac:dyDescent="0.25">
      <c r="A3562" s="1">
        <v>3558</v>
      </c>
      <c r="B3562" s="1" t="str">
        <f>"2019-116"</f>
        <v>2019-116</v>
      </c>
      <c r="C3562" s="2" t="s">
        <v>2279</v>
      </c>
      <c r="D3562" s="1" t="s">
        <v>382</v>
      </c>
      <c r="E3562" s="3" t="str">
        <f>""</f>
        <v/>
      </c>
      <c r="F3562" s="2" t="s">
        <v>1323</v>
      </c>
      <c r="G3562" s="2" t="str">
        <f>CONCATENATE("TOKIĆ D.O.O.,"," ULICA 144. BRIGADE HRVATSKE VOJSKE 1A,"," 10360 SESVETE,"," OIB: 7486748762")</f>
        <v>TOKIĆ D.O.O., ULICA 144. BRIGADE HRVATSKE VOJSKE 1A, 10360 SESVETE, OIB: 7486748762</v>
      </c>
      <c r="H3562" s="4"/>
      <c r="I3562" s="1" t="s">
        <v>402</v>
      </c>
      <c r="J3562" s="5">
        <v>43623</v>
      </c>
      <c r="K3562" s="6" t="str">
        <f>"21.083,94"</f>
        <v>21.083,94</v>
      </c>
      <c r="L3562" s="6" t="str">
        <f>"5.270,99"</f>
        <v>5.270,99</v>
      </c>
      <c r="M3562" s="6" t="str">
        <f>"26.354,93"</f>
        <v>26.354,93</v>
      </c>
      <c r="N3562" s="5">
        <v>43637</v>
      </c>
      <c r="O3562" s="7"/>
      <c r="P3562" s="6" t="str">
        <f>"22.253,68"</f>
        <v>22.253,68</v>
      </c>
      <c r="Q3562" s="7"/>
      <c r="R3562" s="1"/>
      <c r="S3562" s="1" t="str">
        <f>"J-UN-2019-3571"</f>
        <v>J-UN-2019-3571</v>
      </c>
      <c r="T3562" s="2" t="s">
        <v>33</v>
      </c>
    </row>
    <row r="3563" spans="1:20" ht="25.5" x14ac:dyDescent="0.25">
      <c r="A3563" s="1">
        <v>3559</v>
      </c>
      <c r="B3563" s="1" t="str">
        <f>"2019-1420"</f>
        <v>2019-1420</v>
      </c>
      <c r="C3563" s="2" t="s">
        <v>2280</v>
      </c>
      <c r="D3563" s="1" t="s">
        <v>2281</v>
      </c>
      <c r="E3563" s="3" t="str">
        <f>""</f>
        <v/>
      </c>
      <c r="F3563" s="2" t="s">
        <v>1323</v>
      </c>
      <c r="G3563" s="2" t="str">
        <f>CONCATENATE("BERST D.O.O.,"," ZLATKA ŠULENTIĆA 8,"," 10000 ZAGREB,"," OIB: 49285823308")</f>
        <v>BERST D.O.O., ZLATKA ŠULENTIĆA 8, 10000 ZAGREB, OIB: 49285823308</v>
      </c>
      <c r="H3563" s="4"/>
      <c r="I3563" s="1" t="s">
        <v>579</v>
      </c>
      <c r="J3563" s="5">
        <v>43630</v>
      </c>
      <c r="K3563" s="6" t="str">
        <f>"11.434,00"</f>
        <v>11.434,00</v>
      </c>
      <c r="L3563" s="6" t="str">
        <f>"2.858,50"</f>
        <v>2.858,50</v>
      </c>
      <c r="M3563" s="6" t="str">
        <f>"14.292,50"</f>
        <v>14.292,50</v>
      </c>
      <c r="N3563" s="5">
        <v>43644</v>
      </c>
      <c r="O3563" s="7"/>
      <c r="P3563" s="6" t="str">
        <f>"14.292,50"</f>
        <v>14.292,50</v>
      </c>
      <c r="Q3563" s="7"/>
      <c r="R3563" s="1"/>
      <c r="S3563" s="1" t="str">
        <f>"J-UN-2019-3572"</f>
        <v>J-UN-2019-3572</v>
      </c>
      <c r="T3563" s="2" t="s">
        <v>33</v>
      </c>
    </row>
    <row r="3564" spans="1:20" ht="25.5" x14ac:dyDescent="0.25">
      <c r="A3564" s="1">
        <v>3560</v>
      </c>
      <c r="B3564" s="1" t="str">
        <f>"2019-1303"</f>
        <v>2019-1303</v>
      </c>
      <c r="C3564" s="2" t="s">
        <v>2221</v>
      </c>
      <c r="D3564" s="1" t="s">
        <v>860</v>
      </c>
      <c r="E3564" s="3" t="str">
        <f>""</f>
        <v/>
      </c>
      <c r="F3564" s="2" t="s">
        <v>1323</v>
      </c>
      <c r="G3564" s="2" t="str">
        <f>CONCATENATE("ITM D.O.O.,"," TRAKOŠĆANSKA 2,"," 10000 ZAGREB,"," OIB: 59759844999")</f>
        <v>ITM D.O.O., TRAKOŠĆANSKA 2, 10000 ZAGREB, OIB: 59759844999</v>
      </c>
      <c r="H3564" s="4"/>
      <c r="I3564" s="1" t="s">
        <v>639</v>
      </c>
      <c r="J3564" s="5">
        <v>43621</v>
      </c>
      <c r="K3564" s="6" t="str">
        <f>"6.800,00"</f>
        <v>6.800,00</v>
      </c>
      <c r="L3564" s="6" t="str">
        <f>"1.700,00"</f>
        <v>1.700,00</v>
      </c>
      <c r="M3564" s="6" t="str">
        <f>"8.500,00"</f>
        <v>8.500,00</v>
      </c>
      <c r="N3564" s="1" t="s">
        <v>117</v>
      </c>
      <c r="O3564" s="7"/>
      <c r="P3564" s="6" t="str">
        <f>""</f>
        <v/>
      </c>
      <c r="Q3564" s="7"/>
      <c r="R3564" s="1"/>
      <c r="S3564" s="1" t="str">
        <f>"J-UN-2019-3573"</f>
        <v>J-UN-2019-3573</v>
      </c>
      <c r="T3564" s="2" t="s">
        <v>33</v>
      </c>
    </row>
    <row r="3565" spans="1:20" ht="38.25" x14ac:dyDescent="0.25">
      <c r="A3565" s="1">
        <v>3561</v>
      </c>
      <c r="B3565" s="1" t="str">
        <f>"2019-669"</f>
        <v>2019-669</v>
      </c>
      <c r="C3565" s="2" t="s">
        <v>2282</v>
      </c>
      <c r="D3565" s="1" t="s">
        <v>382</v>
      </c>
      <c r="E3565" s="3" t="str">
        <f>""</f>
        <v/>
      </c>
      <c r="F3565" s="2" t="s">
        <v>1323</v>
      </c>
      <c r="G3565" s="2" t="str">
        <f>CONCATENATE("D.R. AUTO D.O.O.,"," SELSKA CESTA 34,"," 10000 ZAGREB,"," OIB: 07523847158")</f>
        <v>D.R. AUTO D.O.O., SELSKA CESTA 34, 10000 ZAGREB, OIB: 07523847158</v>
      </c>
      <c r="H3565" s="4"/>
      <c r="I3565" s="1" t="s">
        <v>642</v>
      </c>
      <c r="J3565" s="5">
        <v>43615</v>
      </c>
      <c r="K3565" s="6" t="str">
        <f>"2.099,56"</f>
        <v>2.099,56</v>
      </c>
      <c r="L3565" s="6" t="str">
        <f>"524,89"</f>
        <v>524,89</v>
      </c>
      <c r="M3565" s="6" t="str">
        <f>"2.624,45"</f>
        <v>2.624,45</v>
      </c>
      <c r="N3565" s="5">
        <v>43614</v>
      </c>
      <c r="O3565" s="7"/>
      <c r="P3565" s="6" t="str">
        <f>"2.624,45"</f>
        <v>2.624,45</v>
      </c>
      <c r="Q3565" s="7"/>
      <c r="R3565" s="1"/>
      <c r="S3565" s="1" t="str">
        <f>"J-UN-2019-3588"</f>
        <v>J-UN-2019-3588</v>
      </c>
      <c r="T3565" s="2" t="s">
        <v>33</v>
      </c>
    </row>
    <row r="3566" spans="1:20" ht="25.5" x14ac:dyDescent="0.25">
      <c r="A3566" s="1">
        <v>3562</v>
      </c>
      <c r="B3566" s="1" t="str">
        <f>"2019-441"</f>
        <v>2019-441</v>
      </c>
      <c r="C3566" s="2" t="s">
        <v>2283</v>
      </c>
      <c r="D3566" s="1" t="s">
        <v>1351</v>
      </c>
      <c r="E3566" s="3" t="str">
        <f>""</f>
        <v/>
      </c>
      <c r="F3566" s="2" t="s">
        <v>1323</v>
      </c>
      <c r="G3566" s="2" t="str">
        <f>CONCATENATE("WAWA D.O.O.,"," OIB: 59785180614")</f>
        <v>WAWA D.O.O., OIB: 59785180614</v>
      </c>
      <c r="H3566" s="4"/>
      <c r="I3566" s="1" t="s">
        <v>642</v>
      </c>
      <c r="J3566" s="5">
        <v>43615</v>
      </c>
      <c r="K3566" s="6" t="str">
        <f>"11.825,27"</f>
        <v>11.825,27</v>
      </c>
      <c r="L3566" s="6" t="str">
        <f>"2.956,32"</f>
        <v>2.956,32</v>
      </c>
      <c r="M3566" s="6" t="str">
        <f>"14.781,59"</f>
        <v>14.781,59</v>
      </c>
      <c r="N3566" s="5">
        <v>43635</v>
      </c>
      <c r="O3566" s="7"/>
      <c r="P3566" s="6" t="str">
        <f>"14.781,59"</f>
        <v>14.781,59</v>
      </c>
      <c r="Q3566" s="7"/>
      <c r="R3566" s="1"/>
      <c r="S3566" s="1" t="str">
        <f>"J-UN-2019-3589"</f>
        <v>J-UN-2019-3589</v>
      </c>
      <c r="T3566" s="2" t="s">
        <v>33</v>
      </c>
    </row>
    <row r="3567" spans="1:20" ht="25.5" x14ac:dyDescent="0.25">
      <c r="A3567" s="1">
        <v>3563</v>
      </c>
      <c r="B3567" s="1" t="str">
        <f>"2019-757"</f>
        <v>2019-757</v>
      </c>
      <c r="C3567" s="2" t="s">
        <v>2284</v>
      </c>
      <c r="D3567" s="1" t="s">
        <v>164</v>
      </c>
      <c r="E3567" s="3" t="str">
        <f>""</f>
        <v/>
      </c>
      <c r="F3567" s="2" t="s">
        <v>1323</v>
      </c>
      <c r="G3567" s="2" t="str">
        <f>CONCATENATE("AD HOC-CENTAR D.O.O.,"," DRAŠKOVIĆEVA 4A,"," 10000 ZAGREB,"," OIB: 75132412279")</f>
        <v>AD HOC-CENTAR D.O.O., DRAŠKOVIĆEVA 4A, 10000 ZAGREB, OIB: 75132412279</v>
      </c>
      <c r="H3567" s="4"/>
      <c r="I3567" s="1" t="s">
        <v>642</v>
      </c>
      <c r="J3567" s="5">
        <v>43615</v>
      </c>
      <c r="K3567" s="6" t="str">
        <f>"38.325,00"</f>
        <v>38.325,00</v>
      </c>
      <c r="L3567" s="6" t="str">
        <f>"9.581,25"</f>
        <v>9.581,25</v>
      </c>
      <c r="M3567" s="6" t="str">
        <f>"47.906,25"</f>
        <v>47.906,25</v>
      </c>
      <c r="N3567" s="5">
        <v>43615</v>
      </c>
      <c r="O3567" s="7"/>
      <c r="P3567" s="6" t="str">
        <f>"47.906,25"</f>
        <v>47.906,25</v>
      </c>
      <c r="Q3567" s="7"/>
      <c r="R3567" s="1"/>
      <c r="S3567" s="1" t="str">
        <f>"J-UN-2019-3590"</f>
        <v>J-UN-2019-3590</v>
      </c>
      <c r="T3567" s="2" t="s">
        <v>33</v>
      </c>
    </row>
    <row r="3568" spans="1:20" ht="25.5" x14ac:dyDescent="0.25">
      <c r="A3568" s="1">
        <v>3564</v>
      </c>
      <c r="B3568" s="1" t="str">
        <f>"2019-622"</f>
        <v>2019-622</v>
      </c>
      <c r="C3568" s="2" t="s">
        <v>2285</v>
      </c>
      <c r="D3568" s="1" t="s">
        <v>1698</v>
      </c>
      <c r="E3568" s="3" t="str">
        <f>""</f>
        <v/>
      </c>
      <c r="F3568" s="2" t="s">
        <v>1323</v>
      </c>
      <c r="G3568" s="2" t="str">
        <f>CONCATENATE("O-K-TEH d.o.o.,"," VUČAK 16A,"," 10000 ZAGREB,"," OIB: 37322381288")</f>
        <v>O-K-TEH d.o.o., VUČAK 16A, 10000 ZAGREB, OIB: 37322381288</v>
      </c>
      <c r="H3568" s="4"/>
      <c r="I3568" s="1" t="s">
        <v>642</v>
      </c>
      <c r="J3568" s="5">
        <v>43615</v>
      </c>
      <c r="K3568" s="6" t="str">
        <f>"4.880,00"</f>
        <v>4.880,00</v>
      </c>
      <c r="L3568" s="6" t="str">
        <f>"1.220,00"</f>
        <v>1.220,00</v>
      </c>
      <c r="M3568" s="6" t="str">
        <f>"6.100,00"</f>
        <v>6.100,00</v>
      </c>
      <c r="N3568" s="5">
        <v>43627</v>
      </c>
      <c r="O3568" s="7"/>
      <c r="P3568" s="6" t="str">
        <f>"5.793,75"</f>
        <v>5.793,75</v>
      </c>
      <c r="Q3568" s="7"/>
      <c r="R3568" s="1"/>
      <c r="S3568" s="1" t="str">
        <f>"J-UN-2019-3591"</f>
        <v>J-UN-2019-3591</v>
      </c>
      <c r="T3568" s="2" t="s">
        <v>33</v>
      </c>
    </row>
    <row r="3569" spans="1:20" ht="25.5" x14ac:dyDescent="0.25">
      <c r="A3569" s="1">
        <v>3565</v>
      </c>
      <c r="B3569" s="1" t="str">
        <f>"2019-731"</f>
        <v>2019-731</v>
      </c>
      <c r="C3569" s="2" t="s">
        <v>2286</v>
      </c>
      <c r="D3569" s="1" t="s">
        <v>2287</v>
      </c>
      <c r="E3569" s="3" t="str">
        <f>""</f>
        <v/>
      </c>
      <c r="F3569" s="2" t="s">
        <v>1323</v>
      </c>
      <c r="G3569" s="2" t="str">
        <f>CONCATENATE("KODEKS D.O.O.,"," DRAŠNIČKA 6,"," 10000 ZAGREB,"," OIB: 82691288367")</f>
        <v>KODEKS D.O.O., DRAŠNIČKA 6, 10000 ZAGREB, OIB: 82691288367</v>
      </c>
      <c r="H3569" s="4"/>
      <c r="I3569" s="1" t="s">
        <v>642</v>
      </c>
      <c r="J3569" s="5">
        <v>43615</v>
      </c>
      <c r="K3569" s="6" t="str">
        <f>"744,93"</f>
        <v>744,93</v>
      </c>
      <c r="L3569" s="6" t="str">
        <f>"186,23"</f>
        <v>186,23</v>
      </c>
      <c r="M3569" s="6" t="str">
        <f>"931,16"</f>
        <v>931,16</v>
      </c>
      <c r="N3569" s="5">
        <v>43616</v>
      </c>
      <c r="O3569" s="7"/>
      <c r="P3569" s="6" t="str">
        <f>"931,16"</f>
        <v>931,16</v>
      </c>
      <c r="Q3569" s="7"/>
      <c r="R3569" s="1"/>
      <c r="S3569" s="1" t="str">
        <f>"J-UN-2019-3592"</f>
        <v>J-UN-2019-3592</v>
      </c>
      <c r="T3569" s="2" t="s">
        <v>33</v>
      </c>
    </row>
    <row r="3570" spans="1:20" ht="25.5" x14ac:dyDescent="0.25">
      <c r="A3570" s="1">
        <v>3566</v>
      </c>
      <c r="B3570" s="1" t="str">
        <f>"2019-5"</f>
        <v>2019-5</v>
      </c>
      <c r="C3570" s="2" t="s">
        <v>2139</v>
      </c>
      <c r="D3570" s="1" t="s">
        <v>1759</v>
      </c>
      <c r="E3570" s="3" t="str">
        <f>""</f>
        <v/>
      </c>
      <c r="F3570" s="2" t="s">
        <v>1323</v>
      </c>
      <c r="G3570" s="2" t="str">
        <f>CONCATENATE("ITM D.O.O.,"," TRAKOŠĆANSKA 2,"," 10000 ZAGREB,"," OIB: 59759844999")</f>
        <v>ITM D.O.O., TRAKOŠĆANSKA 2, 10000 ZAGREB, OIB: 59759844999</v>
      </c>
      <c r="H3570" s="4"/>
      <c r="I3570" s="1" t="s">
        <v>162</v>
      </c>
      <c r="J3570" s="5">
        <v>43622</v>
      </c>
      <c r="K3570" s="6" t="str">
        <f>"54.700,00"</f>
        <v>54.700,00</v>
      </c>
      <c r="L3570" s="6" t="str">
        <f>"13.675,00"</f>
        <v>13.675,00</v>
      </c>
      <c r="M3570" s="6" t="str">
        <f>"68.375,00"</f>
        <v>68.375,00</v>
      </c>
      <c r="N3570" s="5">
        <v>43644</v>
      </c>
      <c r="O3570" s="7"/>
      <c r="P3570" s="6" t="str">
        <f>"68.375,00"</f>
        <v>68.375,00</v>
      </c>
      <c r="Q3570" s="7"/>
      <c r="R3570" s="1"/>
      <c r="S3570" s="1" t="str">
        <f>"J-UN-2019-3593"</f>
        <v>J-UN-2019-3593</v>
      </c>
      <c r="T3570" s="2" t="s">
        <v>33</v>
      </c>
    </row>
    <row r="3571" spans="1:20" ht="25.5" x14ac:dyDescent="0.25">
      <c r="A3571" s="1">
        <v>3567</v>
      </c>
      <c r="B3571" s="1" t="str">
        <f>"2019-846"</f>
        <v>2019-846</v>
      </c>
      <c r="C3571" s="2" t="s">
        <v>2288</v>
      </c>
      <c r="D3571" s="1" t="s">
        <v>2289</v>
      </c>
      <c r="E3571" s="3" t="str">
        <f>""</f>
        <v/>
      </c>
      <c r="F3571" s="2" t="s">
        <v>1323</v>
      </c>
      <c r="G3571" s="2" t="str">
        <f>CONCATENATE("TEHNO-HIDRAULIK D.O.O.,"," RADNIČKA 9/A,"," 10000 ZAGREB,"," OIB: 09925328419")</f>
        <v>TEHNO-HIDRAULIK D.O.O., RADNIČKA 9/A, 10000 ZAGREB, OIB: 09925328419</v>
      </c>
      <c r="H3571" s="4"/>
      <c r="I3571" s="1" t="s">
        <v>642</v>
      </c>
      <c r="J3571" s="5">
        <v>43615</v>
      </c>
      <c r="K3571" s="6" t="str">
        <f>"18.508,50"</f>
        <v>18.508,50</v>
      </c>
      <c r="L3571" s="6" t="str">
        <f>"4.627,13"</f>
        <v>4.627,13</v>
      </c>
      <c r="M3571" s="6" t="str">
        <f>"23.135,63"</f>
        <v>23.135,63</v>
      </c>
      <c r="N3571" s="5">
        <v>43644</v>
      </c>
      <c r="O3571" s="7"/>
      <c r="P3571" s="6" t="str">
        <f>"23.135,62"</f>
        <v>23.135,62</v>
      </c>
      <c r="Q3571" s="7"/>
      <c r="R3571" s="1"/>
      <c r="S3571" s="1" t="str">
        <f>"J-UN-2019-3594"</f>
        <v>J-UN-2019-3594</v>
      </c>
      <c r="T3571" s="2" t="s">
        <v>33</v>
      </c>
    </row>
    <row r="3572" spans="1:20" ht="25.5" x14ac:dyDescent="0.25">
      <c r="A3572" s="1">
        <v>3568</v>
      </c>
      <c r="B3572" s="1" t="str">
        <f>"2019-2274"</f>
        <v>2019-2274</v>
      </c>
      <c r="C3572" s="2" t="s">
        <v>2290</v>
      </c>
      <c r="D3572" s="1" t="s">
        <v>2291</v>
      </c>
      <c r="E3572" s="3" t="str">
        <f>""</f>
        <v/>
      </c>
      <c r="F3572" s="2" t="s">
        <v>1323</v>
      </c>
      <c r="G3572" s="2" t="str">
        <f>CONCATENATE("TOMIDO D. O. O.,"," J. IVANČIĆA 21,"," 52100 PULA,"," OIB: 8125202967")</f>
        <v>TOMIDO D. O. O., J. IVANČIĆA 21, 52100 PULA, OIB: 8125202967</v>
      </c>
      <c r="H3572" s="4"/>
      <c r="I3572" s="1" t="s">
        <v>642</v>
      </c>
      <c r="J3572" s="5">
        <v>43615</v>
      </c>
      <c r="K3572" s="6" t="str">
        <f>"670,00"</f>
        <v>670,00</v>
      </c>
      <c r="L3572" s="6" t="str">
        <f>"167,50"</f>
        <v>167,50</v>
      </c>
      <c r="M3572" s="6" t="str">
        <f>"837,50"</f>
        <v>837,50</v>
      </c>
      <c r="N3572" s="5">
        <v>43614</v>
      </c>
      <c r="O3572" s="7"/>
      <c r="P3572" s="6" t="str">
        <f>"837,50"</f>
        <v>837,50</v>
      </c>
      <c r="Q3572" s="7"/>
      <c r="R3572" s="1"/>
      <c r="S3572" s="1" t="str">
        <f>"J-UN-2019-3595"</f>
        <v>J-UN-2019-3595</v>
      </c>
      <c r="T3572" s="2" t="s">
        <v>33</v>
      </c>
    </row>
    <row r="3573" spans="1:20" ht="38.25" x14ac:dyDescent="0.25">
      <c r="A3573" s="1">
        <v>3569</v>
      </c>
      <c r="B3573" s="1" t="str">
        <f>"2019-493"</f>
        <v>2019-493</v>
      </c>
      <c r="C3573" s="2" t="s">
        <v>2292</v>
      </c>
      <c r="D3573" s="1" t="s">
        <v>860</v>
      </c>
      <c r="E3573" s="3" t="str">
        <f>""</f>
        <v/>
      </c>
      <c r="F3573" s="2" t="s">
        <v>1323</v>
      </c>
      <c r="G3573" s="2" t="str">
        <f>CONCATENATE("BROLEX D.O.O.,"," MOMJANSKA ULICA 2,"," 52460 BUJE (BUIE),"," OIB: 99214387")</f>
        <v>BROLEX D.O.O., MOMJANSKA ULICA 2, 52460 BUJE (BUIE), OIB: 99214387</v>
      </c>
      <c r="H3573" s="4"/>
      <c r="I3573" s="1" t="s">
        <v>73</v>
      </c>
      <c r="J3573" s="5">
        <v>43616</v>
      </c>
      <c r="K3573" s="6" t="str">
        <f>"17.900,00"</f>
        <v>17.900,00</v>
      </c>
      <c r="L3573" s="6" t="str">
        <f>"4.475,00"</f>
        <v>4.475,00</v>
      </c>
      <c r="M3573" s="6" t="str">
        <f>"22.375,00"</f>
        <v>22.375,00</v>
      </c>
      <c r="N3573" s="5">
        <v>43630</v>
      </c>
      <c r="O3573" s="7"/>
      <c r="P3573" s="6" t="str">
        <f>"22.375,00"</f>
        <v>22.375,00</v>
      </c>
      <c r="Q3573" s="7"/>
      <c r="R3573" s="1"/>
      <c r="S3573" s="1" t="str">
        <f>"J-UN-2019-3596"</f>
        <v>J-UN-2019-3596</v>
      </c>
      <c r="T3573" s="2" t="s">
        <v>33</v>
      </c>
    </row>
    <row r="3574" spans="1:20" ht="38.25" x14ac:dyDescent="0.25">
      <c r="A3574" s="1">
        <v>3570</v>
      </c>
      <c r="B3574" s="1" t="str">
        <f>"2019-2186"</f>
        <v>2019-2186</v>
      </c>
      <c r="C3574" s="2" t="s">
        <v>2293</v>
      </c>
      <c r="D3574" s="1" t="s">
        <v>972</v>
      </c>
      <c r="E3574" s="3" t="str">
        <f>""</f>
        <v/>
      </c>
      <c r="F3574" s="2" t="s">
        <v>1323</v>
      </c>
      <c r="G3574" s="2" t="str">
        <f>CONCATENATE("STROJOGRADNJA,"," VL. DORA PERŠI,"," RAKITJE,"," RADNIČKA 9,"," 10431 SVETA NEDJELJA,"," OIB: 72791562742")</f>
        <v>STROJOGRADNJA, VL. DORA PERŠI, RAKITJE, RADNIČKA 9, 10431 SVETA NEDJELJA, OIB: 72791562742</v>
      </c>
      <c r="H3574" s="4"/>
      <c r="I3574" s="1" t="s">
        <v>73</v>
      </c>
      <c r="J3574" s="5">
        <v>43616</v>
      </c>
      <c r="K3574" s="6" t="str">
        <f>"4.320,00"</f>
        <v>4.320,00</v>
      </c>
      <c r="L3574" s="6" t="str">
        <f>"1.080,00"</f>
        <v>1.080,00</v>
      </c>
      <c r="M3574" s="6" t="str">
        <f>"5.400,00"</f>
        <v>5.400,00</v>
      </c>
      <c r="N3574" s="1" t="s">
        <v>117</v>
      </c>
      <c r="O3574" s="7"/>
      <c r="P3574" s="6" t="str">
        <f>""</f>
        <v/>
      </c>
      <c r="Q3574" s="7"/>
      <c r="R3574" s="1"/>
      <c r="S3574" s="1" t="str">
        <f>"J-UN-2019-3597"</f>
        <v>J-UN-2019-3597</v>
      </c>
      <c r="T3574" s="2" t="s">
        <v>33</v>
      </c>
    </row>
    <row r="3575" spans="1:20" ht="38.25" x14ac:dyDescent="0.25">
      <c r="A3575" s="1">
        <v>3571</v>
      </c>
      <c r="B3575" s="1" t="str">
        <f>"2019-13"</f>
        <v>2019-13</v>
      </c>
      <c r="C3575" s="2" t="s">
        <v>2146</v>
      </c>
      <c r="D3575" s="1" t="s">
        <v>2147</v>
      </c>
      <c r="E3575" s="3" t="str">
        <f>""</f>
        <v/>
      </c>
      <c r="F3575" s="2" t="s">
        <v>1323</v>
      </c>
      <c r="G3575" s="2" t="str">
        <f>CONCATENATE("JAVNA VATROGASNA POSTROJBA GRADA ŠIBENIKA,"," PUT GROBLJA 2,"," 22000 ŠIBENIK,"," OIB: 28392388169")</f>
        <v>JAVNA VATROGASNA POSTROJBA GRADA ŠIBENIKA, PUT GROBLJA 2, 22000 ŠIBENIK, OIB: 28392388169</v>
      </c>
      <c r="H3575" s="4"/>
      <c r="I3575" s="1" t="s">
        <v>73</v>
      </c>
      <c r="J3575" s="5">
        <v>43616</v>
      </c>
      <c r="K3575" s="6" t="str">
        <f>"526,00"</f>
        <v>526,00</v>
      </c>
      <c r="L3575" s="6" t="str">
        <f>"131,50"</f>
        <v>131,50</v>
      </c>
      <c r="M3575" s="6" t="str">
        <f>"657,50"</f>
        <v>657,50</v>
      </c>
      <c r="N3575" s="5">
        <v>43616</v>
      </c>
      <c r="O3575" s="7"/>
      <c r="P3575" s="6" t="str">
        <f>"657,50"</f>
        <v>657,50</v>
      </c>
      <c r="Q3575" s="7"/>
      <c r="R3575" s="1"/>
      <c r="S3575" s="1" t="str">
        <f>"J-UN-2019-3598"</f>
        <v>J-UN-2019-3598</v>
      </c>
      <c r="T3575" s="2" t="s">
        <v>33</v>
      </c>
    </row>
    <row r="3576" spans="1:20" ht="25.5" x14ac:dyDescent="0.25">
      <c r="A3576" s="1">
        <v>3572</v>
      </c>
      <c r="B3576" s="1" t="str">
        <f>"2019-334"</f>
        <v>2019-334</v>
      </c>
      <c r="C3576" s="2" t="s">
        <v>2294</v>
      </c>
      <c r="D3576" s="1" t="s">
        <v>2295</v>
      </c>
      <c r="E3576" s="3" t="str">
        <f>""</f>
        <v/>
      </c>
      <c r="F3576" s="2" t="s">
        <v>1323</v>
      </c>
      <c r="G3576" s="2" t="str">
        <f>CONCATENATE("SVRDLO D.O.O.,"," ŠKOLSKA ULICA 10,"," 10370 DUGO SELO,"," OIB: 36535565458")</f>
        <v>SVRDLO D.O.O., ŠKOLSKA ULICA 10, 10370 DUGO SELO, OIB: 36535565458</v>
      </c>
      <c r="H3576" s="4"/>
      <c r="I3576" s="1" t="s">
        <v>597</v>
      </c>
      <c r="J3576" s="5">
        <v>43626</v>
      </c>
      <c r="K3576" s="6" t="str">
        <f>"4.680,00"</f>
        <v>4.680,00</v>
      </c>
      <c r="L3576" s="6" t="str">
        <f>"1.170,00"</f>
        <v>1.170,00</v>
      </c>
      <c r="M3576" s="6" t="str">
        <f>"5.850,00"</f>
        <v>5.850,00</v>
      </c>
      <c r="N3576" s="5">
        <v>43642</v>
      </c>
      <c r="O3576" s="7"/>
      <c r="P3576" s="6" t="str">
        <f>"5.850,00"</f>
        <v>5.850,00</v>
      </c>
      <c r="Q3576" s="7"/>
      <c r="R3576" s="1"/>
      <c r="S3576" s="1" t="str">
        <f>"J-UN-2019-3599"</f>
        <v>J-UN-2019-3599</v>
      </c>
      <c r="T3576" s="2" t="s">
        <v>33</v>
      </c>
    </row>
    <row r="3577" spans="1:20" x14ac:dyDescent="0.25">
      <c r="A3577" s="1">
        <v>3573</v>
      </c>
      <c r="B3577" s="1" t="str">
        <f>"2019-2338"</f>
        <v>2019-2338</v>
      </c>
      <c r="C3577" s="2" t="s">
        <v>2296</v>
      </c>
      <c r="D3577" s="1" t="s">
        <v>2297</v>
      </c>
      <c r="E3577" s="3" t="str">
        <f>""</f>
        <v/>
      </c>
      <c r="F3577" s="2" t="s">
        <v>1323</v>
      </c>
      <c r="G3577" s="2" t="str">
        <f>CONCATENATE("NARODNE NOVINE D.D.,"," OIB: 64546066176")</f>
        <v>NARODNE NOVINE D.D., OIB: 64546066176</v>
      </c>
      <c r="H3577" s="4"/>
      <c r="I3577" s="1" t="s">
        <v>402</v>
      </c>
      <c r="J3577" s="5">
        <v>43623</v>
      </c>
      <c r="K3577" s="6" t="str">
        <f>"10.235,00"</f>
        <v>10.235,00</v>
      </c>
      <c r="L3577" s="6" t="str">
        <f>"2.558,75"</f>
        <v>2.558,75</v>
      </c>
      <c r="M3577" s="6" t="str">
        <f>"12.793,75"</f>
        <v>12.793,75</v>
      </c>
      <c r="N3577" s="5">
        <v>43644</v>
      </c>
      <c r="O3577" s="7"/>
      <c r="P3577" s="6" t="str">
        <f>"12.793,75"</f>
        <v>12.793,75</v>
      </c>
      <c r="Q3577" s="7"/>
      <c r="R3577" s="1"/>
      <c r="S3577" s="1" t="str">
        <f>"J-UN-2019-3600"</f>
        <v>J-UN-2019-3600</v>
      </c>
      <c r="T3577" s="2" t="s">
        <v>33</v>
      </c>
    </row>
    <row r="3578" spans="1:20" ht="38.25" x14ac:dyDescent="0.25">
      <c r="A3578" s="1">
        <v>3574</v>
      </c>
      <c r="B3578" s="1" t="str">
        <f>"2019-219"</f>
        <v>2019-219</v>
      </c>
      <c r="C3578" s="2" t="s">
        <v>2107</v>
      </c>
      <c r="D3578" s="1" t="s">
        <v>2108</v>
      </c>
      <c r="E3578" s="3" t="str">
        <f>""</f>
        <v/>
      </c>
      <c r="F3578" s="2" t="s">
        <v>1323</v>
      </c>
      <c r="G3578" s="2" t="str">
        <f>CONCATENATE("VETERINARSKA STANICA SESVETE D.O.O.,"," JELKOVEČKA 2,"," 10360 SESVETE,"," OIB: 85969503819")</f>
        <v>VETERINARSKA STANICA SESVETE D.O.O., JELKOVEČKA 2, 10360 SESVETE, OIB: 85969503819</v>
      </c>
      <c r="H3578" s="4"/>
      <c r="I3578" s="1" t="s">
        <v>73</v>
      </c>
      <c r="J3578" s="5">
        <v>44104</v>
      </c>
      <c r="K3578" s="6" t="str">
        <f>"122.130,00"</f>
        <v>122.130,00</v>
      </c>
      <c r="L3578" s="6" t="str">
        <f>"30.532,50"</f>
        <v>30.532,50</v>
      </c>
      <c r="M3578" s="6" t="str">
        <f>"152.662,50"</f>
        <v>152.662,50</v>
      </c>
      <c r="N3578" s="5">
        <v>43646</v>
      </c>
      <c r="O3578" s="7"/>
      <c r="P3578" s="6" t="str">
        <f>"17.700,00"</f>
        <v>17.700,00</v>
      </c>
      <c r="Q3578" s="7"/>
      <c r="R3578" s="1"/>
      <c r="S3578" s="1" t="str">
        <f>"J-UN-2019-3601"</f>
        <v>J-UN-2019-3601</v>
      </c>
      <c r="T3578" s="2" t="s">
        <v>33</v>
      </c>
    </row>
    <row r="3579" spans="1:20" ht="38.25" x14ac:dyDescent="0.25">
      <c r="A3579" s="1">
        <v>3575</v>
      </c>
      <c r="B3579" s="1" t="str">
        <f>"2019-1793"</f>
        <v>2019-1793</v>
      </c>
      <c r="C3579" s="2" t="s">
        <v>2298</v>
      </c>
      <c r="D3579" s="1" t="s">
        <v>223</v>
      </c>
      <c r="E3579" s="3" t="str">
        <f>""</f>
        <v/>
      </c>
      <c r="F3579" s="2" t="s">
        <v>1323</v>
      </c>
      <c r="G3579" s="2" t="str">
        <f>CONCATENATE("ECCOS-INŽENJERING D.O.O.,"," BANI 110,"," 10000 ZAGREB,"," OIB: 71629027685")</f>
        <v>ECCOS-INŽENJERING D.O.O., BANI 110, 10000 ZAGREB, OIB: 71629027685</v>
      </c>
      <c r="H3579" s="4"/>
      <c r="I3579" s="1" t="s">
        <v>73</v>
      </c>
      <c r="J3579" s="5">
        <v>43616</v>
      </c>
      <c r="K3579" s="6" t="str">
        <f>"40.000,00"</f>
        <v>40.000,00</v>
      </c>
      <c r="L3579" s="6" t="str">
        <f>"10.000,00"</f>
        <v>10.000,00</v>
      </c>
      <c r="M3579" s="6" t="str">
        <f>"50.000,00"</f>
        <v>50.000,00</v>
      </c>
      <c r="N3579" s="5">
        <v>43626</v>
      </c>
      <c r="O3579" s="7"/>
      <c r="P3579" s="6" t="str">
        <f>"50.000,00"</f>
        <v>50.000,00</v>
      </c>
      <c r="Q3579" s="7"/>
      <c r="R3579" s="1"/>
      <c r="S3579" s="1" t="str">
        <f>"J-UN-2019-3603"</f>
        <v>J-UN-2019-3603</v>
      </c>
      <c r="T3579" s="2" t="s">
        <v>33</v>
      </c>
    </row>
    <row r="3580" spans="1:20" ht="38.25" x14ac:dyDescent="0.25">
      <c r="A3580" s="1">
        <v>3576</v>
      </c>
      <c r="B3580" s="1" t="str">
        <f>"2019-189"</f>
        <v>2019-189</v>
      </c>
      <c r="C3580" s="2" t="s">
        <v>2268</v>
      </c>
      <c r="D3580" s="1" t="s">
        <v>382</v>
      </c>
      <c r="E3580" s="3" t="str">
        <f>""</f>
        <v/>
      </c>
      <c r="F3580" s="2" t="s">
        <v>1323</v>
      </c>
      <c r="G3580" s="2" t="str">
        <f>CONCATENATE("FRANSOA OBRT ZA POSREDOVANJE U TRGOVINI,"," VL. DAVOR MATIC,"," VALPOVAČKA 12,"," 10000 ZAGREB,"," OIB: 9117724224")</f>
        <v>FRANSOA OBRT ZA POSREDOVANJE U TRGOVINI, VL. DAVOR MATIC, VALPOVAČKA 12, 10000 ZAGREB, OIB: 9117724224</v>
      </c>
      <c r="H3580" s="4"/>
      <c r="I3580" s="1" t="s">
        <v>73</v>
      </c>
      <c r="J3580" s="5">
        <v>43616</v>
      </c>
      <c r="K3580" s="6" t="str">
        <f>"2.065,00"</f>
        <v>2.065,00</v>
      </c>
      <c r="L3580" s="6" t="str">
        <f>"516,25"</f>
        <v>516,25</v>
      </c>
      <c r="M3580" s="6" t="str">
        <f>"2.581,25"</f>
        <v>2.581,25</v>
      </c>
      <c r="N3580" s="5">
        <v>43616</v>
      </c>
      <c r="O3580" s="7"/>
      <c r="P3580" s="6" t="str">
        <f>"2.581,25"</f>
        <v>2.581,25</v>
      </c>
      <c r="Q3580" s="7"/>
      <c r="R3580" s="1"/>
      <c r="S3580" s="1" t="str">
        <f>"J-UN-2019-3605"</f>
        <v>J-UN-2019-3605</v>
      </c>
      <c r="T3580" s="2" t="s">
        <v>33</v>
      </c>
    </row>
    <row r="3581" spans="1:20" ht="38.25" x14ac:dyDescent="0.25">
      <c r="A3581" s="1">
        <v>3577</v>
      </c>
      <c r="B3581" s="1" t="str">
        <f>"2019-84"</f>
        <v>2019-84</v>
      </c>
      <c r="C3581" s="2" t="s">
        <v>2240</v>
      </c>
      <c r="D3581" s="1" t="s">
        <v>1419</v>
      </c>
      <c r="E3581" s="3" t="str">
        <f>""</f>
        <v/>
      </c>
      <c r="F3581" s="2" t="s">
        <v>1323</v>
      </c>
      <c r="G3581" s="2" t="str">
        <f>CONCATENATE("BENUSSI D. O. O.,"," FAŽANSKA CESTA 86,"," 52212 FAŽANA,"," OIB: 87971197112")</f>
        <v>BENUSSI D. O. O., FAŽANSKA CESTA 86, 52212 FAŽANA, OIB: 87971197112</v>
      </c>
      <c r="H3581" s="4"/>
      <c r="I3581" s="1" t="s">
        <v>402</v>
      </c>
      <c r="J3581" s="5">
        <v>43623</v>
      </c>
      <c r="K3581" s="6" t="str">
        <f>"1.958,88"</f>
        <v>1.958,88</v>
      </c>
      <c r="L3581" s="6" t="str">
        <f>"489,72"</f>
        <v>489,72</v>
      </c>
      <c r="M3581" s="6" t="str">
        <f>"2.448,60"</f>
        <v>2.448,60</v>
      </c>
      <c r="N3581" s="5">
        <v>43634</v>
      </c>
      <c r="O3581" s="7"/>
      <c r="P3581" s="6" t="str">
        <f>"2.448,60"</f>
        <v>2.448,60</v>
      </c>
      <c r="Q3581" s="7"/>
      <c r="R3581" s="1"/>
      <c r="S3581" s="1" t="str">
        <f>"J-UN-2019-3606"</f>
        <v>J-UN-2019-3606</v>
      </c>
      <c r="T3581" s="2" t="s">
        <v>33</v>
      </c>
    </row>
    <row r="3582" spans="1:20" ht="25.5" x14ac:dyDescent="0.25">
      <c r="A3582" s="1">
        <v>3578</v>
      </c>
      <c r="B3582" s="1" t="str">
        <f>"2019-1319"</f>
        <v>2019-1319</v>
      </c>
      <c r="C3582" s="2" t="s">
        <v>2193</v>
      </c>
      <c r="D3582" s="1" t="s">
        <v>2194</v>
      </c>
      <c r="E3582" s="3" t="str">
        <f>""</f>
        <v/>
      </c>
      <c r="F3582" s="2" t="s">
        <v>1323</v>
      </c>
      <c r="G3582" s="2" t="str">
        <f>CONCATENATE("SVRDLO D.O.O.,"," ŠKOLSKA ULICA 10,"," 10370 DUGO SELO,"," OIB: 36535565458")</f>
        <v>SVRDLO D.O.O., ŠKOLSKA ULICA 10, 10370 DUGO SELO, OIB: 36535565458</v>
      </c>
      <c r="H3582" s="4"/>
      <c r="I3582" s="1" t="s">
        <v>597</v>
      </c>
      <c r="J3582" s="5">
        <v>43626</v>
      </c>
      <c r="K3582" s="6" t="str">
        <f>"3.960,00"</f>
        <v>3.960,00</v>
      </c>
      <c r="L3582" s="6" t="str">
        <f>"990,00"</f>
        <v>990,00</v>
      </c>
      <c r="M3582" s="6" t="str">
        <f>"4.950,00"</f>
        <v>4.950,00</v>
      </c>
      <c r="N3582" s="5">
        <v>43642</v>
      </c>
      <c r="O3582" s="7"/>
      <c r="P3582" s="6" t="str">
        <f>"4.950,00"</f>
        <v>4.950,00</v>
      </c>
      <c r="Q3582" s="7"/>
      <c r="R3582" s="1"/>
      <c r="S3582" s="1" t="str">
        <f>"J-UN-2019-3607"</f>
        <v>J-UN-2019-3607</v>
      </c>
      <c r="T3582" s="2" t="s">
        <v>33</v>
      </c>
    </row>
    <row r="3583" spans="1:20" ht="25.5" x14ac:dyDescent="0.25">
      <c r="A3583" s="1">
        <v>3579</v>
      </c>
      <c r="B3583" s="1" t="str">
        <f>"2019-1319"</f>
        <v>2019-1319</v>
      </c>
      <c r="C3583" s="2" t="s">
        <v>2193</v>
      </c>
      <c r="D3583" s="1" t="s">
        <v>2194</v>
      </c>
      <c r="E3583" s="3" t="str">
        <f>""</f>
        <v/>
      </c>
      <c r="F3583" s="2" t="s">
        <v>1323</v>
      </c>
      <c r="G3583" s="2" t="str">
        <f>CONCATENATE("POLJOOPSKRBA-TEHNO D.D.,"," SAMOBORSKA 96,"," 10000 ZAGREB,"," OIB: 5372167324")</f>
        <v>POLJOOPSKRBA-TEHNO D.D., SAMOBORSKA 96, 10000 ZAGREB, OIB: 5372167324</v>
      </c>
      <c r="H3583" s="4"/>
      <c r="I3583" s="1" t="s">
        <v>402</v>
      </c>
      <c r="J3583" s="5">
        <v>43623</v>
      </c>
      <c r="K3583" s="6" t="str">
        <f>"1.027,40"</f>
        <v>1.027,40</v>
      </c>
      <c r="L3583" s="6" t="str">
        <f>"256,85"</f>
        <v>256,85</v>
      </c>
      <c r="M3583" s="6" t="str">
        <f>"1.284,25"</f>
        <v>1.284,25</v>
      </c>
      <c r="N3583" s="1" t="s">
        <v>117</v>
      </c>
      <c r="O3583" s="7"/>
      <c r="P3583" s="6" t="str">
        <f>""</f>
        <v/>
      </c>
      <c r="Q3583" s="7"/>
      <c r="R3583" s="1"/>
      <c r="S3583" s="1" t="str">
        <f>"J-UN-2019-3608"</f>
        <v>J-UN-2019-3608</v>
      </c>
      <c r="T3583" s="2" t="s">
        <v>33</v>
      </c>
    </row>
    <row r="3584" spans="1:20" ht="38.25" x14ac:dyDescent="0.25">
      <c r="A3584" s="1">
        <v>3580</v>
      </c>
      <c r="B3584" s="1" t="str">
        <f>"2019-2217"</f>
        <v>2019-2217</v>
      </c>
      <c r="C3584" s="2" t="s">
        <v>2299</v>
      </c>
      <c r="D3584" s="1" t="s">
        <v>2300</v>
      </c>
      <c r="E3584" s="3" t="str">
        <f>""</f>
        <v/>
      </c>
      <c r="F3584" s="2" t="s">
        <v>1323</v>
      </c>
      <c r="G3584" s="2" t="str">
        <f>CONCATENATE("USTANOVA ZA CJELOŽIVOTNO OBRAZOVANJE CTZ,"," BREŠĆENSKOG 4,"," 10000 ZAGREB,"," OIB: 3188492979")</f>
        <v>USTANOVA ZA CJELOŽIVOTNO OBRAZOVANJE CTZ, BREŠĆENSKOG 4, 10000 ZAGREB, OIB: 3188492979</v>
      </c>
      <c r="H3584" s="4"/>
      <c r="I3584" s="1" t="s">
        <v>402</v>
      </c>
      <c r="J3584" s="5">
        <v>43623</v>
      </c>
      <c r="K3584" s="6" t="str">
        <f>"12.640,00"</f>
        <v>12.640,00</v>
      </c>
      <c r="L3584" s="6" t="str">
        <f>"3.160,00"</f>
        <v>3.160,00</v>
      </c>
      <c r="M3584" s="6" t="str">
        <f>"15.800,00"</f>
        <v>15.800,00</v>
      </c>
      <c r="N3584" s="1" t="s">
        <v>117</v>
      </c>
      <c r="O3584" s="7"/>
      <c r="P3584" s="6" t="str">
        <f>""</f>
        <v/>
      </c>
      <c r="Q3584" s="7"/>
      <c r="R3584" s="1"/>
      <c r="S3584" s="1" t="str">
        <f>"J-UN-2019-3609"</f>
        <v>J-UN-2019-3609</v>
      </c>
      <c r="T3584" s="2" t="s">
        <v>33</v>
      </c>
    </row>
    <row r="3585" spans="1:20" ht="25.5" x14ac:dyDescent="0.25">
      <c r="A3585" s="1">
        <v>3581</v>
      </c>
      <c r="B3585" s="1" t="str">
        <f>"2019-2030"</f>
        <v>2019-2030</v>
      </c>
      <c r="C3585" s="2" t="s">
        <v>2301</v>
      </c>
      <c r="D3585" s="1" t="s">
        <v>2302</v>
      </c>
      <c r="E3585" s="3" t="str">
        <f>""</f>
        <v/>
      </c>
      <c r="F3585" s="2" t="s">
        <v>1323</v>
      </c>
      <c r="G3585" s="2" t="str">
        <f>CONCATENATE("SCHEDA D.O.O.,"," LJUDEVITA POSAVSKOG 29,"," 10360 SESVETE,"," OIB: 76219817247")</f>
        <v>SCHEDA D.O.O., LJUDEVITA POSAVSKOG 29, 10360 SESVETE, OIB: 76219817247</v>
      </c>
      <c r="H3585" s="4"/>
      <c r="I3585" s="1" t="s">
        <v>402</v>
      </c>
      <c r="J3585" s="5">
        <v>43623</v>
      </c>
      <c r="K3585" s="6" t="str">
        <f>"15.354,00"</f>
        <v>15.354,00</v>
      </c>
      <c r="L3585" s="6" t="str">
        <f>"3.838,50"</f>
        <v>3.838,50</v>
      </c>
      <c r="M3585" s="6" t="str">
        <f>"19.192,50"</f>
        <v>19.192,50</v>
      </c>
      <c r="N3585" s="5">
        <v>43698</v>
      </c>
      <c r="O3585" s="7"/>
      <c r="P3585" s="6" t="str">
        <f>"19.192,50"</f>
        <v>19.192,50</v>
      </c>
      <c r="Q3585" s="7"/>
      <c r="R3585" s="1"/>
      <c r="S3585" s="1" t="str">
        <f>"J-UN-2019-3612"</f>
        <v>J-UN-2019-3612</v>
      </c>
      <c r="T3585" s="2" t="s">
        <v>33</v>
      </c>
    </row>
    <row r="3586" spans="1:20" ht="38.25" x14ac:dyDescent="0.25">
      <c r="A3586" s="1">
        <v>3582</v>
      </c>
      <c r="B3586" s="1" t="str">
        <f>"2019-240"</f>
        <v>2019-240</v>
      </c>
      <c r="C3586" s="2" t="s">
        <v>2303</v>
      </c>
      <c r="D3586" s="1" t="s">
        <v>197</v>
      </c>
      <c r="E3586" s="3" t="str">
        <f>""</f>
        <v/>
      </c>
      <c r="F3586" s="2" t="s">
        <v>1323</v>
      </c>
      <c r="G3586" s="2" t="str">
        <f>CONCATENATE("AGRO - DOM,"," VL. ZORAN CRNOMARKOVIĆ I DUBRAVKO KUŠ,"," BUNIĆEVA 20,"," 10000 ZAGREB,"," OIB: 47865426584")</f>
        <v>AGRO - DOM, VL. ZORAN CRNOMARKOVIĆ I DUBRAVKO KUŠ, BUNIĆEVA 20, 10000 ZAGREB, OIB: 47865426584</v>
      </c>
      <c r="H3586" s="4"/>
      <c r="I3586" s="1" t="s">
        <v>642</v>
      </c>
      <c r="J3586" s="5">
        <v>43615</v>
      </c>
      <c r="K3586" s="6" t="str">
        <f>"9.160,00"</f>
        <v>9.160,00</v>
      </c>
      <c r="L3586" s="6" t="str">
        <f>"2.290,00"</f>
        <v>2.290,00</v>
      </c>
      <c r="M3586" s="6" t="str">
        <f>"11.450,00"</f>
        <v>11.450,00</v>
      </c>
      <c r="N3586" s="5">
        <v>43616</v>
      </c>
      <c r="O3586" s="7"/>
      <c r="P3586" s="6" t="str">
        <f>"11.450,00"</f>
        <v>11.450,00</v>
      </c>
      <c r="Q3586" s="7"/>
      <c r="R3586" s="1"/>
      <c r="S3586" s="1" t="str">
        <f>"J-UN-2019-3614"</f>
        <v>J-UN-2019-3614</v>
      </c>
      <c r="T3586" s="2" t="s">
        <v>33</v>
      </c>
    </row>
    <row r="3587" spans="1:20" ht="38.25" x14ac:dyDescent="0.25">
      <c r="A3587" s="1">
        <v>3583</v>
      </c>
      <c r="B3587" s="1" t="str">
        <f>"2019-497"</f>
        <v>2019-497</v>
      </c>
      <c r="C3587" s="2" t="s">
        <v>2304</v>
      </c>
      <c r="D3587" s="1" t="s">
        <v>197</v>
      </c>
      <c r="E3587" s="3" t="str">
        <f>""</f>
        <v/>
      </c>
      <c r="F3587" s="2" t="s">
        <v>1323</v>
      </c>
      <c r="G3587" s="2" t="str">
        <f>CONCATENATE("AGRO - DOM,"," VL. ZORAN CRNOMARKOVIĆ I DUBRAVKO KUŠ,"," BUNIĆEVA 20,"," 10000 ZAGREB,"," OIB: 47865426584")</f>
        <v>AGRO - DOM, VL. ZORAN CRNOMARKOVIĆ I DUBRAVKO KUŠ, BUNIĆEVA 20, 10000 ZAGREB, OIB: 47865426584</v>
      </c>
      <c r="H3587" s="4"/>
      <c r="I3587" s="1" t="s">
        <v>642</v>
      </c>
      <c r="J3587" s="5">
        <v>43615</v>
      </c>
      <c r="K3587" s="6" t="str">
        <f>"8.440,00"</f>
        <v>8.440,00</v>
      </c>
      <c r="L3587" s="6" t="str">
        <f>"2.110,00"</f>
        <v>2.110,00</v>
      </c>
      <c r="M3587" s="6" t="str">
        <f>"10.550,00"</f>
        <v>10.550,00</v>
      </c>
      <c r="N3587" s="5">
        <v>43616</v>
      </c>
      <c r="O3587" s="7"/>
      <c r="P3587" s="6" t="str">
        <f>"10.550,00"</f>
        <v>10.550,00</v>
      </c>
      <c r="Q3587" s="7"/>
      <c r="R3587" s="1"/>
      <c r="S3587" s="1" t="str">
        <f>"J-UN-2019-3615"</f>
        <v>J-UN-2019-3615</v>
      </c>
      <c r="T3587" s="2" t="s">
        <v>33</v>
      </c>
    </row>
    <row r="3588" spans="1:20" ht="38.25" x14ac:dyDescent="0.25">
      <c r="A3588" s="1">
        <v>3584</v>
      </c>
      <c r="B3588" s="1" t="str">
        <f>"2019-2679"</f>
        <v>2019-2679</v>
      </c>
      <c r="C3588" s="2" t="s">
        <v>2305</v>
      </c>
      <c r="D3588" s="1" t="s">
        <v>1872</v>
      </c>
      <c r="E3588" s="3" t="str">
        <f>""</f>
        <v/>
      </c>
      <c r="F3588" s="2" t="s">
        <v>1323</v>
      </c>
      <c r="G3588" s="2" t="str">
        <f>CONCATENATE("ISKOPI I TRANSPORTI BELOBRAJDIĆ D.O.O.,"," LUČIĆKA CESTA 1B,"," 51300 DELNICE,"," OIB: 44355836815")</f>
        <v>ISKOPI I TRANSPORTI BELOBRAJDIĆ D.O.O., LUČIĆKA CESTA 1B, 51300 DELNICE, OIB: 44355836815</v>
      </c>
      <c r="H3588" s="4"/>
      <c r="I3588" s="1" t="s">
        <v>162</v>
      </c>
      <c r="J3588" s="5">
        <v>43622</v>
      </c>
      <c r="K3588" s="6" t="str">
        <f>"94.980,00"</f>
        <v>94.980,00</v>
      </c>
      <c r="L3588" s="6" t="str">
        <f>"23.745,00"</f>
        <v>23.745,00</v>
      </c>
      <c r="M3588" s="6" t="str">
        <f>"118.725,00"</f>
        <v>118.725,00</v>
      </c>
      <c r="N3588" s="1" t="s">
        <v>117</v>
      </c>
      <c r="O3588" s="7"/>
      <c r="P3588" s="6" t="str">
        <f>""</f>
        <v/>
      </c>
      <c r="Q3588" s="7"/>
      <c r="R3588" s="1"/>
      <c r="S3588" s="1" t="str">
        <f>"J-UN-2019-3616"</f>
        <v>J-UN-2019-3616</v>
      </c>
      <c r="T3588" s="2" t="s">
        <v>33</v>
      </c>
    </row>
    <row r="3589" spans="1:20" ht="25.5" x14ac:dyDescent="0.25">
      <c r="A3589" s="1">
        <v>3585</v>
      </c>
      <c r="B3589" s="1" t="str">
        <f>"2019-513"</f>
        <v>2019-513</v>
      </c>
      <c r="C3589" s="2" t="s">
        <v>2230</v>
      </c>
      <c r="D3589" s="1" t="s">
        <v>2231</v>
      </c>
      <c r="E3589" s="3" t="str">
        <f>""</f>
        <v/>
      </c>
      <c r="F3589" s="2" t="s">
        <v>1323</v>
      </c>
      <c r="G3589" s="2" t="str">
        <f>CONCATENATE("LEXPERA D.O.O.,"," TUŠKANOVA 37,"," 10000 ZAGREB,"," OIB: 79506290597")</f>
        <v>LEXPERA D.O.O., TUŠKANOVA 37, 10000 ZAGREB, OIB: 79506290597</v>
      </c>
      <c r="H3589" s="4"/>
      <c r="I3589" s="1" t="s">
        <v>642</v>
      </c>
      <c r="J3589" s="5">
        <v>43615</v>
      </c>
      <c r="K3589" s="6" t="str">
        <f>"13.950,00"</f>
        <v>13.950,00</v>
      </c>
      <c r="L3589" s="6" t="str">
        <f>"3.487,50"</f>
        <v>3.487,50</v>
      </c>
      <c r="M3589" s="6" t="str">
        <f>"17.437,50"</f>
        <v>17.437,50</v>
      </c>
      <c r="N3589" s="1" t="s">
        <v>117</v>
      </c>
      <c r="O3589" s="7"/>
      <c r="P3589" s="6" t="str">
        <f>""</f>
        <v/>
      </c>
      <c r="Q3589" s="7"/>
      <c r="R3589" s="1"/>
      <c r="S3589" s="1" t="str">
        <f>"J-UN-2019-3617"</f>
        <v>J-UN-2019-3617</v>
      </c>
      <c r="T3589" s="2" t="s">
        <v>33</v>
      </c>
    </row>
    <row r="3590" spans="1:20" ht="38.25" x14ac:dyDescent="0.25">
      <c r="A3590" s="1">
        <v>3586</v>
      </c>
      <c r="B3590" s="1" t="str">
        <f>"2019-157"</f>
        <v>2019-157</v>
      </c>
      <c r="C3590" s="2" t="s">
        <v>2306</v>
      </c>
      <c r="D3590" s="1" t="s">
        <v>2307</v>
      </c>
      <c r="E3590" s="3" t="str">
        <f>""</f>
        <v/>
      </c>
      <c r="F3590" s="2" t="s">
        <v>1323</v>
      </c>
      <c r="G3590" s="2" t="str">
        <f>CONCATENATE("SANCTA DOMENICA D.O.O.,"," DR. FRANJE TUĐMANA 69,"," 10431 SVETA NEDJELJA,"," OIB: 35409850545")</f>
        <v>SANCTA DOMENICA D.O.O., DR. FRANJE TUĐMANA 69, 10431 SVETA NEDJELJA, OIB: 35409850545</v>
      </c>
      <c r="H3590" s="4"/>
      <c r="I3590" s="1" t="s">
        <v>642</v>
      </c>
      <c r="J3590" s="5">
        <v>43615</v>
      </c>
      <c r="K3590" s="6" t="str">
        <f>"16.784,28"</f>
        <v>16.784,28</v>
      </c>
      <c r="L3590" s="6" t="str">
        <f>"4.196,07"</f>
        <v>4.196,07</v>
      </c>
      <c r="M3590" s="6" t="str">
        <f>"20.980,35"</f>
        <v>20.980,35</v>
      </c>
      <c r="N3590" s="5">
        <v>43614</v>
      </c>
      <c r="O3590" s="7"/>
      <c r="P3590" s="6" t="str">
        <f>"20.980,35"</f>
        <v>20.980,35</v>
      </c>
      <c r="Q3590" s="7"/>
      <c r="R3590" s="1"/>
      <c r="S3590" s="1" t="str">
        <f>"J-UN-2019-3618"</f>
        <v>J-UN-2019-3618</v>
      </c>
      <c r="T3590" s="2" t="s">
        <v>33</v>
      </c>
    </row>
    <row r="3591" spans="1:20" ht="38.25" x14ac:dyDescent="0.25">
      <c r="A3591" s="1">
        <v>3587</v>
      </c>
      <c r="B3591" s="1" t="str">
        <f>"2019-1340"</f>
        <v>2019-1340</v>
      </c>
      <c r="C3591" s="2" t="s">
        <v>2227</v>
      </c>
      <c r="D3591" s="1" t="s">
        <v>1266</v>
      </c>
      <c r="E3591" s="3" t="str">
        <f>""</f>
        <v/>
      </c>
      <c r="F3591" s="2" t="s">
        <v>1323</v>
      </c>
      <c r="G3591" s="2" t="str">
        <f>CONCATENATE("DRÄGER SAFETY D.O.O.,"," AVENIJA VEĆESLAVA HOLJEVCA 40,"," 10010 ZAGREB,"," OIB: 32874587842")</f>
        <v>DRÄGER SAFETY D.O.O., AVENIJA VEĆESLAVA HOLJEVCA 40, 10010 ZAGREB, OIB: 32874587842</v>
      </c>
      <c r="H3591" s="4"/>
      <c r="I3591" s="1" t="s">
        <v>642</v>
      </c>
      <c r="J3591" s="5">
        <v>43615</v>
      </c>
      <c r="K3591" s="6" t="str">
        <f>"7.338,90"</f>
        <v>7.338,90</v>
      </c>
      <c r="L3591" s="6" t="str">
        <f>"1.834,73"</f>
        <v>1.834,73</v>
      </c>
      <c r="M3591" s="6" t="str">
        <f>"9.173,63"</f>
        <v>9.173,63</v>
      </c>
      <c r="N3591" s="5">
        <v>43640</v>
      </c>
      <c r="O3591" s="7"/>
      <c r="P3591" s="6" t="str">
        <f>"9.173,62"</f>
        <v>9.173,62</v>
      </c>
      <c r="Q3591" s="7"/>
      <c r="R3591" s="1"/>
      <c r="S3591" s="1" t="str">
        <f>"J-UN-2019-3619"</f>
        <v>J-UN-2019-3619</v>
      </c>
      <c r="T3591" s="2" t="s">
        <v>33</v>
      </c>
    </row>
    <row r="3592" spans="1:20" ht="38.25" x14ac:dyDescent="0.25">
      <c r="A3592" s="1">
        <v>3588</v>
      </c>
      <c r="B3592" s="1" t="str">
        <f>"2019-782"</f>
        <v>2019-782</v>
      </c>
      <c r="C3592" s="2" t="s">
        <v>2116</v>
      </c>
      <c r="D3592" s="1" t="s">
        <v>2117</v>
      </c>
      <c r="E3592" s="3" t="str">
        <f>""</f>
        <v/>
      </c>
      <c r="F3592" s="2" t="s">
        <v>1323</v>
      </c>
      <c r="G3592" s="2" t="str">
        <f>CONCATENATE("KADEI 360 D.O.O.,"," IVE MALLINA 30,"," 10000 ZAGREB,"," OIB: 7082163502")</f>
        <v>KADEI 360 D.O.O., IVE MALLINA 30, 10000 ZAGREB, OIB: 7082163502</v>
      </c>
      <c r="H3592" s="4"/>
      <c r="I3592" s="1" t="s">
        <v>642</v>
      </c>
      <c r="J3592" s="5">
        <v>43615</v>
      </c>
      <c r="K3592" s="6" t="str">
        <f>"33.050,00"</f>
        <v>33.050,00</v>
      </c>
      <c r="L3592" s="6" t="str">
        <f>"8.262,50"</f>
        <v>8.262,50</v>
      </c>
      <c r="M3592" s="6" t="str">
        <f>"41.312,50"</f>
        <v>41.312,50</v>
      </c>
      <c r="N3592" s="5">
        <v>43620</v>
      </c>
      <c r="O3592" s="7"/>
      <c r="P3592" s="6" t="str">
        <f>"41.312,50"</f>
        <v>41.312,50</v>
      </c>
      <c r="Q3592" s="7"/>
      <c r="R3592" s="1"/>
      <c r="S3592" s="1" t="str">
        <f>"J-UN-2019-3620"</f>
        <v>J-UN-2019-3620</v>
      </c>
      <c r="T3592" s="2" t="s">
        <v>33</v>
      </c>
    </row>
    <row r="3593" spans="1:20" ht="38.25" x14ac:dyDescent="0.25">
      <c r="A3593" s="1">
        <v>3589</v>
      </c>
      <c r="B3593" s="1" t="str">
        <f>"2019-1734"</f>
        <v>2019-1734</v>
      </c>
      <c r="C3593" s="2" t="s">
        <v>2308</v>
      </c>
      <c r="D3593" s="1" t="s">
        <v>382</v>
      </c>
      <c r="E3593" s="3" t="str">
        <f>""</f>
        <v/>
      </c>
      <c r="F3593" s="2" t="s">
        <v>1323</v>
      </c>
      <c r="G3593" s="2" t="str">
        <f>CONCATENATE("AUTOMEHANIKA D.D.,"," KOVINSKA 4,"," 10000 ZAGREB,"," OIB: 5223317126")</f>
        <v>AUTOMEHANIKA D.D., KOVINSKA 4, 10000 ZAGREB, OIB: 5223317126</v>
      </c>
      <c r="H3593" s="4"/>
      <c r="I3593" s="1" t="s">
        <v>642</v>
      </c>
      <c r="J3593" s="5">
        <v>43615</v>
      </c>
      <c r="K3593" s="6" t="str">
        <f>"2.235,47"</f>
        <v>2.235,47</v>
      </c>
      <c r="L3593" s="6" t="str">
        <f>"558,87"</f>
        <v>558,87</v>
      </c>
      <c r="M3593" s="6" t="str">
        <f>"2.794,34"</f>
        <v>2.794,34</v>
      </c>
      <c r="N3593" s="5">
        <v>43633</v>
      </c>
      <c r="O3593" s="7"/>
      <c r="P3593" s="6" t="str">
        <f>"2.794,34"</f>
        <v>2.794,34</v>
      </c>
      <c r="Q3593" s="7"/>
      <c r="R3593" s="1"/>
      <c r="S3593" s="1" t="str">
        <f>"J-UN-2019-3621"</f>
        <v>J-UN-2019-3621</v>
      </c>
      <c r="T3593" s="2" t="s">
        <v>33</v>
      </c>
    </row>
    <row r="3594" spans="1:20" ht="25.5" x14ac:dyDescent="0.25">
      <c r="A3594" s="1">
        <v>3590</v>
      </c>
      <c r="B3594" s="1" t="str">
        <f>"2019-2677"</f>
        <v>2019-2677</v>
      </c>
      <c r="C3594" s="2" t="s">
        <v>2309</v>
      </c>
      <c r="D3594" s="1" t="s">
        <v>295</v>
      </c>
      <c r="E3594" s="3" t="str">
        <f>""</f>
        <v/>
      </c>
      <c r="F3594" s="2" t="s">
        <v>1323</v>
      </c>
      <c r="G3594" s="2" t="str">
        <f>CONCATENATE("ZAPOSLENA D.O.O.,"," PRILAZ ĐURE DEŽELIĆA 62/II,"," 10000 ZAGREB,"," OIB: 73501093975")</f>
        <v>ZAPOSLENA D.O.O., PRILAZ ĐURE DEŽELIĆA 62/II, 10000 ZAGREB, OIB: 73501093975</v>
      </c>
      <c r="H3594" s="4"/>
      <c r="I3594" s="1" t="s">
        <v>73</v>
      </c>
      <c r="J3594" s="5">
        <v>43982</v>
      </c>
      <c r="K3594" s="6" t="str">
        <f>"30.000,00"</f>
        <v>30.000,00</v>
      </c>
      <c r="L3594" s="6" t="str">
        <f>"7.500,00"</f>
        <v>7.500,00</v>
      </c>
      <c r="M3594" s="6" t="str">
        <f>"37.500,00"</f>
        <v>37.500,00</v>
      </c>
      <c r="N3594" s="5">
        <v>43616</v>
      </c>
      <c r="O3594" s="7"/>
      <c r="P3594" s="6" t="str">
        <f>"37.500,00"</f>
        <v>37.500,00</v>
      </c>
      <c r="Q3594" s="7"/>
      <c r="R3594" s="1"/>
      <c r="S3594" s="1" t="str">
        <f>"J-UN-2019-3625"</f>
        <v>J-UN-2019-3625</v>
      </c>
      <c r="T3594" s="2" t="s">
        <v>33</v>
      </c>
    </row>
    <row r="3595" spans="1:20" ht="38.25" x14ac:dyDescent="0.25">
      <c r="A3595" s="1">
        <v>3591</v>
      </c>
      <c r="B3595" s="1" t="str">
        <f>"2019-12"</f>
        <v>2019-12</v>
      </c>
      <c r="C3595" s="2" t="s">
        <v>2140</v>
      </c>
      <c r="D3595" s="1" t="s">
        <v>1720</v>
      </c>
      <c r="E3595" s="3" t="str">
        <f>""</f>
        <v/>
      </c>
      <c r="F3595" s="2" t="s">
        <v>1323</v>
      </c>
      <c r="G3595" s="2" t="str">
        <f>CONCATENATE("TENDE SOLE,"," KATURI 17,"," 52220 LABIN,"," OIB: 49361060194")</f>
        <v>TENDE SOLE, KATURI 17, 52220 LABIN, OIB: 49361060194</v>
      </c>
      <c r="H3595" s="4"/>
      <c r="I3595" s="1" t="s">
        <v>73</v>
      </c>
      <c r="J3595" s="5">
        <v>43616</v>
      </c>
      <c r="K3595" s="6" t="str">
        <f>"3.192,00"</f>
        <v>3.192,00</v>
      </c>
      <c r="L3595" s="6" t="str">
        <f>"798,00"</f>
        <v>798,00</v>
      </c>
      <c r="M3595" s="6" t="str">
        <f>"3.990,00"</f>
        <v>3.990,00</v>
      </c>
      <c r="N3595" s="5">
        <v>43614</v>
      </c>
      <c r="O3595" s="7"/>
      <c r="P3595" s="6" t="str">
        <f>"3.990,00"</f>
        <v>3.990,00</v>
      </c>
      <c r="Q3595" s="7"/>
      <c r="R3595" s="1"/>
      <c r="S3595" s="1" t="str">
        <f>"J-UN-2019-3626"</f>
        <v>J-UN-2019-3626</v>
      </c>
      <c r="T3595" s="2" t="s">
        <v>33</v>
      </c>
    </row>
    <row r="3596" spans="1:20" ht="38.25" x14ac:dyDescent="0.25">
      <c r="A3596" s="1">
        <v>3592</v>
      </c>
      <c r="B3596" s="1" t="str">
        <f>"2019-2142"</f>
        <v>2019-2142</v>
      </c>
      <c r="C3596" s="2" t="s">
        <v>2310</v>
      </c>
      <c r="D3596" s="1" t="s">
        <v>2224</v>
      </c>
      <c r="E3596" s="3" t="str">
        <f>""</f>
        <v/>
      </c>
      <c r="F3596" s="2" t="s">
        <v>1323</v>
      </c>
      <c r="G3596" s="2" t="str">
        <f>CONCATENATE("SISTEMI ZA PRANJE SZABO D.O.O.,"," KARLOVAČKA CESTA 4/H,"," 10000 ZAGREB,"," OIB: 18907358249")</f>
        <v>SISTEMI ZA PRANJE SZABO D.O.O., KARLOVAČKA CESTA 4/H, 10000 ZAGREB, OIB: 18907358249</v>
      </c>
      <c r="H3596" s="4"/>
      <c r="I3596" s="1" t="s">
        <v>628</v>
      </c>
      <c r="J3596" s="5">
        <v>43627</v>
      </c>
      <c r="K3596" s="6" t="str">
        <f>"10.064,00"</f>
        <v>10.064,00</v>
      </c>
      <c r="L3596" s="6" t="str">
        <f>"2.516,00"</f>
        <v>2.516,00</v>
      </c>
      <c r="M3596" s="6" t="str">
        <f>"12.580,00"</f>
        <v>12.580,00</v>
      </c>
      <c r="N3596" s="5">
        <v>43637</v>
      </c>
      <c r="O3596" s="7"/>
      <c r="P3596" s="6" t="str">
        <f>"12.580,00"</f>
        <v>12.580,00</v>
      </c>
      <c r="Q3596" s="7"/>
      <c r="R3596" s="1"/>
      <c r="S3596" s="1" t="str">
        <f>"J-UN-2019-3627"</f>
        <v>J-UN-2019-3627</v>
      </c>
      <c r="T3596" s="2" t="s">
        <v>33</v>
      </c>
    </row>
    <row r="3597" spans="1:20" x14ac:dyDescent="0.25">
      <c r="A3597" s="1">
        <v>3593</v>
      </c>
      <c r="B3597" s="1" t="str">
        <f>"2019-942"</f>
        <v>2019-942</v>
      </c>
      <c r="C3597" s="2" t="s">
        <v>2085</v>
      </c>
      <c r="D3597" s="1" t="s">
        <v>2086</v>
      </c>
      <c r="E3597" s="3" t="str">
        <f>""</f>
        <v/>
      </c>
      <c r="F3597" s="2" t="s">
        <v>1323</v>
      </c>
      <c r="G3597" s="2" t="str">
        <f>CONCATENATE("NARODNE NOVINE D.D.,"," OIB: 64546066176")</f>
        <v>NARODNE NOVINE D.D., OIB: 64546066176</v>
      </c>
      <c r="H3597" s="4"/>
      <c r="I3597" s="1" t="s">
        <v>73</v>
      </c>
      <c r="J3597" s="5">
        <v>43616</v>
      </c>
      <c r="K3597" s="6" t="str">
        <f>"661,90"</f>
        <v>661,90</v>
      </c>
      <c r="L3597" s="6" t="str">
        <f>"165,48"</f>
        <v>165,48</v>
      </c>
      <c r="M3597" s="6" t="str">
        <f>"827,38"</f>
        <v>827,38</v>
      </c>
      <c r="N3597" s="5">
        <v>43648</v>
      </c>
      <c r="O3597" s="7"/>
      <c r="P3597" s="6" t="str">
        <f>"827,38"</f>
        <v>827,38</v>
      </c>
      <c r="Q3597" s="7"/>
      <c r="R3597" s="1"/>
      <c r="S3597" s="1" t="str">
        <f>"J-UN-2019-3629"</f>
        <v>J-UN-2019-3629</v>
      </c>
      <c r="T3597" s="2" t="s">
        <v>33</v>
      </c>
    </row>
    <row r="3598" spans="1:20" ht="38.25" x14ac:dyDescent="0.25">
      <c r="A3598" s="1">
        <v>3594</v>
      </c>
      <c r="B3598" s="1" t="str">
        <f>"2019-1993"</f>
        <v>2019-1993</v>
      </c>
      <c r="C3598" s="2" t="s">
        <v>2257</v>
      </c>
      <c r="D3598" s="1" t="s">
        <v>2258</v>
      </c>
      <c r="E3598" s="3" t="str">
        <f>""</f>
        <v/>
      </c>
      <c r="F3598" s="2" t="s">
        <v>1323</v>
      </c>
      <c r="G3598" s="2" t="str">
        <f>CONCATENATE("TOKIĆ D.O.O.,"," ULICA 144. BRIGADE HRVATSKE VOJSKE 1A,"," 10360 SESVETE,"," OIB: 7486748762")</f>
        <v>TOKIĆ D.O.O., ULICA 144. BRIGADE HRVATSKE VOJSKE 1A, 10360 SESVETE, OIB: 7486748762</v>
      </c>
      <c r="H3598" s="4"/>
      <c r="I3598" s="1" t="s">
        <v>628</v>
      </c>
      <c r="J3598" s="5">
        <v>43627</v>
      </c>
      <c r="K3598" s="6" t="str">
        <f>"2.560,00"</f>
        <v>2.560,00</v>
      </c>
      <c r="L3598" s="6" t="str">
        <f>"640,00"</f>
        <v>640,00</v>
      </c>
      <c r="M3598" s="6" t="str">
        <f>"3.200,00"</f>
        <v>3.200,00</v>
      </c>
      <c r="N3598" s="5">
        <v>43627</v>
      </c>
      <c r="O3598" s="7"/>
      <c r="P3598" s="6" t="str">
        <f>"3.200,00"</f>
        <v>3.200,00</v>
      </c>
      <c r="Q3598" s="7"/>
      <c r="R3598" s="1"/>
      <c r="S3598" s="1" t="str">
        <f>"J-UN-2019-3630"</f>
        <v>J-UN-2019-3630</v>
      </c>
      <c r="T3598" s="2" t="s">
        <v>33</v>
      </c>
    </row>
    <row r="3599" spans="1:20" ht="38.25" x14ac:dyDescent="0.25">
      <c r="A3599" s="1">
        <v>3595</v>
      </c>
      <c r="B3599" s="1" t="str">
        <f>"2019-899"</f>
        <v>2019-899</v>
      </c>
      <c r="C3599" s="2" t="s">
        <v>2311</v>
      </c>
      <c r="D3599" s="1" t="s">
        <v>795</v>
      </c>
      <c r="E3599" s="3" t="str">
        <f>""</f>
        <v/>
      </c>
      <c r="F3599" s="2" t="s">
        <v>1323</v>
      </c>
      <c r="G3599" s="2" t="str">
        <f>CONCATENATE("KEMOBOJA-DUBRAVA D.O.O.,"," AVENIJA DUBRAVA 37,"," 10000 ZAGREB,"," OIB: 6402157427")</f>
        <v>KEMOBOJA-DUBRAVA D.O.O., AVENIJA DUBRAVA 37, 10000 ZAGREB, OIB: 6402157427</v>
      </c>
      <c r="H3599" s="4"/>
      <c r="I3599" s="1" t="s">
        <v>628</v>
      </c>
      <c r="J3599" s="5">
        <v>43627</v>
      </c>
      <c r="K3599" s="6" t="str">
        <f>"3.391,50"</f>
        <v>3.391,50</v>
      </c>
      <c r="L3599" s="6" t="str">
        <f>"847,88"</f>
        <v>847,88</v>
      </c>
      <c r="M3599" s="6" t="str">
        <f>"4.239,38"</f>
        <v>4.239,38</v>
      </c>
      <c r="N3599" s="5">
        <v>43634</v>
      </c>
      <c r="O3599" s="7"/>
      <c r="P3599" s="6" t="str">
        <f>"4.239,38"</f>
        <v>4.239,38</v>
      </c>
      <c r="Q3599" s="7"/>
      <c r="R3599" s="1"/>
      <c r="S3599" s="1" t="str">
        <f>"J-UN-2019-3631"</f>
        <v>J-UN-2019-3631</v>
      </c>
      <c r="T3599" s="2" t="s">
        <v>33</v>
      </c>
    </row>
    <row r="3600" spans="1:20" ht="76.5" x14ac:dyDescent="0.25">
      <c r="A3600" s="1">
        <v>3596</v>
      </c>
      <c r="B3600" s="1" t="str">
        <f>"2019-2676"</f>
        <v>2019-2676</v>
      </c>
      <c r="C3600" s="2" t="s">
        <v>2312</v>
      </c>
      <c r="D3600" s="1" t="s">
        <v>239</v>
      </c>
      <c r="E3600" s="3" t="str">
        <f>""</f>
        <v/>
      </c>
      <c r="F3600" s="2" t="s">
        <v>1323</v>
      </c>
      <c r="G3600" s="2" t="str">
        <f>CONCATENATE("PASTOR - TVA - D.D.,"," RAKITJE,"," NOVAČKA 2,"," 10437 BESTOVJE,"," OIB: 17140959007")</f>
        <v>PASTOR - TVA - D.D., RAKITJE, NOVAČKA 2, 10437 BESTOVJE, OIB: 17140959007</v>
      </c>
      <c r="H3600" s="4"/>
      <c r="I3600" s="1" t="s">
        <v>269</v>
      </c>
      <c r="J3600" s="5">
        <v>43830</v>
      </c>
      <c r="K3600" s="6" t="str">
        <f>"7.280,00"</f>
        <v>7.280,00</v>
      </c>
      <c r="L3600" s="6" t="str">
        <f>"1.820,00"</f>
        <v>1.820,00</v>
      </c>
      <c r="M3600" s="6" t="str">
        <f>"9.100,00"</f>
        <v>9.100,00</v>
      </c>
      <c r="N3600" s="1" t="s">
        <v>117</v>
      </c>
      <c r="O3600" s="7"/>
      <c r="P3600" s="6" t="str">
        <f>""</f>
        <v/>
      </c>
      <c r="Q3600" s="7"/>
      <c r="R3600" s="1"/>
      <c r="S3600" s="1" t="str">
        <f>"J-UN-2019-3632"</f>
        <v>J-UN-2019-3632</v>
      </c>
      <c r="T3600" s="2" t="s">
        <v>33</v>
      </c>
    </row>
    <row r="3601" spans="1:20" ht="51" x14ac:dyDescent="0.25">
      <c r="A3601" s="1">
        <v>3597</v>
      </c>
      <c r="B3601" s="1" t="str">
        <f>"2019-2675"</f>
        <v>2019-2675</v>
      </c>
      <c r="C3601" s="2" t="s">
        <v>2265</v>
      </c>
      <c r="D3601" s="1" t="s">
        <v>239</v>
      </c>
      <c r="E3601" s="3" t="str">
        <f>""</f>
        <v/>
      </c>
      <c r="F3601" s="2" t="s">
        <v>1323</v>
      </c>
      <c r="G3601" s="2" t="str">
        <f>CONCATENATE("PASTOR - TVA - D.D.,"," RAKITJE,"," NOVAČKA 2,"," 10437 BESTOVJE,"," OIB: 17140959007")</f>
        <v>PASTOR - TVA - D.D., RAKITJE, NOVAČKA 2, 10437 BESTOVJE, OIB: 17140959007</v>
      </c>
      <c r="H3601" s="4"/>
      <c r="I3601" s="1" t="s">
        <v>46</v>
      </c>
      <c r="J3601" s="5">
        <v>43635</v>
      </c>
      <c r="K3601" s="6" t="str">
        <f>"89.690,00"</f>
        <v>89.690,00</v>
      </c>
      <c r="L3601" s="6" t="str">
        <f>"22.422,50"</f>
        <v>22.422,50</v>
      </c>
      <c r="M3601" s="6" t="str">
        <f>"112.112,50"</f>
        <v>112.112,50</v>
      </c>
      <c r="N3601" s="1" t="s">
        <v>117</v>
      </c>
      <c r="O3601" s="7"/>
      <c r="P3601" s="6" t="str">
        <f>""</f>
        <v/>
      </c>
      <c r="Q3601" s="7"/>
      <c r="R3601" s="1"/>
      <c r="S3601" s="1" t="str">
        <f>"J-UN-2019-3633"</f>
        <v>J-UN-2019-3633</v>
      </c>
      <c r="T3601" s="2" t="s">
        <v>33</v>
      </c>
    </row>
    <row r="3602" spans="1:20" ht="51" x14ac:dyDescent="0.25">
      <c r="A3602" s="1">
        <v>3598</v>
      </c>
      <c r="B3602" s="1" t="str">
        <f>"2019-2675"</f>
        <v>2019-2675</v>
      </c>
      <c r="C3602" s="2" t="s">
        <v>2265</v>
      </c>
      <c r="D3602" s="1" t="s">
        <v>239</v>
      </c>
      <c r="E3602" s="3" t="str">
        <f>""</f>
        <v/>
      </c>
      <c r="F3602" s="2" t="s">
        <v>1323</v>
      </c>
      <c r="G3602" s="2" t="str">
        <f>CONCATENATE("PASTOR - TVA - D.D.,"," RAKITJE,"," NOVAČKA 2,"," 10437 BESTOVJE,"," OIB: 17140959007")</f>
        <v>PASTOR - TVA - D.D., RAKITJE, NOVAČKA 2, 10437 BESTOVJE, OIB: 17140959007</v>
      </c>
      <c r="H3602" s="4"/>
      <c r="I3602" s="1" t="s">
        <v>579</v>
      </c>
      <c r="J3602" s="5">
        <v>43630</v>
      </c>
      <c r="K3602" s="6" t="str">
        <f>"14.030,00"</f>
        <v>14.030,00</v>
      </c>
      <c r="L3602" s="6" t="str">
        <f>"3.507,50"</f>
        <v>3.507,50</v>
      </c>
      <c r="M3602" s="6" t="str">
        <f>"17.537,50"</f>
        <v>17.537,50</v>
      </c>
      <c r="N3602" s="5">
        <v>43644</v>
      </c>
      <c r="O3602" s="7"/>
      <c r="P3602" s="6" t="str">
        <f>"17.525,00"</f>
        <v>17.525,00</v>
      </c>
      <c r="Q3602" s="7"/>
      <c r="R3602" s="1"/>
      <c r="S3602" s="1" t="str">
        <f>"J-UN-2019-3634"</f>
        <v>J-UN-2019-3634</v>
      </c>
      <c r="T3602" s="2" t="s">
        <v>33</v>
      </c>
    </row>
    <row r="3603" spans="1:20" ht="76.5" x14ac:dyDescent="0.25">
      <c r="A3603" s="1">
        <v>3599</v>
      </c>
      <c r="B3603" s="1" t="str">
        <f>"2019-2676"</f>
        <v>2019-2676</v>
      </c>
      <c r="C3603" s="2" t="s">
        <v>2312</v>
      </c>
      <c r="D3603" s="1" t="s">
        <v>239</v>
      </c>
      <c r="E3603" s="3" t="str">
        <f>""</f>
        <v/>
      </c>
      <c r="F3603" s="2" t="s">
        <v>1323</v>
      </c>
      <c r="G3603" s="2" t="str">
        <f>CONCATENATE("PASTOR - TVA - D.D.,"," RAKITJE,"," NOVAČKA 2,"," 10437 BESTOVJE,"," OIB: 17140959007")</f>
        <v>PASTOR - TVA - D.D., RAKITJE, NOVAČKA 2, 10437 BESTOVJE, OIB: 17140959007</v>
      </c>
      <c r="H3603" s="4"/>
      <c r="I3603" s="1" t="s">
        <v>579</v>
      </c>
      <c r="J3603" s="5">
        <v>43630</v>
      </c>
      <c r="K3603" s="6" t="str">
        <f>"17.940,00"</f>
        <v>17.940,00</v>
      </c>
      <c r="L3603" s="6" t="str">
        <f>"4.485,00"</f>
        <v>4.485,00</v>
      </c>
      <c r="M3603" s="6" t="str">
        <f>"22.425,00"</f>
        <v>22.425,00</v>
      </c>
      <c r="N3603" s="1" t="s">
        <v>117</v>
      </c>
      <c r="O3603" s="7"/>
      <c r="P3603" s="6" t="str">
        <f>""</f>
        <v/>
      </c>
      <c r="Q3603" s="7"/>
      <c r="R3603" s="1"/>
      <c r="S3603" s="1" t="str">
        <f>"J-UN-2019-3638"</f>
        <v>J-UN-2019-3638</v>
      </c>
      <c r="T3603" s="2" t="s">
        <v>33</v>
      </c>
    </row>
    <row r="3604" spans="1:20" ht="38.25" x14ac:dyDescent="0.25">
      <c r="A3604" s="1">
        <v>3600</v>
      </c>
      <c r="B3604" s="1" t="str">
        <f>"2019-926"</f>
        <v>2019-926</v>
      </c>
      <c r="C3604" s="2" t="s">
        <v>2313</v>
      </c>
      <c r="D3604" s="1" t="s">
        <v>416</v>
      </c>
      <c r="E3604" s="3" t="str">
        <f>""</f>
        <v/>
      </c>
      <c r="F3604" s="2" t="s">
        <v>1323</v>
      </c>
      <c r="G3604" s="2" t="str">
        <f>CONCATENATE("KARTONAŽA HUDETZ,"," VL. MARIJAN HUDETZ,"," GUNDULIĆEVA 29,"," 10000 ZAGREB,"," OIB: 86222812378")</f>
        <v>KARTONAŽA HUDETZ, VL. MARIJAN HUDETZ, GUNDULIĆEVA 29, 10000 ZAGREB, OIB: 86222812378</v>
      </c>
      <c r="H3604" s="4"/>
      <c r="I3604" s="1" t="s">
        <v>73</v>
      </c>
      <c r="J3604" s="5">
        <v>43616</v>
      </c>
      <c r="K3604" s="6" t="str">
        <f>"2.350,00"</f>
        <v>2.350,00</v>
      </c>
      <c r="L3604" s="6" t="str">
        <f>"587,50"</f>
        <v>587,50</v>
      </c>
      <c r="M3604" s="6" t="str">
        <f>"2.937,50"</f>
        <v>2.937,50</v>
      </c>
      <c r="N3604" s="5">
        <v>43626</v>
      </c>
      <c r="O3604" s="7"/>
      <c r="P3604" s="6" t="str">
        <f>"2.937,50"</f>
        <v>2.937,50</v>
      </c>
      <c r="Q3604" s="7"/>
      <c r="R3604" s="1"/>
      <c r="S3604" s="1" t="str">
        <f>"J-UN-2019-3639"</f>
        <v>J-UN-2019-3639</v>
      </c>
      <c r="T3604" s="2" t="s">
        <v>33</v>
      </c>
    </row>
    <row r="3605" spans="1:20" ht="38.25" x14ac:dyDescent="0.25">
      <c r="A3605" s="1">
        <v>3601</v>
      </c>
      <c r="B3605" s="1" t="str">
        <f>"2019-949"</f>
        <v>2019-949</v>
      </c>
      <c r="C3605" s="2" t="s">
        <v>2314</v>
      </c>
      <c r="D3605" s="1" t="s">
        <v>2315</v>
      </c>
      <c r="E3605" s="3" t="str">
        <f>""</f>
        <v/>
      </c>
      <c r="F3605" s="2" t="s">
        <v>1323</v>
      </c>
      <c r="G3605" s="2" t="str">
        <f>CONCATENATE("ŠKOLA ZA CESTOVNI PROMET,"," TRG J.F. KENNEDYJA 8,"," 10000 ZAGREB,"," OIB: 63422210966")</f>
        <v>ŠKOLA ZA CESTOVNI PROMET, TRG J.F. KENNEDYJA 8, 10000 ZAGREB, OIB: 63422210966</v>
      </c>
      <c r="H3605" s="4"/>
      <c r="I3605" s="1" t="s">
        <v>162</v>
      </c>
      <c r="J3605" s="5">
        <v>43622</v>
      </c>
      <c r="K3605" s="6" t="str">
        <f>"600,00"</f>
        <v>600,00</v>
      </c>
      <c r="L3605" s="6" t="str">
        <f>"150,00"</f>
        <v>150,00</v>
      </c>
      <c r="M3605" s="6" t="str">
        <f>"750,00"</f>
        <v>750,00</v>
      </c>
      <c r="N3605" s="1" t="s">
        <v>117</v>
      </c>
      <c r="O3605" s="7"/>
      <c r="P3605" s="6" t="str">
        <f>""</f>
        <v/>
      </c>
      <c r="Q3605" s="7"/>
      <c r="R3605" s="1"/>
      <c r="S3605" s="1" t="str">
        <f>"J-UN-2019-3641"</f>
        <v>J-UN-2019-3641</v>
      </c>
      <c r="T3605" s="2" t="s">
        <v>33</v>
      </c>
    </row>
    <row r="3606" spans="1:20" ht="38.25" x14ac:dyDescent="0.25">
      <c r="A3606" s="1">
        <v>3602</v>
      </c>
      <c r="B3606" s="1" t="str">
        <f>"2019-12"</f>
        <v>2019-12</v>
      </c>
      <c r="C3606" s="2" t="s">
        <v>2140</v>
      </c>
      <c r="D3606" s="1" t="s">
        <v>1720</v>
      </c>
      <c r="E3606" s="3" t="str">
        <f>""</f>
        <v/>
      </c>
      <c r="F3606" s="2" t="s">
        <v>1323</v>
      </c>
      <c r="G3606" s="2" t="str">
        <f>CONCATENATE("BUTAN PLIN D.O.O.,"," ULICA RIJEKE DRAGONJE 23,"," 52466 NOVIGRAD (CITTANOVA),"," OIB: 80051835685")</f>
        <v>BUTAN PLIN D.O.O., ULICA RIJEKE DRAGONJE 23, 52466 NOVIGRAD (CITTANOVA), OIB: 80051835685</v>
      </c>
      <c r="H3606" s="4"/>
      <c r="I3606" s="1" t="s">
        <v>162</v>
      </c>
      <c r="J3606" s="5">
        <v>43622</v>
      </c>
      <c r="K3606" s="6" t="str">
        <f>"5.775,00"</f>
        <v>5.775,00</v>
      </c>
      <c r="L3606" s="6" t="str">
        <f>"1.443,75"</f>
        <v>1.443,75</v>
      </c>
      <c r="M3606" s="6" t="str">
        <f>"7.218,75"</f>
        <v>7.218,75</v>
      </c>
      <c r="N3606" s="5">
        <v>43620</v>
      </c>
      <c r="O3606" s="7"/>
      <c r="P3606" s="6" t="str">
        <f>"6.426,00"</f>
        <v>6.426,00</v>
      </c>
      <c r="Q3606" s="7"/>
      <c r="R3606" s="1"/>
      <c r="S3606" s="1" t="str">
        <f>"J-UN-2019-3642"</f>
        <v>J-UN-2019-3642</v>
      </c>
      <c r="T3606" s="2" t="s">
        <v>33</v>
      </c>
    </row>
    <row r="3607" spans="1:20" ht="25.5" x14ac:dyDescent="0.25">
      <c r="A3607" s="1">
        <v>3603</v>
      </c>
      <c r="B3607" s="1" t="str">
        <f>"2019-1355"</f>
        <v>2019-1355</v>
      </c>
      <c r="C3607" s="2" t="s">
        <v>2104</v>
      </c>
      <c r="D3607" s="1" t="s">
        <v>223</v>
      </c>
      <c r="E3607" s="3" t="str">
        <f>""</f>
        <v/>
      </c>
      <c r="F3607" s="2" t="s">
        <v>1323</v>
      </c>
      <c r="G3607" s="2" t="str">
        <f>CONCATENATE("INFOKOM D.O.O,"," SAVSKA 129,"," 10000 ZAGREB,"," OIB: 68111664044")</f>
        <v>INFOKOM D.O.O, SAVSKA 129, 10000 ZAGREB, OIB: 68111664044</v>
      </c>
      <c r="H3607" s="4"/>
      <c r="I3607" s="1" t="s">
        <v>162</v>
      </c>
      <c r="J3607" s="5">
        <v>43987</v>
      </c>
      <c r="K3607" s="6" t="str">
        <f>"198.400,00"</f>
        <v>198.400,00</v>
      </c>
      <c r="L3607" s="6" t="str">
        <f>"49.600,00"</f>
        <v>49.600,00</v>
      </c>
      <c r="M3607" s="6" t="str">
        <f>"248.000,00"</f>
        <v>248.000,00</v>
      </c>
      <c r="N3607" s="5">
        <v>43708</v>
      </c>
      <c r="O3607" s="7"/>
      <c r="P3607" s="6" t="str">
        <f>"37.325,00"</f>
        <v>37.325,00</v>
      </c>
      <c r="Q3607" s="7"/>
      <c r="R3607" s="1"/>
      <c r="S3607" s="1" t="str">
        <f>"J-UN-2019-3643"</f>
        <v>J-UN-2019-3643</v>
      </c>
      <c r="T3607" s="2" t="s">
        <v>33</v>
      </c>
    </row>
    <row r="3608" spans="1:20" ht="38.25" x14ac:dyDescent="0.25">
      <c r="A3608" s="1">
        <v>3604</v>
      </c>
      <c r="B3608" s="1" t="str">
        <f>"2019-513"</f>
        <v>2019-513</v>
      </c>
      <c r="C3608" s="2" t="s">
        <v>2230</v>
      </c>
      <c r="D3608" s="1" t="s">
        <v>2231</v>
      </c>
      <c r="E3608" s="3" t="str">
        <f>""</f>
        <v/>
      </c>
      <c r="F3608" s="2" t="s">
        <v>1323</v>
      </c>
      <c r="G3608" s="2" t="str">
        <f>CONCATENATE("STYRIA MEDIJSKI SERVISI D.O.O.,"," OREŠKOVIĆEVA 6H/1,"," 10010 ZAGREB,"," OIB: 29005509482")</f>
        <v>STYRIA MEDIJSKI SERVISI D.O.O., OREŠKOVIĆEVA 6H/1, 10010 ZAGREB, OIB: 29005509482</v>
      </c>
      <c r="H3608" s="4"/>
      <c r="I3608" s="1" t="s">
        <v>639</v>
      </c>
      <c r="J3608" s="5">
        <v>43621</v>
      </c>
      <c r="K3608" s="6" t="str">
        <f>"1.000,00"</f>
        <v>1.000,00</v>
      </c>
      <c r="L3608" s="6" t="str">
        <f>"250,00"</f>
        <v>250,00</v>
      </c>
      <c r="M3608" s="6" t="str">
        <f>"1.250,00"</f>
        <v>1.250,00</v>
      </c>
      <c r="N3608" s="5">
        <v>43634</v>
      </c>
      <c r="O3608" s="7"/>
      <c r="P3608" s="6" t="str">
        <f>"1.250,00"</f>
        <v>1.250,00</v>
      </c>
      <c r="Q3608" s="7"/>
      <c r="R3608" s="1"/>
      <c r="S3608" s="1" t="str">
        <f>"J-UN-2019-3644"</f>
        <v>J-UN-2019-3644</v>
      </c>
      <c r="T3608" s="2" t="s">
        <v>33</v>
      </c>
    </row>
    <row r="3609" spans="1:20" ht="25.5" x14ac:dyDescent="0.25">
      <c r="A3609" s="1">
        <v>3605</v>
      </c>
      <c r="B3609" s="1" t="str">
        <f>"2019-841"</f>
        <v>2019-841</v>
      </c>
      <c r="C3609" s="2" t="s">
        <v>2252</v>
      </c>
      <c r="D3609" s="1" t="s">
        <v>90</v>
      </c>
      <c r="E3609" s="3" t="str">
        <f>""</f>
        <v/>
      </c>
      <c r="F3609" s="2" t="s">
        <v>1323</v>
      </c>
      <c r="G3609" s="2" t="str">
        <f>CONCATENATE("SOM HIDRAULIKA D.O.O.,"," II RESNIK 20A,"," 10000 ZAGREB,"," OIB: 73091674996")</f>
        <v>SOM HIDRAULIKA D.O.O., II RESNIK 20A, 10000 ZAGREB, OIB: 73091674996</v>
      </c>
      <c r="H3609" s="4"/>
      <c r="I3609" s="1" t="s">
        <v>162</v>
      </c>
      <c r="J3609" s="5">
        <v>43622</v>
      </c>
      <c r="K3609" s="6" t="str">
        <f>"5.880,00"</f>
        <v>5.880,00</v>
      </c>
      <c r="L3609" s="6" t="str">
        <f>"1.470,00"</f>
        <v>1.470,00</v>
      </c>
      <c r="M3609" s="6" t="str">
        <f>"7.350,00"</f>
        <v>7.350,00</v>
      </c>
      <c r="N3609" s="5">
        <v>43627</v>
      </c>
      <c r="O3609" s="7"/>
      <c r="P3609" s="6" t="str">
        <f>"7.350,00"</f>
        <v>7.350,00</v>
      </c>
      <c r="Q3609" s="7"/>
      <c r="R3609" s="1"/>
      <c r="S3609" s="1" t="str">
        <f>"J-UN-2019-3645"</f>
        <v>J-UN-2019-3645</v>
      </c>
      <c r="T3609" s="2" t="s">
        <v>33</v>
      </c>
    </row>
    <row r="3610" spans="1:20" ht="38.25" x14ac:dyDescent="0.25">
      <c r="A3610" s="1">
        <v>3606</v>
      </c>
      <c r="B3610" s="1" t="str">
        <f>"2019-2625"</f>
        <v>2019-2625</v>
      </c>
      <c r="C3610" s="2" t="s">
        <v>1098</v>
      </c>
      <c r="D3610" s="1" t="s">
        <v>625</v>
      </c>
      <c r="E3610" s="3" t="str">
        <f>""</f>
        <v/>
      </c>
      <c r="F3610" s="2" t="s">
        <v>1323</v>
      </c>
      <c r="G3610" s="2" t="str">
        <f>CONCATENATE("NASTAVNI ZAVOD ZA JAVNO ZDRAVSTVO DR. ANDRIJA ŠTAMPAR,"," MIROGOJSKA CESTA 16,"," 10000 ZAGREB,"," OIB: 3339200596")</f>
        <v>NASTAVNI ZAVOD ZA JAVNO ZDRAVSTVO DR. ANDRIJA ŠTAMPAR, MIROGOJSKA CESTA 16, 10000 ZAGREB, OIB: 3339200596</v>
      </c>
      <c r="H3610" s="4"/>
      <c r="I3610" s="1" t="s">
        <v>414</v>
      </c>
      <c r="J3610" s="5">
        <v>43629</v>
      </c>
      <c r="K3610" s="6" t="str">
        <f>"454,00"</f>
        <v>454,00</v>
      </c>
      <c r="L3610" s="6" t="str">
        <f>"113,50"</f>
        <v>113,50</v>
      </c>
      <c r="M3610" s="6" t="str">
        <f>"567,50"</f>
        <v>567,50</v>
      </c>
      <c r="N3610" s="5">
        <v>43644</v>
      </c>
      <c r="O3610" s="7"/>
      <c r="P3610" s="6" t="str">
        <f>"567,50"</f>
        <v>567,50</v>
      </c>
      <c r="Q3610" s="7"/>
      <c r="R3610" s="1"/>
      <c r="S3610" s="1" t="str">
        <f>"J-UN-2019-3647"</f>
        <v>J-UN-2019-3647</v>
      </c>
      <c r="T3610" s="2" t="s">
        <v>33</v>
      </c>
    </row>
    <row r="3611" spans="1:20" ht="25.5" x14ac:dyDescent="0.25">
      <c r="A3611" s="1">
        <v>3607</v>
      </c>
      <c r="B3611" s="1" t="str">
        <f>"2019-1031"</f>
        <v>2019-1031</v>
      </c>
      <c r="C3611" s="2" t="s">
        <v>2249</v>
      </c>
      <c r="D3611" s="1" t="s">
        <v>2158</v>
      </c>
      <c r="E3611" s="3" t="str">
        <f>""</f>
        <v/>
      </c>
      <c r="F3611" s="2" t="s">
        <v>1323</v>
      </c>
      <c r="G3611" s="2" t="str">
        <f>CONCATENATE("COMET D.O.O.,"," VARAŽDINSKA 40/C,"," 42220 NOVI MAROF,"," OIB: 48249084626")</f>
        <v>COMET D.O.O., VARAŽDINSKA 40/C, 42220 NOVI MAROF, OIB: 48249084626</v>
      </c>
      <c r="H3611" s="4"/>
      <c r="I3611" s="1" t="s">
        <v>579</v>
      </c>
      <c r="J3611" s="5">
        <v>43630</v>
      </c>
      <c r="K3611" s="6" t="str">
        <f>"3.920,00"</f>
        <v>3.920,00</v>
      </c>
      <c r="L3611" s="6" t="str">
        <f>"980,00"</f>
        <v>980,00</v>
      </c>
      <c r="M3611" s="6" t="str">
        <f>"4.900,00"</f>
        <v>4.900,00</v>
      </c>
      <c r="N3611" s="5">
        <v>43634</v>
      </c>
      <c r="O3611" s="7"/>
      <c r="P3611" s="6" t="str">
        <f>"4.900,00"</f>
        <v>4.900,00</v>
      </c>
      <c r="Q3611" s="7"/>
      <c r="R3611" s="1"/>
      <c r="S3611" s="1" t="str">
        <f>"J-UN-2019-3648"</f>
        <v>J-UN-2019-3648</v>
      </c>
      <c r="T3611" s="2" t="s">
        <v>33</v>
      </c>
    </row>
    <row r="3612" spans="1:20" ht="38.25" x14ac:dyDescent="0.25">
      <c r="A3612" s="1">
        <v>3608</v>
      </c>
      <c r="B3612" s="1" t="str">
        <f>"2019-177"</f>
        <v>2019-177</v>
      </c>
      <c r="C3612" s="2" t="s">
        <v>2241</v>
      </c>
      <c r="D3612" s="1" t="s">
        <v>1419</v>
      </c>
      <c r="E3612" s="3" t="str">
        <f>""</f>
        <v/>
      </c>
      <c r="F3612" s="2" t="s">
        <v>1323</v>
      </c>
      <c r="G3612" s="2" t="str">
        <f>CONCATENATE("TOKIĆ D.O.O.,"," ULICA 144. BRIGADE HRVATSKE VOJSKE 1A,"," 10360 SESVETE,"," OIB: 7486748762")</f>
        <v>TOKIĆ D.O.O., ULICA 144. BRIGADE HRVATSKE VOJSKE 1A, 10360 SESVETE, OIB: 7486748762</v>
      </c>
      <c r="H3612" s="4"/>
      <c r="I3612" s="1" t="s">
        <v>414</v>
      </c>
      <c r="J3612" s="5">
        <v>43629</v>
      </c>
      <c r="K3612" s="6" t="str">
        <f>"14.108,20"</f>
        <v>14.108,20</v>
      </c>
      <c r="L3612" s="6" t="str">
        <f>"3.527,05"</f>
        <v>3.527,05</v>
      </c>
      <c r="M3612" s="6" t="str">
        <f>"17.635,25"</f>
        <v>17.635,25</v>
      </c>
      <c r="N3612" s="5">
        <v>43684</v>
      </c>
      <c r="O3612" s="7"/>
      <c r="P3612" s="6" t="str">
        <f>"17.635,25"</f>
        <v>17.635,25</v>
      </c>
      <c r="Q3612" s="7"/>
      <c r="R3612" s="1"/>
      <c r="S3612" s="1" t="str">
        <f>"J-UN-2019-3650"</f>
        <v>J-UN-2019-3650</v>
      </c>
      <c r="T3612" s="2" t="s">
        <v>33</v>
      </c>
    </row>
    <row r="3613" spans="1:20" ht="38.25" x14ac:dyDescent="0.25">
      <c r="A3613" s="1">
        <v>3609</v>
      </c>
      <c r="B3613" s="1" t="str">
        <f>"2019-1793"</f>
        <v>2019-1793</v>
      </c>
      <c r="C3613" s="2" t="s">
        <v>2298</v>
      </c>
      <c r="D3613" s="1" t="s">
        <v>223</v>
      </c>
      <c r="E3613" s="3" t="str">
        <f>""</f>
        <v/>
      </c>
      <c r="F3613" s="2" t="s">
        <v>1323</v>
      </c>
      <c r="G3613" s="2" t="str">
        <f>CONCATENATE("ECCOS-INŽENJERING D.O.O.,"," BANI 110,"," 10000 ZAGREB,"," OIB: 71629027685")</f>
        <v>ECCOS-INŽENJERING D.O.O., BANI 110, 10000 ZAGREB, OIB: 71629027685</v>
      </c>
      <c r="H3613" s="4"/>
      <c r="I3613" s="1" t="s">
        <v>162</v>
      </c>
      <c r="J3613" s="5">
        <v>43622</v>
      </c>
      <c r="K3613" s="6" t="str">
        <f>"760,00"</f>
        <v>760,00</v>
      </c>
      <c r="L3613" s="6" t="str">
        <f>"190,00"</f>
        <v>190,00</v>
      </c>
      <c r="M3613" s="6" t="str">
        <f>"950,00"</f>
        <v>950,00</v>
      </c>
      <c r="N3613" s="5">
        <v>43664</v>
      </c>
      <c r="O3613" s="7"/>
      <c r="P3613" s="6" t="str">
        <f>"600,00"</f>
        <v>600,00</v>
      </c>
      <c r="Q3613" s="7"/>
      <c r="R3613" s="1"/>
      <c r="S3613" s="1" t="str">
        <f>"J-UN-2019-3651"</f>
        <v>J-UN-2019-3651</v>
      </c>
      <c r="T3613" s="2" t="s">
        <v>33</v>
      </c>
    </row>
    <row r="3614" spans="1:20" ht="38.25" x14ac:dyDescent="0.25">
      <c r="A3614" s="1">
        <v>3610</v>
      </c>
      <c r="B3614" s="1" t="str">
        <f>"2019-687"</f>
        <v>2019-687</v>
      </c>
      <c r="C3614" s="2" t="s">
        <v>2255</v>
      </c>
      <c r="D3614" s="1" t="s">
        <v>2256</v>
      </c>
      <c r="E3614" s="3" t="str">
        <f>""</f>
        <v/>
      </c>
      <c r="F3614" s="2" t="s">
        <v>1323</v>
      </c>
      <c r="G3614" s="2" t="str">
        <f>CONCATENATE("ELEKTRO-KOMUNIKACIJE D.O.O.,"," 14. PODBREŽJE 4,"," 10000 ZAGREB,"," OIB: 76412373309")</f>
        <v>ELEKTRO-KOMUNIKACIJE D.O.O., 14. PODBREŽJE 4, 10000 ZAGREB, OIB: 76412373309</v>
      </c>
      <c r="H3614" s="4"/>
      <c r="I3614" s="1" t="s">
        <v>414</v>
      </c>
      <c r="J3614" s="5">
        <v>43629</v>
      </c>
      <c r="K3614" s="6" t="str">
        <f>"8.651,00"</f>
        <v>8.651,00</v>
      </c>
      <c r="L3614" s="6" t="str">
        <f>"2.162,75"</f>
        <v>2.162,75</v>
      </c>
      <c r="M3614" s="6" t="str">
        <f>"10.813,75"</f>
        <v>10.813,75</v>
      </c>
      <c r="N3614" s="5">
        <v>43675</v>
      </c>
      <c r="O3614" s="7"/>
      <c r="P3614" s="6" t="str">
        <f>"2.111,25"</f>
        <v>2.111,25</v>
      </c>
      <c r="Q3614" s="7"/>
      <c r="R3614" s="1"/>
      <c r="S3614" s="1" t="str">
        <f>"J-UN-2019-3652"</f>
        <v>J-UN-2019-3652</v>
      </c>
      <c r="T3614" s="2" t="s">
        <v>33</v>
      </c>
    </row>
    <row r="3615" spans="1:20" ht="38.25" x14ac:dyDescent="0.25">
      <c r="A3615" s="1">
        <v>3611</v>
      </c>
      <c r="B3615" s="1" t="str">
        <f>"2019-2229"</f>
        <v>2019-2229</v>
      </c>
      <c r="C3615" s="2" t="s">
        <v>2207</v>
      </c>
      <c r="D3615" s="1" t="s">
        <v>1550</v>
      </c>
      <c r="E3615" s="3" t="str">
        <f>""</f>
        <v/>
      </c>
      <c r="F3615" s="2" t="s">
        <v>1323</v>
      </c>
      <c r="G3615" s="2" t="str">
        <f>CONCATENATE("ZAVOD ZA JAVNO ZDRAVSTVO ISTARSKE ŽUPANIJE,"," NAZOROVA 23,"," 52100 PULA,"," OIB: 90629578695")</f>
        <v>ZAVOD ZA JAVNO ZDRAVSTVO ISTARSKE ŽUPANIJE, NAZOROVA 23, 52100 PULA, OIB: 90629578695</v>
      </c>
      <c r="H3615" s="4"/>
      <c r="I3615" s="1" t="s">
        <v>162</v>
      </c>
      <c r="J3615" s="5">
        <v>43622</v>
      </c>
      <c r="K3615" s="6" t="str">
        <f>"2.655,00"</f>
        <v>2.655,00</v>
      </c>
      <c r="L3615" s="6" t="str">
        <f>"663,75"</f>
        <v>663,75</v>
      </c>
      <c r="M3615" s="6" t="str">
        <f>"3.318,75"</f>
        <v>3.318,75</v>
      </c>
      <c r="N3615" s="5">
        <v>43629</v>
      </c>
      <c r="O3615" s="7"/>
      <c r="P3615" s="6" t="str">
        <f>"3.318,75"</f>
        <v>3.318,75</v>
      </c>
      <c r="Q3615" s="7"/>
      <c r="R3615" s="1"/>
      <c r="S3615" s="1" t="str">
        <f>"J-UN-2019-3654"</f>
        <v>J-UN-2019-3654</v>
      </c>
      <c r="T3615" s="2" t="s">
        <v>33</v>
      </c>
    </row>
    <row r="3616" spans="1:20" ht="38.25" x14ac:dyDescent="0.25">
      <c r="A3616" s="1">
        <v>3612</v>
      </c>
      <c r="B3616" s="1" t="str">
        <f>"2019-1985"</f>
        <v>2019-1985</v>
      </c>
      <c r="C3616" s="2" t="s">
        <v>2316</v>
      </c>
      <c r="D3616" s="1" t="s">
        <v>152</v>
      </c>
      <c r="E3616" s="3" t="str">
        <f>""</f>
        <v/>
      </c>
      <c r="F3616" s="2" t="s">
        <v>1323</v>
      </c>
      <c r="G3616" s="2" t="str">
        <f>CONCATENATE("ELEKTRO-KOMUNIKACIJE D.O.O.,"," 14. PODBREŽJE 4,"," 10000 ZAGREB,"," OIB: 76412373309")</f>
        <v>ELEKTRO-KOMUNIKACIJE D.O.O., 14. PODBREŽJE 4, 10000 ZAGREB, OIB: 76412373309</v>
      </c>
      <c r="H3616" s="4"/>
      <c r="I3616" s="1" t="s">
        <v>374</v>
      </c>
      <c r="J3616" s="5">
        <v>43628</v>
      </c>
      <c r="K3616" s="6" t="str">
        <f>"3.612,00"</f>
        <v>3.612,00</v>
      </c>
      <c r="L3616" s="6" t="str">
        <f>"903,00"</f>
        <v>903,00</v>
      </c>
      <c r="M3616" s="6" t="str">
        <f>"4.515,00"</f>
        <v>4.515,00</v>
      </c>
      <c r="N3616" s="5">
        <v>43677</v>
      </c>
      <c r="O3616" s="7"/>
      <c r="P3616" s="6" t="str">
        <f>"4.515,00"</f>
        <v>4.515,00</v>
      </c>
      <c r="Q3616" s="7"/>
      <c r="R3616" s="1"/>
      <c r="S3616" s="1" t="str">
        <f>"J-UN-2019-3655"</f>
        <v>J-UN-2019-3655</v>
      </c>
      <c r="T3616" s="2" t="s">
        <v>33</v>
      </c>
    </row>
    <row r="3617" spans="1:20" ht="25.5" x14ac:dyDescent="0.25">
      <c r="A3617" s="1">
        <v>3613</v>
      </c>
      <c r="B3617" s="1" t="str">
        <f>"2019-1583"</f>
        <v>2019-1583</v>
      </c>
      <c r="C3617" s="2" t="s">
        <v>2201</v>
      </c>
      <c r="D3617" s="1" t="s">
        <v>2202</v>
      </c>
      <c r="E3617" s="3" t="str">
        <f>""</f>
        <v/>
      </c>
      <c r="F3617" s="2" t="s">
        <v>1323</v>
      </c>
      <c r="G3617" s="2" t="str">
        <f>CONCATENATE("DEBENC PLUS D. O. O.,"," OSJEČKA 39,"," 51000 RIJEKA,"," OIB: 82510351433")</f>
        <v>DEBENC PLUS D. O. O., OSJEČKA 39, 51000 RIJEKA, OIB: 82510351433</v>
      </c>
      <c r="H3617" s="4"/>
      <c r="I3617" s="1" t="s">
        <v>374</v>
      </c>
      <c r="J3617" s="5">
        <v>43628</v>
      </c>
      <c r="K3617" s="6" t="str">
        <f>"1.152,00"</f>
        <v>1.152,00</v>
      </c>
      <c r="L3617" s="6" t="str">
        <f>"288,00"</f>
        <v>288,00</v>
      </c>
      <c r="M3617" s="6" t="str">
        <f>"1.440,00"</f>
        <v>1.440,00</v>
      </c>
      <c r="N3617" s="5">
        <v>43644</v>
      </c>
      <c r="O3617" s="7"/>
      <c r="P3617" s="6" t="str">
        <f>"1.440,00"</f>
        <v>1.440,00</v>
      </c>
      <c r="Q3617" s="7"/>
      <c r="R3617" s="1"/>
      <c r="S3617" s="1" t="str">
        <f>"J-UN-2019-3656"</f>
        <v>J-UN-2019-3656</v>
      </c>
      <c r="T3617" s="2" t="s">
        <v>33</v>
      </c>
    </row>
    <row r="3618" spans="1:20" ht="38.25" x14ac:dyDescent="0.25">
      <c r="A3618" s="1">
        <v>3614</v>
      </c>
      <c r="B3618" s="1" t="str">
        <f>"2019-1990"</f>
        <v>2019-1990</v>
      </c>
      <c r="C3618" s="2" t="s">
        <v>2317</v>
      </c>
      <c r="D3618" s="1" t="s">
        <v>2318</v>
      </c>
      <c r="E3618" s="3" t="str">
        <f>""</f>
        <v/>
      </c>
      <c r="F3618" s="2" t="s">
        <v>1323</v>
      </c>
      <c r="G3618" s="2" t="str">
        <f>CONCATENATE("3 M D.O.O.,"," GORNJE PODOTOČJE,"," ŠKOLSKA 60,"," 10410 VELIKA GORICA,"," OIB: 45975769859")</f>
        <v>3 M D.O.O., GORNJE PODOTOČJE, ŠKOLSKA 60, 10410 VELIKA GORICA, OIB: 45975769859</v>
      </c>
      <c r="H3618" s="4"/>
      <c r="I3618" s="1" t="s">
        <v>374</v>
      </c>
      <c r="J3618" s="5">
        <v>43628</v>
      </c>
      <c r="K3618" s="6" t="str">
        <f>"24.840,00"</f>
        <v>24.840,00</v>
      </c>
      <c r="L3618" s="6" t="str">
        <f>"6.210,00"</f>
        <v>6.210,00</v>
      </c>
      <c r="M3618" s="6" t="str">
        <f>"31.050,00"</f>
        <v>31.050,00</v>
      </c>
      <c r="N3618" s="5">
        <v>43635</v>
      </c>
      <c r="O3618" s="7"/>
      <c r="P3618" s="6" t="str">
        <f>"31.050,00"</f>
        <v>31.050,00</v>
      </c>
      <c r="Q3618" s="7"/>
      <c r="R3618" s="1"/>
      <c r="S3618" s="1" t="str">
        <f>"J-UN-2019-3657"</f>
        <v>J-UN-2019-3657</v>
      </c>
      <c r="T3618" s="2" t="s">
        <v>33</v>
      </c>
    </row>
    <row r="3619" spans="1:20" ht="25.5" x14ac:dyDescent="0.25">
      <c r="A3619" s="1">
        <v>3615</v>
      </c>
      <c r="B3619" s="1" t="str">
        <f>"2019-2583"</f>
        <v>2019-2583</v>
      </c>
      <c r="C3619" s="2" t="s">
        <v>1823</v>
      </c>
      <c r="D3619" s="1" t="s">
        <v>152</v>
      </c>
      <c r="E3619" s="3" t="str">
        <f>""</f>
        <v/>
      </c>
      <c r="F3619" s="2" t="s">
        <v>1323</v>
      </c>
      <c r="G3619" s="2" t="str">
        <f>CONCATENATE("IKOM D.O.O.,"," KOVINSKA 7,"," 10090 ZAGREB-SUSEDGRAD,"," OIB: 86247075815")</f>
        <v>IKOM D.O.O., KOVINSKA 7, 10090 ZAGREB-SUSEDGRAD, OIB: 86247075815</v>
      </c>
      <c r="H3619" s="4"/>
      <c r="I3619" s="1" t="s">
        <v>579</v>
      </c>
      <c r="J3619" s="5">
        <v>43630</v>
      </c>
      <c r="K3619" s="6" t="str">
        <f>"2.165,00"</f>
        <v>2.165,00</v>
      </c>
      <c r="L3619" s="6" t="str">
        <f>"541,25"</f>
        <v>541,25</v>
      </c>
      <c r="M3619" s="6" t="str">
        <f>"2.706,25"</f>
        <v>2.706,25</v>
      </c>
      <c r="N3619" s="5">
        <v>43644</v>
      </c>
      <c r="O3619" s="7"/>
      <c r="P3619" s="6" t="str">
        <f>"2.706,25"</f>
        <v>2.706,25</v>
      </c>
      <c r="Q3619" s="7"/>
      <c r="R3619" s="1"/>
      <c r="S3619" s="1" t="str">
        <f>"J-UN-2019-3658"</f>
        <v>J-UN-2019-3658</v>
      </c>
      <c r="T3619" s="2" t="s">
        <v>33</v>
      </c>
    </row>
    <row r="3620" spans="1:20" ht="25.5" x14ac:dyDescent="0.25">
      <c r="A3620" s="1">
        <v>3616</v>
      </c>
      <c r="B3620" s="1" t="str">
        <f>"2019-285"</f>
        <v>2019-285</v>
      </c>
      <c r="C3620" s="2" t="s">
        <v>2319</v>
      </c>
      <c r="D3620" s="1" t="s">
        <v>1561</v>
      </c>
      <c r="E3620" s="3" t="str">
        <f>""</f>
        <v/>
      </c>
      <c r="F3620" s="2" t="s">
        <v>1323</v>
      </c>
      <c r="G3620" s="2" t="str">
        <f>CONCATENATE("VULKAN-NOVA D.O.O.,"," RADNIČKA BB,"," 51000 RIJEKA,"," OIB: 12441871562")</f>
        <v>VULKAN-NOVA D.O.O., RADNIČKA BB, 51000 RIJEKA, OIB: 12441871562</v>
      </c>
      <c r="H3620" s="4"/>
      <c r="I3620" s="1" t="s">
        <v>402</v>
      </c>
      <c r="J3620" s="5">
        <v>43623</v>
      </c>
      <c r="K3620" s="6" t="str">
        <f>"22.084,00"</f>
        <v>22.084,00</v>
      </c>
      <c r="L3620" s="6" t="str">
        <f>"5.521,00"</f>
        <v>5.521,00</v>
      </c>
      <c r="M3620" s="6" t="str">
        <f>"27.605,00"</f>
        <v>27.605,00</v>
      </c>
      <c r="N3620" s="5">
        <v>43690</v>
      </c>
      <c r="O3620" s="7"/>
      <c r="P3620" s="6" t="str">
        <f>"27.605,00"</f>
        <v>27.605,00</v>
      </c>
      <c r="Q3620" s="7"/>
      <c r="R3620" s="1"/>
      <c r="S3620" s="1" t="str">
        <f>"J-UN-2019-3659"</f>
        <v>J-UN-2019-3659</v>
      </c>
      <c r="T3620" s="2" t="s">
        <v>33</v>
      </c>
    </row>
    <row r="3621" spans="1:20" ht="25.5" x14ac:dyDescent="0.25">
      <c r="A3621" s="1">
        <v>3617</v>
      </c>
      <c r="B3621" s="1" t="str">
        <f>"2019-2708"</f>
        <v>2019-2708</v>
      </c>
      <c r="C3621" s="2" t="s">
        <v>2320</v>
      </c>
      <c r="D3621" s="1" t="s">
        <v>119</v>
      </c>
      <c r="E3621" s="3" t="str">
        <f>""</f>
        <v/>
      </c>
      <c r="F3621" s="2" t="s">
        <v>1323</v>
      </c>
      <c r="G3621" s="2" t="str">
        <f>CONCATENATE("KOM-SAT D.O.O.,"," BUKOVAČKA CESTA 4/C,"," 10000 ZAGREB,"," OIB: 98544493572")</f>
        <v>KOM-SAT D.O.O., BUKOVAČKA CESTA 4/C, 10000 ZAGREB, OIB: 98544493572</v>
      </c>
      <c r="H3621" s="4"/>
      <c r="I3621" s="1" t="s">
        <v>374</v>
      </c>
      <c r="J3621" s="5">
        <v>43628</v>
      </c>
      <c r="K3621" s="6" t="str">
        <f>"284.533,38"</f>
        <v>284.533,38</v>
      </c>
      <c r="L3621" s="6" t="str">
        <f>"71.133,35"</f>
        <v>71.133,35</v>
      </c>
      <c r="M3621" s="6" t="str">
        <f>"355.666,73"</f>
        <v>355.666,73</v>
      </c>
      <c r="N3621" s="1" t="s">
        <v>117</v>
      </c>
      <c r="O3621" s="7"/>
      <c r="P3621" s="6" t="str">
        <f>""</f>
        <v/>
      </c>
      <c r="Q3621" s="7"/>
      <c r="R3621" s="1"/>
      <c r="S3621" s="1" t="str">
        <f>"J-UN-2019-3661"</f>
        <v>J-UN-2019-3661</v>
      </c>
      <c r="T3621" s="2" t="s">
        <v>33</v>
      </c>
    </row>
    <row r="3622" spans="1:20" ht="38.25" x14ac:dyDescent="0.25">
      <c r="A3622" s="1">
        <v>3618</v>
      </c>
      <c r="B3622" s="1" t="str">
        <f>"2019-790"</f>
        <v>2019-790</v>
      </c>
      <c r="C3622" s="2" t="s">
        <v>2121</v>
      </c>
      <c r="D3622" s="1" t="s">
        <v>727</v>
      </c>
      <c r="E3622" s="3" t="str">
        <f>""</f>
        <v/>
      </c>
      <c r="F3622" s="2" t="s">
        <v>1323</v>
      </c>
      <c r="G3622" s="2" t="str">
        <f>CONCATENATE("DRAVA INTERNATIONAL D.O.O.,"," STJEPANA RADIĆA 15,"," 31000 OSIJEK,"," OIB: 40223379376")</f>
        <v>DRAVA INTERNATIONAL D.O.O., STJEPANA RADIĆA 15, 31000 OSIJEK, OIB: 40223379376</v>
      </c>
      <c r="H3622" s="4"/>
      <c r="I3622" s="1" t="s">
        <v>579</v>
      </c>
      <c r="J3622" s="5">
        <v>43630</v>
      </c>
      <c r="K3622" s="6" t="str">
        <f>"23.960,00"</f>
        <v>23.960,00</v>
      </c>
      <c r="L3622" s="6" t="str">
        <f>"5.990,00"</f>
        <v>5.990,00</v>
      </c>
      <c r="M3622" s="6" t="str">
        <f>"29.950,00"</f>
        <v>29.950,00</v>
      </c>
      <c r="N3622" s="5">
        <v>43661</v>
      </c>
      <c r="O3622" s="7"/>
      <c r="P3622" s="6" t="str">
        <f>"29.950,00"</f>
        <v>29.950,00</v>
      </c>
      <c r="Q3622" s="7"/>
      <c r="R3622" s="1"/>
      <c r="S3622" s="1" t="str">
        <f>"J-UN-2019-3662"</f>
        <v>J-UN-2019-3662</v>
      </c>
      <c r="T3622" s="2" t="s">
        <v>33</v>
      </c>
    </row>
    <row r="3623" spans="1:20" ht="25.5" x14ac:dyDescent="0.25">
      <c r="A3623" s="1">
        <v>3619</v>
      </c>
      <c r="B3623" s="1" t="str">
        <f>"2019-2470"</f>
        <v>2019-2470</v>
      </c>
      <c r="C3623" s="2" t="s">
        <v>274</v>
      </c>
      <c r="D3623" s="1" t="s">
        <v>275</v>
      </c>
      <c r="E3623" s="3" t="str">
        <f>""</f>
        <v/>
      </c>
      <c r="F3623" s="2" t="s">
        <v>1323</v>
      </c>
      <c r="G3623" s="2" t="str">
        <f>CONCATENATE("SVRDLO D.O.O.,"," ŠKOLSKA ULICA 10,"," 10370 DUGO SELO,"," OIB: 36535565458")</f>
        <v>SVRDLO D.O.O., ŠKOLSKA ULICA 10, 10370 DUGO SELO, OIB: 36535565458</v>
      </c>
      <c r="H3623" s="4"/>
      <c r="I3623" s="1" t="s">
        <v>579</v>
      </c>
      <c r="J3623" s="5">
        <v>43630</v>
      </c>
      <c r="K3623" s="6" t="str">
        <f>"4.240,00"</f>
        <v>4.240,00</v>
      </c>
      <c r="L3623" s="6" t="str">
        <f>"1.060,00"</f>
        <v>1.060,00</v>
      </c>
      <c r="M3623" s="6" t="str">
        <f>"5.300,00"</f>
        <v>5.300,00</v>
      </c>
      <c r="N3623" s="5">
        <v>43642</v>
      </c>
      <c r="O3623" s="7"/>
      <c r="P3623" s="6" t="str">
        <f>"5.300,00"</f>
        <v>5.300,00</v>
      </c>
      <c r="Q3623" s="7"/>
      <c r="R3623" s="1"/>
      <c r="S3623" s="1" t="str">
        <f>"J-UN-2019-3663"</f>
        <v>J-UN-2019-3663</v>
      </c>
      <c r="T3623" s="2" t="s">
        <v>33</v>
      </c>
    </row>
    <row r="3624" spans="1:20" ht="25.5" x14ac:dyDescent="0.25">
      <c r="A3624" s="1">
        <v>3620</v>
      </c>
      <c r="B3624" s="1" t="str">
        <f>"2019-2632"</f>
        <v>2019-2632</v>
      </c>
      <c r="C3624" s="2" t="s">
        <v>2321</v>
      </c>
      <c r="D3624" s="1" t="s">
        <v>1384</v>
      </c>
      <c r="E3624" s="3" t="str">
        <f>""</f>
        <v/>
      </c>
      <c r="F3624" s="2" t="s">
        <v>1323</v>
      </c>
      <c r="G3624" s="2" t="str">
        <f>CONCATENATE("F I M INŽENJERING D.O.O.,"," ZAGREBAČKA 73,"," 10410 VELIKA GORICA,"," OIB: 7618191024")</f>
        <v>F I M INŽENJERING D.O.O., ZAGREBAČKA 73, 10410 VELIKA GORICA, OIB: 7618191024</v>
      </c>
      <c r="H3624" s="4"/>
      <c r="I3624" s="1" t="s">
        <v>579</v>
      </c>
      <c r="J3624" s="5">
        <v>43630</v>
      </c>
      <c r="K3624" s="6" t="str">
        <f>"17.500,00"</f>
        <v>17.500,00</v>
      </c>
      <c r="L3624" s="6" t="str">
        <f>"4.375,00"</f>
        <v>4.375,00</v>
      </c>
      <c r="M3624" s="6" t="str">
        <f>"21.875,00"</f>
        <v>21.875,00</v>
      </c>
      <c r="N3624" s="5">
        <v>43656</v>
      </c>
      <c r="O3624" s="7"/>
      <c r="P3624" s="6" t="str">
        <f>"21.875,00"</f>
        <v>21.875,00</v>
      </c>
      <c r="Q3624" s="7"/>
      <c r="R3624" s="1"/>
      <c r="S3624" s="1" t="str">
        <f>"J-UN-2019-3664"</f>
        <v>J-UN-2019-3664</v>
      </c>
      <c r="T3624" s="2" t="s">
        <v>33</v>
      </c>
    </row>
    <row r="3625" spans="1:20" ht="51" x14ac:dyDescent="0.25">
      <c r="A3625" s="1">
        <v>3621</v>
      </c>
      <c r="B3625" s="1" t="str">
        <f>"2019-1902"</f>
        <v>2019-1902</v>
      </c>
      <c r="C3625" s="2" t="s">
        <v>2170</v>
      </c>
      <c r="D3625" s="1" t="s">
        <v>2099</v>
      </c>
      <c r="E3625" s="3" t="str">
        <f>""</f>
        <v/>
      </c>
      <c r="F3625" s="2" t="s">
        <v>1323</v>
      </c>
      <c r="G3625" s="2" t="str">
        <f>CONCATENATE("ELEKTRO - REMONT,"," SERVIS PLAMENIKA I KOTLOVA,"," VL. KRUNOSLAV JANJIĆ,"," ZAGREBAČKA 117,"," 35000 SLAVONSKI BROD,"," OIB: 247954733")</f>
        <v>ELEKTRO - REMONT, SERVIS PLAMENIKA I KOTLOVA, VL. KRUNOSLAV JANJIĆ, ZAGREBAČKA 117, 35000 SLAVONSKI BROD, OIB: 247954733</v>
      </c>
      <c r="H3625" s="4"/>
      <c r="I3625" s="1" t="s">
        <v>402</v>
      </c>
      <c r="J3625" s="5">
        <v>43623</v>
      </c>
      <c r="K3625" s="6" t="str">
        <f>"4.090,00"</f>
        <v>4.090,00</v>
      </c>
      <c r="L3625" s="6" t="str">
        <f>"1.022,50"</f>
        <v>1.022,50</v>
      </c>
      <c r="M3625" s="6" t="str">
        <f>"5.112,50"</f>
        <v>5.112,50</v>
      </c>
      <c r="N3625" s="5">
        <v>43644</v>
      </c>
      <c r="O3625" s="7"/>
      <c r="P3625" s="6" t="str">
        <f>"5.112,50"</f>
        <v>5.112,50</v>
      </c>
      <c r="Q3625" s="7"/>
      <c r="R3625" s="1"/>
      <c r="S3625" s="1" t="str">
        <f>"J-UN-2019-3667"</f>
        <v>J-UN-2019-3667</v>
      </c>
      <c r="T3625" s="2" t="s">
        <v>33</v>
      </c>
    </row>
    <row r="3626" spans="1:20" ht="25.5" x14ac:dyDescent="0.25">
      <c r="A3626" s="1">
        <v>3622</v>
      </c>
      <c r="B3626" s="1" t="str">
        <f>"2019-841"</f>
        <v>2019-841</v>
      </c>
      <c r="C3626" s="2" t="s">
        <v>2252</v>
      </c>
      <c r="D3626" s="1" t="s">
        <v>90</v>
      </c>
      <c r="E3626" s="3" t="str">
        <f>""</f>
        <v/>
      </c>
      <c r="F3626" s="2" t="s">
        <v>1323</v>
      </c>
      <c r="G3626" s="2" t="str">
        <f>CONCATENATE("SOM HIDRAULIKA D.O.O.,"," II RESNIK 20A,"," 10000 ZAGREB,"," OIB: 73091674996")</f>
        <v>SOM HIDRAULIKA D.O.O., II RESNIK 20A, 10000 ZAGREB, OIB: 73091674996</v>
      </c>
      <c r="H3626" s="4"/>
      <c r="I3626" s="1" t="s">
        <v>402</v>
      </c>
      <c r="J3626" s="5">
        <v>43623</v>
      </c>
      <c r="K3626" s="6" t="str">
        <f>"19.960,00"</f>
        <v>19.960,00</v>
      </c>
      <c r="L3626" s="6" t="str">
        <f>"4.990,00"</f>
        <v>4.990,00</v>
      </c>
      <c r="M3626" s="6" t="str">
        <f>"24.950,00"</f>
        <v>24.950,00</v>
      </c>
      <c r="N3626" s="5">
        <v>43627</v>
      </c>
      <c r="O3626" s="7"/>
      <c r="P3626" s="6" t="str">
        <f>"24.950,00"</f>
        <v>24.950,00</v>
      </c>
      <c r="Q3626" s="7"/>
      <c r="R3626" s="1"/>
      <c r="S3626" s="1" t="str">
        <f>"J-UN-2019-3671"</f>
        <v>J-UN-2019-3671</v>
      </c>
      <c r="T3626" s="2" t="s">
        <v>33</v>
      </c>
    </row>
    <row r="3627" spans="1:20" ht="38.25" x14ac:dyDescent="0.25">
      <c r="A3627" s="1">
        <v>3623</v>
      </c>
      <c r="B3627" s="1" t="str">
        <f>"2019-13"</f>
        <v>2019-13</v>
      </c>
      <c r="C3627" s="2" t="s">
        <v>2146</v>
      </c>
      <c r="D3627" s="1" t="s">
        <v>2147</v>
      </c>
      <c r="E3627" s="3" t="str">
        <f>""</f>
        <v/>
      </c>
      <c r="F3627" s="2" t="s">
        <v>1323</v>
      </c>
      <c r="G3627" s="2" t="str">
        <f>CONCATENATE("TOMIDO D. O. O.,"," J. IVANČIĆA 21,"," 52100 PULA,"," OIB: 8125202967")</f>
        <v>TOMIDO D. O. O., J. IVANČIĆA 21, 52100 PULA, OIB: 8125202967</v>
      </c>
      <c r="H3627" s="4"/>
      <c r="I3627" s="1" t="s">
        <v>162</v>
      </c>
      <c r="J3627" s="5">
        <v>43622</v>
      </c>
      <c r="K3627" s="6" t="str">
        <f>"1.500,00"</f>
        <v>1.500,00</v>
      </c>
      <c r="L3627" s="6" t="str">
        <f>"375,00"</f>
        <v>375,00</v>
      </c>
      <c r="M3627" s="6" t="str">
        <f>"1.875,00"</f>
        <v>1.875,00</v>
      </c>
      <c r="N3627" s="5">
        <v>43623</v>
      </c>
      <c r="O3627" s="7"/>
      <c r="P3627" s="6" t="str">
        <f>"1.875,00"</f>
        <v>1.875,00</v>
      </c>
      <c r="Q3627" s="7"/>
      <c r="R3627" s="1"/>
      <c r="S3627" s="1" t="str">
        <f>"J-UN-2019-3673"</f>
        <v>J-UN-2019-3673</v>
      </c>
      <c r="T3627" s="2" t="s">
        <v>33</v>
      </c>
    </row>
    <row r="3628" spans="1:20" ht="25.5" x14ac:dyDescent="0.25">
      <c r="A3628" s="1">
        <v>3624</v>
      </c>
      <c r="B3628" s="1" t="str">
        <f>"2019-942"</f>
        <v>2019-942</v>
      </c>
      <c r="C3628" s="2" t="s">
        <v>2085</v>
      </c>
      <c r="D3628" s="1" t="s">
        <v>2086</v>
      </c>
      <c r="E3628" s="3" t="str">
        <f>""</f>
        <v/>
      </c>
      <c r="F3628" s="2" t="s">
        <v>1323</v>
      </c>
      <c r="G3628" s="2" t="str">
        <f>CONCATENATE("NOVI INFORMATOR D.O.O.,"," KNEZA MISLAVA 7/1,"," 10000 ZAGREB,"," OIB: 03492821167")</f>
        <v>NOVI INFORMATOR D.O.O., KNEZA MISLAVA 7/1, 10000 ZAGREB, OIB: 03492821167</v>
      </c>
      <c r="H3628" s="4"/>
      <c r="I3628" s="1" t="s">
        <v>162</v>
      </c>
      <c r="J3628" s="5">
        <v>43622</v>
      </c>
      <c r="K3628" s="6" t="str">
        <f>"3.840,30"</f>
        <v>3.840,30</v>
      </c>
      <c r="L3628" s="6" t="str">
        <f>"960,08"</f>
        <v>960,08</v>
      </c>
      <c r="M3628" s="6" t="str">
        <f>"4.800,38"</f>
        <v>4.800,38</v>
      </c>
      <c r="N3628" s="5">
        <v>43622</v>
      </c>
      <c r="O3628" s="7"/>
      <c r="P3628" s="6" t="str">
        <f>"4.800,38"</f>
        <v>4.800,38</v>
      </c>
      <c r="Q3628" s="7"/>
      <c r="R3628" s="1"/>
      <c r="S3628" s="1" t="str">
        <f>"J-UN-2019-3674"</f>
        <v>J-UN-2019-3674</v>
      </c>
      <c r="T3628" s="2" t="s">
        <v>33</v>
      </c>
    </row>
    <row r="3629" spans="1:20" ht="38.25" x14ac:dyDescent="0.25">
      <c r="A3629" s="1">
        <v>3625</v>
      </c>
      <c r="B3629" s="1" t="str">
        <f>"2019-2168"</f>
        <v>2019-2168</v>
      </c>
      <c r="C3629" s="2" t="s">
        <v>2322</v>
      </c>
      <c r="D3629" s="1" t="s">
        <v>1606</v>
      </c>
      <c r="E3629" s="3" t="str">
        <f>""</f>
        <v/>
      </c>
      <c r="F3629" s="2" t="s">
        <v>1323</v>
      </c>
      <c r="G3629" s="2" t="str">
        <f>CONCATENATE("VDM SERVIS,"," VL. DRAGOSLAV ĐURIĆ,"," KATIĆEV PRILAZ 5,"," 10020 ZAGREB-NOVI ZAGREB,"," OIB: 23491522")</f>
        <v>VDM SERVIS, VL. DRAGOSLAV ĐURIĆ, KATIĆEV PRILAZ 5, 10020 ZAGREB-NOVI ZAGREB, OIB: 23491522</v>
      </c>
      <c r="H3629" s="4"/>
      <c r="I3629" s="1" t="s">
        <v>162</v>
      </c>
      <c r="J3629" s="5">
        <v>43622</v>
      </c>
      <c r="K3629" s="6" t="str">
        <f>"13.573,00"</f>
        <v>13.573,00</v>
      </c>
      <c r="L3629" s="6" t="str">
        <f>"3.393,25"</f>
        <v>3.393,25</v>
      </c>
      <c r="M3629" s="6" t="str">
        <f>"16.966,25"</f>
        <v>16.966,25</v>
      </c>
      <c r="N3629" s="5">
        <v>43634</v>
      </c>
      <c r="O3629" s="7"/>
      <c r="P3629" s="6" t="str">
        <f>"16.966,25"</f>
        <v>16.966,25</v>
      </c>
      <c r="Q3629" s="7"/>
      <c r="R3629" s="1"/>
      <c r="S3629" s="1" t="str">
        <f>"J-UN-2019-3675"</f>
        <v>J-UN-2019-3675</v>
      </c>
      <c r="T3629" s="2" t="s">
        <v>33</v>
      </c>
    </row>
    <row r="3630" spans="1:20" ht="25.5" x14ac:dyDescent="0.25">
      <c r="A3630" s="1">
        <v>3626</v>
      </c>
      <c r="B3630" s="1" t="str">
        <f>"2019-1051"</f>
        <v>2019-1051</v>
      </c>
      <c r="C3630" s="2" t="s">
        <v>2323</v>
      </c>
      <c r="D3630" s="1" t="s">
        <v>2324</v>
      </c>
      <c r="E3630" s="3" t="str">
        <f>""</f>
        <v/>
      </c>
      <c r="F3630" s="2" t="s">
        <v>1323</v>
      </c>
      <c r="G3630" s="2" t="str">
        <f>CONCATENATE("1 KLIK D.O.O.,"," SAVSKA CESTA 118,"," 10000 ZAGREB,"," OIB: 39654056116")</f>
        <v>1 KLIK D.O.O., SAVSKA CESTA 118, 10000 ZAGREB, OIB: 39654056116</v>
      </c>
      <c r="H3630" s="4"/>
      <c r="I3630" s="1" t="s">
        <v>414</v>
      </c>
      <c r="J3630" s="5">
        <v>43629</v>
      </c>
      <c r="K3630" s="6" t="str">
        <f>"2.850,00"</f>
        <v>2.850,00</v>
      </c>
      <c r="L3630" s="6" t="str">
        <f>"712,50"</f>
        <v>712,50</v>
      </c>
      <c r="M3630" s="6" t="str">
        <f>"3.562,50"</f>
        <v>3.562,50</v>
      </c>
      <c r="N3630" s="5">
        <v>43651</v>
      </c>
      <c r="O3630" s="7"/>
      <c r="P3630" s="6" t="str">
        <f>"3.562,50"</f>
        <v>3.562,50</v>
      </c>
      <c r="Q3630" s="7"/>
      <c r="R3630" s="1"/>
      <c r="S3630" s="1" t="str">
        <f>"J-UN-2019-3676"</f>
        <v>J-UN-2019-3676</v>
      </c>
      <c r="T3630" s="2" t="s">
        <v>33</v>
      </c>
    </row>
    <row r="3631" spans="1:20" ht="25.5" x14ac:dyDescent="0.25">
      <c r="A3631" s="1">
        <v>3627</v>
      </c>
      <c r="B3631" s="1" t="str">
        <f>"2019-2701"</f>
        <v>2019-2701</v>
      </c>
      <c r="C3631" s="2" t="s">
        <v>2325</v>
      </c>
      <c r="D3631" s="1" t="s">
        <v>2326</v>
      </c>
      <c r="E3631" s="3" t="str">
        <f>""</f>
        <v/>
      </c>
      <c r="F3631" s="2" t="s">
        <v>1323</v>
      </c>
      <c r="G3631" s="2" t="str">
        <f>CONCATENATE("CAMELOT SISTEMI D.O.O.,"," FRANKOPANSKA 22,"," 10000 ZAGREB,"," OIB: 79572418476")</f>
        <v>CAMELOT SISTEMI D.O.O., FRANKOPANSKA 22, 10000 ZAGREB, OIB: 79572418476</v>
      </c>
      <c r="H3631" s="4"/>
      <c r="I3631" s="1" t="s">
        <v>579</v>
      </c>
      <c r="J3631" s="5">
        <v>43630</v>
      </c>
      <c r="K3631" s="6" t="str">
        <f>"36.609,40"</f>
        <v>36.609,40</v>
      </c>
      <c r="L3631" s="6" t="str">
        <f>"9.152,35"</f>
        <v>9.152,35</v>
      </c>
      <c r="M3631" s="6" t="str">
        <f>"45.761,75"</f>
        <v>45.761,75</v>
      </c>
      <c r="N3631" s="1" t="s">
        <v>117</v>
      </c>
      <c r="O3631" s="7"/>
      <c r="P3631" s="6" t="str">
        <f>""</f>
        <v/>
      </c>
      <c r="Q3631" s="7"/>
      <c r="R3631" s="1"/>
      <c r="S3631" s="1" t="str">
        <f>"J-UN-2019-3679"</f>
        <v>J-UN-2019-3679</v>
      </c>
      <c r="T3631" s="2" t="s">
        <v>33</v>
      </c>
    </row>
    <row r="3632" spans="1:20" ht="51" x14ac:dyDescent="0.25">
      <c r="A3632" s="1">
        <v>3628</v>
      </c>
      <c r="B3632" s="1" t="str">
        <f>"2019-13"</f>
        <v>2019-13</v>
      </c>
      <c r="C3632" s="2" t="s">
        <v>2146</v>
      </c>
      <c r="D3632" s="1" t="s">
        <v>2147</v>
      </c>
      <c r="E3632" s="3" t="str">
        <f>""</f>
        <v/>
      </c>
      <c r="F3632" s="2" t="s">
        <v>1323</v>
      </c>
      <c r="G3632" s="2" t="str">
        <f>CONCATENATE("ZIDAR UMAG DRUŠTVO S OGRANIČENOM ODGOVORNOŠĆU ZA GRAĐEVINARSTVO,"," MURINE,"," GALIĆI 47B,"," 52470 UMAG (UMAGO),"," OIB: 77124919504")</f>
        <v>ZIDAR UMAG DRUŠTVO S OGRANIČENOM ODGOVORNOŠĆU ZA GRAĐEVINARSTVO, MURINE, GALIĆI 47B, 52470 UMAG (UMAGO), OIB: 77124919504</v>
      </c>
      <c r="H3632" s="4"/>
      <c r="I3632" s="1" t="s">
        <v>579</v>
      </c>
      <c r="J3632" s="5">
        <v>43830</v>
      </c>
      <c r="K3632" s="6" t="str">
        <f>"22.000,00"</f>
        <v>22.000,00</v>
      </c>
      <c r="L3632" s="6" t="str">
        <f>"5.500,00"</f>
        <v>5.500,00</v>
      </c>
      <c r="M3632" s="6" t="str">
        <f>"27.500,00"</f>
        <v>27.500,00</v>
      </c>
      <c r="N3632" s="5">
        <v>43646</v>
      </c>
      <c r="O3632" s="7"/>
      <c r="P3632" s="6" t="str">
        <f>"27.500,00"</f>
        <v>27.500,00</v>
      </c>
      <c r="Q3632" s="7"/>
      <c r="R3632" s="1"/>
      <c r="S3632" s="1" t="str">
        <f>"J-UN-2019-3680"</f>
        <v>J-UN-2019-3680</v>
      </c>
      <c r="T3632" s="2" t="s">
        <v>33</v>
      </c>
    </row>
    <row r="3633" spans="1:20" ht="38.25" x14ac:dyDescent="0.25">
      <c r="A3633" s="1">
        <v>3629</v>
      </c>
      <c r="B3633" s="1" t="str">
        <f>"2019-2674"</f>
        <v>2019-2674</v>
      </c>
      <c r="C3633" s="2" t="s">
        <v>2327</v>
      </c>
      <c r="D3633" s="1" t="s">
        <v>2328</v>
      </c>
      <c r="E3633" s="3" t="str">
        <f>""</f>
        <v/>
      </c>
      <c r="F3633" s="2" t="s">
        <v>1323</v>
      </c>
      <c r="G3633" s="2" t="str">
        <f>CONCATENATE("NEPHOS D.O.O.,"," ANTUNA BAUERA 25,"," 10000 ZAGREB,"," OIB: 45593438856")</f>
        <v>NEPHOS D.O.O., ANTUNA BAUERA 25, 10000 ZAGREB, OIB: 45593438856</v>
      </c>
      <c r="H3633" s="4"/>
      <c r="I3633" s="1" t="s">
        <v>579</v>
      </c>
      <c r="J3633" s="5">
        <v>43995</v>
      </c>
      <c r="K3633" s="6" t="str">
        <f>"68.000,00"</f>
        <v>68.000,00</v>
      </c>
      <c r="L3633" s="6" t="str">
        <f>"17.000,00"</f>
        <v>17.000,00</v>
      </c>
      <c r="M3633" s="6" t="str">
        <f>"85.000,00"</f>
        <v>85.000,00</v>
      </c>
      <c r="N3633" s="1" t="s">
        <v>117</v>
      </c>
      <c r="O3633" s="7"/>
      <c r="P3633" s="6" t="str">
        <f>""</f>
        <v/>
      </c>
      <c r="Q3633" s="7"/>
      <c r="R3633" s="1"/>
      <c r="S3633" s="1" t="str">
        <f>"J-UN-2019-3681"</f>
        <v>J-UN-2019-3681</v>
      </c>
      <c r="T3633" s="2" t="s">
        <v>33</v>
      </c>
    </row>
    <row r="3634" spans="1:20" ht="38.25" x14ac:dyDescent="0.25">
      <c r="A3634" s="1">
        <v>3630</v>
      </c>
      <c r="B3634" s="1" t="str">
        <f>"2019-2229"</f>
        <v>2019-2229</v>
      </c>
      <c r="C3634" s="2" t="s">
        <v>2207</v>
      </c>
      <c r="D3634" s="1" t="s">
        <v>1550</v>
      </c>
      <c r="E3634" s="3" t="str">
        <f>""</f>
        <v/>
      </c>
      <c r="F3634" s="2" t="s">
        <v>1323</v>
      </c>
      <c r="G3634" s="2" t="str">
        <f>CONCATENATE("POLIKLINIKA SVETI ROK M.D.,"," ULICA GRADA VUKOVARA 284,"," 10000 ZAGREB,"," OIB: 28842147765")</f>
        <v>POLIKLINIKA SVETI ROK M.D., ULICA GRADA VUKOVARA 284, 10000 ZAGREB, OIB: 28842147765</v>
      </c>
      <c r="H3634" s="4"/>
      <c r="I3634" s="1" t="s">
        <v>162</v>
      </c>
      <c r="J3634" s="5">
        <v>43622</v>
      </c>
      <c r="K3634" s="6" t="str">
        <f>"3.500,00"</f>
        <v>3.500,00</v>
      </c>
      <c r="L3634" s="6" t="str">
        <f>"875,00"</f>
        <v>875,00</v>
      </c>
      <c r="M3634" s="6" t="str">
        <f>"4.375,00"</f>
        <v>4.375,00</v>
      </c>
      <c r="N3634" s="5">
        <v>43624</v>
      </c>
      <c r="O3634" s="7"/>
      <c r="P3634" s="6" t="str">
        <f>"4.375,00"</f>
        <v>4.375,00</v>
      </c>
      <c r="Q3634" s="7"/>
      <c r="R3634" s="1"/>
      <c r="S3634" s="1" t="str">
        <f>"J-UN-2019-3683"</f>
        <v>J-UN-2019-3683</v>
      </c>
      <c r="T3634" s="2" t="s">
        <v>33</v>
      </c>
    </row>
    <row r="3635" spans="1:20" ht="76.5" x14ac:dyDescent="0.25">
      <c r="A3635" s="1">
        <v>3631</v>
      </c>
      <c r="B3635" s="1" t="str">
        <f>"2019-2676"</f>
        <v>2019-2676</v>
      </c>
      <c r="C3635" s="2" t="s">
        <v>2312</v>
      </c>
      <c r="D3635" s="1" t="s">
        <v>239</v>
      </c>
      <c r="E3635" s="3" t="str">
        <f>""</f>
        <v/>
      </c>
      <c r="F3635" s="2" t="s">
        <v>1323</v>
      </c>
      <c r="G3635" s="2" t="str">
        <f>CONCATENATE("PASTOR - TVA - D.D.,"," RAKITJE,"," NOVAČKA 2,"," 10437 BESTOVJE,"," OIB: 17140959007")</f>
        <v>PASTOR - TVA - D.D., RAKITJE, NOVAČKA 2, 10437 BESTOVJE, OIB: 17140959007</v>
      </c>
      <c r="H3635" s="4"/>
      <c r="I3635" s="1" t="s">
        <v>46</v>
      </c>
      <c r="J3635" s="5">
        <v>43635</v>
      </c>
      <c r="K3635" s="6" t="str">
        <f>"30.000,00"</f>
        <v>30.000,00</v>
      </c>
      <c r="L3635" s="6" t="str">
        <f>"7.500,00"</f>
        <v>7.500,00</v>
      </c>
      <c r="M3635" s="6" t="str">
        <f>"37.500,00"</f>
        <v>37.500,00</v>
      </c>
      <c r="N3635" s="5">
        <v>43714</v>
      </c>
      <c r="O3635" s="7"/>
      <c r="P3635" s="6" t="str">
        <f>"37.500,00"</f>
        <v>37.500,00</v>
      </c>
      <c r="Q3635" s="7"/>
      <c r="R3635" s="1"/>
      <c r="S3635" s="1" t="str">
        <f>"J-UN-2019-3698"</f>
        <v>J-UN-2019-3698</v>
      </c>
      <c r="T3635" s="2" t="s">
        <v>33</v>
      </c>
    </row>
    <row r="3636" spans="1:20" ht="76.5" x14ac:dyDescent="0.25">
      <c r="A3636" s="1">
        <v>3632</v>
      </c>
      <c r="B3636" s="1" t="str">
        <f>"2019-2676"</f>
        <v>2019-2676</v>
      </c>
      <c r="C3636" s="2" t="s">
        <v>2312</v>
      </c>
      <c r="D3636" s="1" t="s">
        <v>239</v>
      </c>
      <c r="E3636" s="3" t="str">
        <f>""</f>
        <v/>
      </c>
      <c r="F3636" s="2" t="s">
        <v>1323</v>
      </c>
      <c r="G3636" s="2" t="str">
        <f>CONCATENATE("PASTOR - TVA - D.D.,"," RAKITJE,"," NOVAČKA 2,"," 10437 BESTOVJE,"," OIB: 17140959007")</f>
        <v>PASTOR - TVA - D.D., RAKITJE, NOVAČKA 2, 10437 BESTOVJE, OIB: 17140959007</v>
      </c>
      <c r="H3636" s="4"/>
      <c r="I3636" s="1" t="s">
        <v>46</v>
      </c>
      <c r="J3636" s="5">
        <v>43830</v>
      </c>
      <c r="K3636" s="6" t="str">
        <f>"25.000,00"</f>
        <v>25.000,00</v>
      </c>
      <c r="L3636" s="6" t="str">
        <f>"6.250,00"</f>
        <v>6.250,00</v>
      </c>
      <c r="M3636" s="6" t="str">
        <f>"31.250,00"</f>
        <v>31.250,00</v>
      </c>
      <c r="N3636" s="1" t="s">
        <v>117</v>
      </c>
      <c r="O3636" s="7"/>
      <c r="P3636" s="6" t="str">
        <f>""</f>
        <v/>
      </c>
      <c r="Q3636" s="7"/>
      <c r="R3636" s="1"/>
      <c r="S3636" s="1" t="str">
        <f>"J-UN-2019-3699"</f>
        <v>J-UN-2019-3699</v>
      </c>
      <c r="T3636" s="2" t="s">
        <v>33</v>
      </c>
    </row>
    <row r="3637" spans="1:20" ht="76.5" x14ac:dyDescent="0.25">
      <c r="A3637" s="1">
        <v>3633</v>
      </c>
      <c r="B3637" s="1" t="str">
        <f>"2019-2676"</f>
        <v>2019-2676</v>
      </c>
      <c r="C3637" s="2" t="s">
        <v>2312</v>
      </c>
      <c r="D3637" s="1" t="s">
        <v>239</v>
      </c>
      <c r="E3637" s="3" t="str">
        <f>""</f>
        <v/>
      </c>
      <c r="F3637" s="2" t="s">
        <v>1323</v>
      </c>
      <c r="G3637" s="2" t="str">
        <f>CONCATENATE("PASTOR - TVA - D.D.,"," RAKITJE,"," NOVAČKA 2,"," 10437 BESTOVJE,"," OIB: 17140959007")</f>
        <v>PASTOR - TVA - D.D., RAKITJE, NOVAČKA 2, 10437 BESTOVJE, OIB: 17140959007</v>
      </c>
      <c r="H3637" s="4"/>
      <c r="I3637" s="1" t="s">
        <v>46</v>
      </c>
      <c r="J3637" s="5">
        <v>43830</v>
      </c>
      <c r="K3637" s="6" t="str">
        <f>"9.665,00"</f>
        <v>9.665,00</v>
      </c>
      <c r="L3637" s="6" t="str">
        <f>"2.416,25"</f>
        <v>2.416,25</v>
      </c>
      <c r="M3637" s="6" t="str">
        <f>"12.081,25"</f>
        <v>12.081,25</v>
      </c>
      <c r="N3637" s="1" t="s">
        <v>117</v>
      </c>
      <c r="O3637" s="7"/>
      <c r="P3637" s="6" t="str">
        <f>""</f>
        <v/>
      </c>
      <c r="Q3637" s="7"/>
      <c r="R3637" s="1"/>
      <c r="S3637" s="1" t="str">
        <f>"J-UN-2019-3700"</f>
        <v>J-UN-2019-3700</v>
      </c>
      <c r="T3637" s="2" t="s">
        <v>33</v>
      </c>
    </row>
    <row r="3638" spans="1:20" ht="38.25" x14ac:dyDescent="0.25">
      <c r="A3638" s="1">
        <v>3634</v>
      </c>
      <c r="B3638" s="1" t="str">
        <f>"2019-2168"</f>
        <v>2019-2168</v>
      </c>
      <c r="C3638" s="2" t="s">
        <v>2322</v>
      </c>
      <c r="D3638" s="1" t="s">
        <v>1606</v>
      </c>
      <c r="E3638" s="3" t="str">
        <f>""</f>
        <v/>
      </c>
      <c r="F3638" s="2" t="s">
        <v>1323</v>
      </c>
      <c r="G3638" s="2" t="str">
        <f>CONCATENATE("RO-TEHNOLOGIJA D.O.O.,"," NOVA CESTA 86,"," 51410 OPATIJA,"," OIB: 94757004774")</f>
        <v>RO-TEHNOLOGIJA D.O.O., NOVA CESTA 86, 51410 OPATIJA, OIB: 94757004774</v>
      </c>
      <c r="H3638" s="4"/>
      <c r="I3638" s="1" t="s">
        <v>597</v>
      </c>
      <c r="J3638" s="5">
        <v>43626</v>
      </c>
      <c r="K3638" s="6" t="str">
        <f>"12.395,00"</f>
        <v>12.395,00</v>
      </c>
      <c r="L3638" s="6" t="str">
        <f>"3.098,75"</f>
        <v>3.098,75</v>
      </c>
      <c r="M3638" s="6" t="str">
        <f>"15.493,75"</f>
        <v>15.493,75</v>
      </c>
      <c r="N3638" s="5">
        <v>43683</v>
      </c>
      <c r="O3638" s="7"/>
      <c r="P3638" s="6" t="str">
        <f>"15.493,75"</f>
        <v>15.493,75</v>
      </c>
      <c r="Q3638" s="7"/>
      <c r="R3638" s="1"/>
      <c r="S3638" s="1" t="str">
        <f>"J-UN-2019-3705"</f>
        <v>J-UN-2019-3705</v>
      </c>
      <c r="T3638" s="2" t="s">
        <v>33</v>
      </c>
    </row>
    <row r="3639" spans="1:20" ht="25.5" x14ac:dyDescent="0.25">
      <c r="A3639" s="1">
        <v>3635</v>
      </c>
      <c r="B3639" s="1" t="str">
        <f>"2019-850"</f>
        <v>2019-850</v>
      </c>
      <c r="C3639" s="2" t="s">
        <v>2329</v>
      </c>
      <c r="D3639" s="1" t="s">
        <v>90</v>
      </c>
      <c r="E3639" s="3" t="str">
        <f>""</f>
        <v/>
      </c>
      <c r="F3639" s="2" t="s">
        <v>1323</v>
      </c>
      <c r="G3639" s="2" t="str">
        <f>CONCATENATE("VOLVO GROUP CROATIA D.O.O.,"," KARLOVAČKA CESTA 94,"," 10000 ZAGREB,"," OIB: 88704563307")</f>
        <v>VOLVO GROUP CROATIA D.O.O., KARLOVAČKA CESTA 94, 10000 ZAGREB, OIB: 88704563307</v>
      </c>
      <c r="H3639" s="4"/>
      <c r="I3639" s="1" t="s">
        <v>597</v>
      </c>
      <c r="J3639" s="5">
        <v>43626</v>
      </c>
      <c r="K3639" s="6" t="str">
        <f>"3.935,24"</f>
        <v>3.935,24</v>
      </c>
      <c r="L3639" s="6" t="str">
        <f>"983,81"</f>
        <v>983,81</v>
      </c>
      <c r="M3639" s="6" t="str">
        <f>"4.919,05"</f>
        <v>4.919,05</v>
      </c>
      <c r="N3639" s="5">
        <v>43637</v>
      </c>
      <c r="O3639" s="7"/>
      <c r="P3639" s="6" t="str">
        <f>"4.919,05"</f>
        <v>4.919,05</v>
      </c>
      <c r="Q3639" s="7"/>
      <c r="R3639" s="1"/>
      <c r="S3639" s="1" t="str">
        <f>"J-UN-2019-3707"</f>
        <v>J-UN-2019-3707</v>
      </c>
      <c r="T3639" s="2" t="s">
        <v>33</v>
      </c>
    </row>
    <row r="3640" spans="1:20" ht="25.5" x14ac:dyDescent="0.25">
      <c r="A3640" s="1">
        <v>3636</v>
      </c>
      <c r="B3640" s="1" t="str">
        <f>"2019-383"</f>
        <v>2019-383</v>
      </c>
      <c r="C3640" s="2" t="s">
        <v>2330</v>
      </c>
      <c r="D3640" s="1" t="s">
        <v>2331</v>
      </c>
      <c r="E3640" s="3" t="str">
        <f>""</f>
        <v/>
      </c>
      <c r="F3640" s="2" t="s">
        <v>1323</v>
      </c>
      <c r="G3640" s="2" t="str">
        <f>CONCATENATE("POLJOOPSKRBA-TEHNO D.D.,"," SAMOBORSKA 96,"," 10000 ZAGREB,"," OIB: 5372167324")</f>
        <v>POLJOOPSKRBA-TEHNO D.D., SAMOBORSKA 96, 10000 ZAGREB, OIB: 5372167324</v>
      </c>
      <c r="H3640" s="4"/>
      <c r="I3640" s="1" t="s">
        <v>424</v>
      </c>
      <c r="J3640" s="5">
        <v>43633</v>
      </c>
      <c r="K3640" s="6" t="str">
        <f>"640,00"</f>
        <v>640,00</v>
      </c>
      <c r="L3640" s="6" t="str">
        <f>"160,00"</f>
        <v>160,00</v>
      </c>
      <c r="M3640" s="6" t="str">
        <f>"800,00"</f>
        <v>800,00</v>
      </c>
      <c r="N3640" s="5">
        <v>43649</v>
      </c>
      <c r="O3640" s="7"/>
      <c r="P3640" s="6" t="str">
        <f>"800,00"</f>
        <v>800,00</v>
      </c>
      <c r="Q3640" s="7"/>
      <c r="R3640" s="1"/>
      <c r="S3640" s="1" t="str">
        <f>"J-UN-2019-3708"</f>
        <v>J-UN-2019-3708</v>
      </c>
      <c r="T3640" s="2" t="s">
        <v>33</v>
      </c>
    </row>
    <row r="3641" spans="1:20" ht="25.5" x14ac:dyDescent="0.25">
      <c r="A3641" s="1">
        <v>3637</v>
      </c>
      <c r="B3641" s="1" t="str">
        <f>"2019-759"</f>
        <v>2019-759</v>
      </c>
      <c r="C3641" s="2" t="s">
        <v>2332</v>
      </c>
      <c r="D3641" s="1" t="s">
        <v>625</v>
      </c>
      <c r="E3641" s="3" t="str">
        <f>""</f>
        <v/>
      </c>
      <c r="F3641" s="2" t="s">
        <v>1323</v>
      </c>
      <c r="G3641" s="2" t="str">
        <f>CONCATENATE("INSTITUT IGH D.D.,"," JANKA RAKUŠE 1,"," 10000 ZAGREB,"," OIB: 79766124714")</f>
        <v>INSTITUT IGH D.D., JANKA RAKUŠE 1, 10000 ZAGREB, OIB: 79766124714</v>
      </c>
      <c r="H3641" s="4"/>
      <c r="I3641" s="1" t="s">
        <v>628</v>
      </c>
      <c r="J3641" s="5">
        <v>43627</v>
      </c>
      <c r="K3641" s="6" t="str">
        <f>"16.000,00"</f>
        <v>16.000,00</v>
      </c>
      <c r="L3641" s="6" t="str">
        <f>"4.000,00"</f>
        <v>4.000,00</v>
      </c>
      <c r="M3641" s="6" t="str">
        <f>"20.000,00"</f>
        <v>20.000,00</v>
      </c>
      <c r="N3641" s="1" t="s">
        <v>117</v>
      </c>
      <c r="O3641" s="7"/>
      <c r="P3641" s="6" t="str">
        <f>""</f>
        <v/>
      </c>
      <c r="Q3641" s="7"/>
      <c r="R3641" s="1"/>
      <c r="S3641" s="1" t="str">
        <f>"J-UN-2019-3709"</f>
        <v>J-UN-2019-3709</v>
      </c>
      <c r="T3641" s="2" t="s">
        <v>33</v>
      </c>
    </row>
    <row r="3642" spans="1:20" ht="25.5" x14ac:dyDescent="0.25">
      <c r="A3642" s="1">
        <v>3638</v>
      </c>
      <c r="B3642" s="1" t="str">
        <f>"2019-254"</f>
        <v>2019-254</v>
      </c>
      <c r="C3642" s="2" t="s">
        <v>2333</v>
      </c>
      <c r="D3642" s="1" t="s">
        <v>223</v>
      </c>
      <c r="E3642" s="3" t="str">
        <f>""</f>
        <v/>
      </c>
      <c r="F3642" s="2" t="s">
        <v>1323</v>
      </c>
      <c r="G3642" s="2" t="str">
        <f>CONCATENATE("PAKOM D. O. O.,"," WOLFFOVA ULICA 6,"," 52100 PULA,"," OIB: 67442775703")</f>
        <v>PAKOM D. O. O., WOLFFOVA ULICA 6, 52100 PULA, OIB: 67442775703</v>
      </c>
      <c r="H3642" s="4"/>
      <c r="I3642" s="1" t="s">
        <v>628</v>
      </c>
      <c r="J3642" s="5">
        <v>43627</v>
      </c>
      <c r="K3642" s="6" t="str">
        <f>"53.750,00"</f>
        <v>53.750,00</v>
      </c>
      <c r="L3642" s="6" t="str">
        <f>"13.437,50"</f>
        <v>13.437,50</v>
      </c>
      <c r="M3642" s="6" t="str">
        <f>"67.187,50"</f>
        <v>67.187,50</v>
      </c>
      <c r="N3642" s="1" t="s">
        <v>117</v>
      </c>
      <c r="O3642" s="7"/>
      <c r="P3642" s="6" t="str">
        <f>""</f>
        <v/>
      </c>
      <c r="Q3642" s="7"/>
      <c r="R3642" s="1"/>
      <c r="S3642" s="1" t="str">
        <f>"J-UN-2019-3710"</f>
        <v>J-UN-2019-3710</v>
      </c>
      <c r="T3642" s="2" t="s">
        <v>33</v>
      </c>
    </row>
    <row r="3643" spans="1:20" ht="38.25" x14ac:dyDescent="0.25">
      <c r="A3643" s="1">
        <v>3639</v>
      </c>
      <c r="B3643" s="1" t="str">
        <f>"2019-13"</f>
        <v>2019-13</v>
      </c>
      <c r="C3643" s="2" t="s">
        <v>2146</v>
      </c>
      <c r="D3643" s="1" t="s">
        <v>2147</v>
      </c>
      <c r="E3643" s="3" t="str">
        <f>""</f>
        <v/>
      </c>
      <c r="F3643" s="2" t="s">
        <v>1323</v>
      </c>
      <c r="G3643" s="2" t="str">
        <f>CONCATENATE("PEŠUT ELEKTRO CENTAR J.D.O.O.,"," VUKŠIĆ 121,"," 23422 STANKOVCI,"," OIB: 34108238923")</f>
        <v>PEŠUT ELEKTRO CENTAR J.D.O.O., VUKŠIĆ 121, 23422 STANKOVCI, OIB: 34108238923</v>
      </c>
      <c r="H3643" s="4"/>
      <c r="I3643" s="1" t="s">
        <v>628</v>
      </c>
      <c r="J3643" s="5">
        <v>43627</v>
      </c>
      <c r="K3643" s="6" t="str">
        <f>"8.800,00"</f>
        <v>8.800,00</v>
      </c>
      <c r="L3643" s="6" t="str">
        <f>"2.200,00"</f>
        <v>2.200,00</v>
      </c>
      <c r="M3643" s="6" t="str">
        <f>"11.000,00"</f>
        <v>11.000,00</v>
      </c>
      <c r="N3643" s="1" t="s">
        <v>117</v>
      </c>
      <c r="O3643" s="7"/>
      <c r="P3643" s="6" t="str">
        <f>""</f>
        <v/>
      </c>
      <c r="Q3643" s="7"/>
      <c r="R3643" s="1"/>
      <c r="S3643" s="1" t="str">
        <f>"J-UN-2019-3711"</f>
        <v>J-UN-2019-3711</v>
      </c>
      <c r="T3643" s="2" t="s">
        <v>33</v>
      </c>
    </row>
    <row r="3644" spans="1:20" ht="38.25" x14ac:dyDescent="0.25">
      <c r="A3644" s="1">
        <v>3640</v>
      </c>
      <c r="B3644" s="1" t="str">
        <f>"2019-2633"</f>
        <v>2019-2633</v>
      </c>
      <c r="C3644" s="2" t="s">
        <v>2334</v>
      </c>
      <c r="D3644" s="1" t="s">
        <v>1905</v>
      </c>
      <c r="E3644" s="3" t="str">
        <f>""</f>
        <v/>
      </c>
      <c r="F3644" s="2" t="s">
        <v>1323</v>
      </c>
      <c r="G3644" s="2" t="str">
        <f>CONCATENATE("ENERGO ENERGY EFFICIENCY ENGINEERING D.O.O.,"," KNEZA MILOŠA 53,"," 11000 BEOGRAD")</f>
        <v>ENERGO ENERGY EFFICIENCY ENGINEERING D.O.O., KNEZA MILOŠA 53, 11000 BEOGRAD</v>
      </c>
      <c r="H3644" s="4"/>
      <c r="I3644" s="1" t="s">
        <v>628</v>
      </c>
      <c r="J3644" s="5">
        <v>43627</v>
      </c>
      <c r="K3644" s="6" t="str">
        <f>"137.128,00"</f>
        <v>137.128,00</v>
      </c>
      <c r="L3644" s="6" t="str">
        <f>"34.282,00"</f>
        <v>34.282,00</v>
      </c>
      <c r="M3644" s="6" t="str">
        <f>"171.410,00"</f>
        <v>171.410,00</v>
      </c>
      <c r="N3644" s="5">
        <v>43657</v>
      </c>
      <c r="O3644" s="7"/>
      <c r="P3644" s="6" t="str">
        <f>"34.282,00"</f>
        <v>34.282,00</v>
      </c>
      <c r="Q3644" s="7"/>
      <c r="R3644" s="1"/>
      <c r="S3644" s="1" t="str">
        <f>"J-UN-2019-3712"</f>
        <v>J-UN-2019-3712</v>
      </c>
      <c r="T3644" s="2" t="s">
        <v>33</v>
      </c>
    </row>
    <row r="3645" spans="1:20" ht="25.5" x14ac:dyDescent="0.25">
      <c r="A3645" s="1">
        <v>3641</v>
      </c>
      <c r="B3645" s="1" t="str">
        <f>"2019-497"</f>
        <v>2019-497</v>
      </c>
      <c r="C3645" s="2" t="s">
        <v>2304</v>
      </c>
      <c r="D3645" s="1" t="s">
        <v>197</v>
      </c>
      <c r="E3645" s="3" t="str">
        <f>""</f>
        <v/>
      </c>
      <c r="F3645" s="2" t="s">
        <v>1323</v>
      </c>
      <c r="G3645" s="2" t="str">
        <f>CONCATENATE("TRIDION D.O.O.,"," ZAPADNA LOZICA 10,"," 10000 ZAGREB,"," OIB: 79247590666")</f>
        <v>TRIDION D.O.O., ZAPADNA LOZICA 10, 10000 ZAGREB, OIB: 79247590666</v>
      </c>
      <c r="H3645" s="4"/>
      <c r="I3645" s="1" t="s">
        <v>424</v>
      </c>
      <c r="J3645" s="5">
        <v>43633</v>
      </c>
      <c r="K3645" s="6" t="str">
        <f>"20.314,50"</f>
        <v>20.314,50</v>
      </c>
      <c r="L3645" s="6" t="str">
        <f>"5.078,63"</f>
        <v>5.078,63</v>
      </c>
      <c r="M3645" s="6" t="str">
        <f>"25.393,13"</f>
        <v>25.393,13</v>
      </c>
      <c r="N3645" s="5">
        <v>43648</v>
      </c>
      <c r="O3645" s="7"/>
      <c r="P3645" s="6" t="str">
        <f>"25.393,12"</f>
        <v>25.393,12</v>
      </c>
      <c r="Q3645" s="7"/>
      <c r="R3645" s="1"/>
      <c r="S3645" s="1" t="str">
        <f>"J-UN-2019-3713"</f>
        <v>J-UN-2019-3713</v>
      </c>
      <c r="T3645" s="2" t="s">
        <v>33</v>
      </c>
    </row>
    <row r="3646" spans="1:20" ht="25.5" x14ac:dyDescent="0.25">
      <c r="A3646" s="1">
        <v>3642</v>
      </c>
      <c r="B3646" s="1" t="str">
        <f>"2019-1324"</f>
        <v>2019-1324</v>
      </c>
      <c r="C3646" s="2" t="s">
        <v>2335</v>
      </c>
      <c r="D3646" s="1" t="s">
        <v>768</v>
      </c>
      <c r="E3646" s="3" t="str">
        <f>""</f>
        <v/>
      </c>
      <c r="F3646" s="2" t="s">
        <v>1323</v>
      </c>
      <c r="G3646" s="2" t="str">
        <f>CONCATENATE("SAFIR D.O.O.,"," HORVAĆANSKA 17,"," 10000 ZAGREB,"," OIB: 33548604975")</f>
        <v>SAFIR D.O.O., HORVAĆANSKA 17, 10000 ZAGREB, OIB: 33548604975</v>
      </c>
      <c r="H3646" s="4"/>
      <c r="I3646" s="1" t="s">
        <v>424</v>
      </c>
      <c r="J3646" s="5">
        <v>43633</v>
      </c>
      <c r="K3646" s="6" t="str">
        <f>"528,00"</f>
        <v>528,00</v>
      </c>
      <c r="L3646" s="6" t="str">
        <f>"132,00"</f>
        <v>132,00</v>
      </c>
      <c r="M3646" s="6" t="str">
        <f>"660,00"</f>
        <v>660,00</v>
      </c>
      <c r="N3646" s="5">
        <v>43644</v>
      </c>
      <c r="O3646" s="7"/>
      <c r="P3646" s="6" t="str">
        <f>"660,00"</f>
        <v>660,00</v>
      </c>
      <c r="Q3646" s="7"/>
      <c r="R3646" s="1"/>
      <c r="S3646" s="1" t="str">
        <f>"J-UN-2019-3714"</f>
        <v>J-UN-2019-3714</v>
      </c>
      <c r="T3646" s="2" t="s">
        <v>33</v>
      </c>
    </row>
    <row r="3647" spans="1:20" ht="38.25" x14ac:dyDescent="0.25">
      <c r="A3647" s="1">
        <v>3643</v>
      </c>
      <c r="B3647" s="1" t="str">
        <f>"2019-12"</f>
        <v>2019-12</v>
      </c>
      <c r="C3647" s="2" t="s">
        <v>2140</v>
      </c>
      <c r="D3647" s="1" t="s">
        <v>1720</v>
      </c>
      <c r="E3647" s="3" t="str">
        <f>""</f>
        <v/>
      </c>
      <c r="F3647" s="2" t="s">
        <v>1323</v>
      </c>
      <c r="G3647" s="2" t="str">
        <f>CONCATENATE("BAUHAUS,"," LABINSKA 1,"," 52100 PULA,"," OIB: 71642207963")</f>
        <v>BAUHAUS, LABINSKA 1, 52100 PULA, OIB: 71642207963</v>
      </c>
      <c r="H3647" s="4"/>
      <c r="I3647" s="1" t="s">
        <v>597</v>
      </c>
      <c r="J3647" s="5">
        <v>43626</v>
      </c>
      <c r="K3647" s="6" t="str">
        <f>"1.734,80"</f>
        <v>1.734,80</v>
      </c>
      <c r="L3647" s="6" t="str">
        <f>"433,70"</f>
        <v>433,70</v>
      </c>
      <c r="M3647" s="6" t="str">
        <f>"2.168,50"</f>
        <v>2.168,50</v>
      </c>
      <c r="N3647" s="5">
        <v>43630</v>
      </c>
      <c r="O3647" s="7"/>
      <c r="P3647" s="6" t="str">
        <f>"2.168,50"</f>
        <v>2.168,50</v>
      </c>
      <c r="Q3647" s="7"/>
      <c r="R3647" s="1"/>
      <c r="S3647" s="1" t="str">
        <f>"J-UN-2019-3715"</f>
        <v>J-UN-2019-3715</v>
      </c>
      <c r="T3647" s="2" t="s">
        <v>33</v>
      </c>
    </row>
    <row r="3648" spans="1:20" ht="25.5" x14ac:dyDescent="0.25">
      <c r="A3648" s="1">
        <v>3644</v>
      </c>
      <c r="B3648" s="1" t="str">
        <f>"2019-1621"</f>
        <v>2019-1621</v>
      </c>
      <c r="C3648" s="2" t="s">
        <v>2336</v>
      </c>
      <c r="D3648" s="1" t="s">
        <v>90</v>
      </c>
      <c r="E3648" s="3" t="str">
        <f>""</f>
        <v/>
      </c>
      <c r="F3648" s="2" t="s">
        <v>1323</v>
      </c>
      <c r="G3648" s="2" t="str">
        <f>CONCATENATE("GRA-PO D.O.O.,"," GOSPODARSKA 5B,"," 10255 ZAGREB - STUPNIK,"," OIB: 05364995085")</f>
        <v>GRA-PO D.O.O., GOSPODARSKA 5B, 10255 ZAGREB - STUPNIK, OIB: 05364995085</v>
      </c>
      <c r="H3648" s="4"/>
      <c r="I3648" s="1" t="s">
        <v>269</v>
      </c>
      <c r="J3648" s="5">
        <v>43634</v>
      </c>
      <c r="K3648" s="6" t="str">
        <f>"3.678,00"</f>
        <v>3.678,00</v>
      </c>
      <c r="L3648" s="6" t="str">
        <f>"919,50"</f>
        <v>919,50</v>
      </c>
      <c r="M3648" s="6" t="str">
        <f>"4.597,50"</f>
        <v>4.597,50</v>
      </c>
      <c r="N3648" s="5">
        <v>43644</v>
      </c>
      <c r="O3648" s="7"/>
      <c r="P3648" s="6" t="str">
        <f>"4.597,50"</f>
        <v>4.597,50</v>
      </c>
      <c r="Q3648" s="7"/>
      <c r="R3648" s="1"/>
      <c r="S3648" s="1" t="str">
        <f>"J-UN-2019-3716"</f>
        <v>J-UN-2019-3716</v>
      </c>
      <c r="T3648" s="2" t="s">
        <v>33</v>
      </c>
    </row>
    <row r="3649" spans="1:20" ht="25.5" x14ac:dyDescent="0.25">
      <c r="A3649" s="1">
        <v>3645</v>
      </c>
      <c r="B3649" s="1" t="str">
        <f>"2019-177"</f>
        <v>2019-177</v>
      </c>
      <c r="C3649" s="2" t="s">
        <v>2241</v>
      </c>
      <c r="D3649" s="1" t="s">
        <v>1419</v>
      </c>
      <c r="E3649" s="3" t="str">
        <f>""</f>
        <v/>
      </c>
      <c r="F3649" s="2" t="s">
        <v>1323</v>
      </c>
      <c r="G3649" s="2" t="str">
        <f>CONCATENATE("BENUSSI D. O. O.,"," FAŽANSKA CESTA 86,"," 52212 FAŽANA,"," OIB: 87971197112")</f>
        <v>BENUSSI D. O. O., FAŽANSKA CESTA 86, 52212 FAŽANA, OIB: 87971197112</v>
      </c>
      <c r="H3649" s="4"/>
      <c r="I3649" s="1" t="s">
        <v>269</v>
      </c>
      <c r="J3649" s="5">
        <v>43634</v>
      </c>
      <c r="K3649" s="6" t="str">
        <f>"18.163,21"</f>
        <v>18.163,21</v>
      </c>
      <c r="L3649" s="6" t="str">
        <f>"4.540,80"</f>
        <v>4.540,80</v>
      </c>
      <c r="M3649" s="6" t="str">
        <f>"22.704,01"</f>
        <v>22.704,01</v>
      </c>
      <c r="N3649" s="5">
        <v>43635</v>
      </c>
      <c r="O3649" s="7"/>
      <c r="P3649" s="6" t="str">
        <f>"22.704,01"</f>
        <v>22.704,01</v>
      </c>
      <c r="Q3649" s="7"/>
      <c r="R3649" s="1"/>
      <c r="S3649" s="1" t="str">
        <f>"J-UN-2019-3718"</f>
        <v>J-UN-2019-3718</v>
      </c>
      <c r="T3649" s="2" t="s">
        <v>33</v>
      </c>
    </row>
    <row r="3650" spans="1:20" ht="25.5" x14ac:dyDescent="0.25">
      <c r="A3650" s="1">
        <v>3646</v>
      </c>
      <c r="B3650" s="1" t="str">
        <f>"2019-1896"</f>
        <v>2019-1896</v>
      </c>
      <c r="C3650" s="2" t="s">
        <v>2337</v>
      </c>
      <c r="D3650" s="1" t="s">
        <v>1103</v>
      </c>
      <c r="E3650" s="3" t="str">
        <f>""</f>
        <v/>
      </c>
      <c r="F3650" s="2" t="s">
        <v>1323</v>
      </c>
      <c r="G3650" s="2" t="str">
        <f>CONCATENATE("DELTRON D.O.O.,"," VUKOVARSKA 148,"," 21000 SPLIT,"," OIB: 36118056137")</f>
        <v>DELTRON D.O.O., VUKOVARSKA 148, 21000 SPLIT, OIB: 36118056137</v>
      </c>
      <c r="H3650" s="4"/>
      <c r="I3650" s="1" t="s">
        <v>597</v>
      </c>
      <c r="J3650" s="5">
        <v>43626</v>
      </c>
      <c r="K3650" s="6" t="str">
        <f>"14.970,00"</f>
        <v>14.970,00</v>
      </c>
      <c r="L3650" s="6" t="str">
        <f>"3.742,50"</f>
        <v>3.742,50</v>
      </c>
      <c r="M3650" s="6" t="str">
        <f>"18.712,50"</f>
        <v>18.712,50</v>
      </c>
      <c r="N3650" s="1" t="s">
        <v>117</v>
      </c>
      <c r="O3650" s="7"/>
      <c r="P3650" s="6" t="str">
        <f>""</f>
        <v/>
      </c>
      <c r="Q3650" s="7"/>
      <c r="R3650" s="1"/>
      <c r="S3650" s="1" t="str">
        <f>"J-UN-2019-3719"</f>
        <v>J-UN-2019-3719</v>
      </c>
      <c r="T3650" s="2" t="s">
        <v>33</v>
      </c>
    </row>
    <row r="3651" spans="1:20" ht="38.25" x14ac:dyDescent="0.25">
      <c r="A3651" s="1">
        <v>3647</v>
      </c>
      <c r="B3651" s="1" t="str">
        <f>"2019-67"</f>
        <v>2019-67</v>
      </c>
      <c r="C3651" s="2" t="s">
        <v>2338</v>
      </c>
      <c r="D3651" s="1" t="s">
        <v>382</v>
      </c>
      <c r="E3651" s="3" t="str">
        <f>""</f>
        <v/>
      </c>
      <c r="F3651" s="2" t="s">
        <v>1323</v>
      </c>
      <c r="G3651" s="2" t="str">
        <f>CONCATENATE("TOKIĆ D.O.O.,"," ULICA 144. BRIGADE HRVATSKE VOJSKE 1A,"," 10360 SESVETE,"," OIB: 7486748762")</f>
        <v>TOKIĆ D.O.O., ULICA 144. BRIGADE HRVATSKE VOJSKE 1A, 10360 SESVETE, OIB: 7486748762</v>
      </c>
      <c r="H3651" s="4"/>
      <c r="I3651" s="1" t="s">
        <v>424</v>
      </c>
      <c r="J3651" s="5">
        <v>43633</v>
      </c>
      <c r="K3651" s="6" t="str">
        <f>"1.467,00"</f>
        <v>1.467,00</v>
      </c>
      <c r="L3651" s="6" t="str">
        <f>"366,75"</f>
        <v>366,75</v>
      </c>
      <c r="M3651" s="6" t="str">
        <f>"1.833,75"</f>
        <v>1.833,75</v>
      </c>
      <c r="N3651" s="5">
        <v>43640</v>
      </c>
      <c r="O3651" s="7"/>
      <c r="P3651" s="6" t="str">
        <f>"1.833,75"</f>
        <v>1.833,75</v>
      </c>
      <c r="Q3651" s="7"/>
      <c r="R3651" s="1"/>
      <c r="S3651" s="1" t="str">
        <f>"J-UN-2019-3720"</f>
        <v>J-UN-2019-3720</v>
      </c>
      <c r="T3651" s="2" t="s">
        <v>33</v>
      </c>
    </row>
    <row r="3652" spans="1:20" ht="25.5" x14ac:dyDescent="0.25">
      <c r="A3652" s="1">
        <v>3648</v>
      </c>
      <c r="B3652" s="1" t="str">
        <f>"2019-917"</f>
        <v>2019-917</v>
      </c>
      <c r="C3652" s="2" t="s">
        <v>2339</v>
      </c>
      <c r="D3652" s="1" t="s">
        <v>2340</v>
      </c>
      <c r="E3652" s="3" t="str">
        <f>""</f>
        <v/>
      </c>
      <c r="F3652" s="2" t="s">
        <v>1323</v>
      </c>
      <c r="G3652" s="2" t="str">
        <f>CONCATENATE("POLJOOPSKRBA-TEHNO D.D.,"," SAMOBORSKA 96,"," 10000 ZAGREB,"," OIB: 5372167324")</f>
        <v>POLJOOPSKRBA-TEHNO D.D., SAMOBORSKA 96, 10000 ZAGREB, OIB: 5372167324</v>
      </c>
      <c r="H3652" s="4"/>
      <c r="I3652" s="1" t="s">
        <v>46</v>
      </c>
      <c r="J3652" s="5">
        <v>43635</v>
      </c>
      <c r="K3652" s="6" t="str">
        <f>"3.980,00"</f>
        <v>3.980,00</v>
      </c>
      <c r="L3652" s="6" t="str">
        <f>"995,00"</f>
        <v>995,00</v>
      </c>
      <c r="M3652" s="6" t="str">
        <f>"4.975,00"</f>
        <v>4.975,00</v>
      </c>
      <c r="N3652" s="5">
        <v>43649</v>
      </c>
      <c r="O3652" s="7"/>
      <c r="P3652" s="6" t="str">
        <f>"4.975,00"</f>
        <v>4.975,00</v>
      </c>
      <c r="Q3652" s="7"/>
      <c r="R3652" s="1"/>
      <c r="S3652" s="1" t="str">
        <f>"J-UN-2019-3723"</f>
        <v>J-UN-2019-3723</v>
      </c>
      <c r="T3652" s="2" t="s">
        <v>33</v>
      </c>
    </row>
    <row r="3653" spans="1:20" ht="25.5" x14ac:dyDescent="0.25">
      <c r="A3653" s="1">
        <v>3649</v>
      </c>
      <c r="B3653" s="1" t="str">
        <f>"2019-1275"</f>
        <v>2019-1275</v>
      </c>
      <c r="C3653" s="2" t="s">
        <v>2341</v>
      </c>
      <c r="D3653" s="1" t="s">
        <v>2342</v>
      </c>
      <c r="E3653" s="3" t="str">
        <f>""</f>
        <v/>
      </c>
      <c r="F3653" s="2" t="s">
        <v>1323</v>
      </c>
      <c r="G3653" s="2" t="str">
        <f>CONCATENATE("AQUA KEM D.O.O.,"," ANTE MIKE TRIPALA 1,"," 10000 ZAGREB,"," OIB: 82941319525")</f>
        <v>AQUA KEM D.O.O., ANTE MIKE TRIPALA 1, 10000 ZAGREB, OIB: 82941319525</v>
      </c>
      <c r="H3653" s="4"/>
      <c r="I3653" s="1" t="s">
        <v>640</v>
      </c>
      <c r="J3653" s="5">
        <v>43647</v>
      </c>
      <c r="K3653" s="6" t="str">
        <f>"13.980,00"</f>
        <v>13.980,00</v>
      </c>
      <c r="L3653" s="6" t="str">
        <f>"3.495,00"</f>
        <v>3.495,00</v>
      </c>
      <c r="M3653" s="6" t="str">
        <f>"17.475,00"</f>
        <v>17.475,00</v>
      </c>
      <c r="N3653" s="1" t="s">
        <v>117</v>
      </c>
      <c r="O3653" s="7"/>
      <c r="P3653" s="6" t="str">
        <f>""</f>
        <v/>
      </c>
      <c r="Q3653" s="7"/>
      <c r="R3653" s="1"/>
      <c r="S3653" s="1" t="str">
        <f>"J-UN-2019-3725"</f>
        <v>J-UN-2019-3725</v>
      </c>
      <c r="T3653" s="2" t="s">
        <v>33</v>
      </c>
    </row>
    <row r="3654" spans="1:20" ht="38.25" x14ac:dyDescent="0.25">
      <c r="A3654" s="1">
        <v>3650</v>
      </c>
      <c r="B3654" s="1" t="str">
        <f>"2019-1406"</f>
        <v>2019-1406</v>
      </c>
      <c r="C3654" s="2" t="s">
        <v>2343</v>
      </c>
      <c r="D3654" s="1" t="s">
        <v>223</v>
      </c>
      <c r="E3654" s="3" t="str">
        <f>""</f>
        <v/>
      </c>
      <c r="F3654" s="2" t="s">
        <v>1323</v>
      </c>
      <c r="G3654" s="2" t="str">
        <f>CONCATENATE("PELCOM D.O.O.,"," MEDARSKA 69,"," 10000 ZAGREB,"," OIB: 5697909333")</f>
        <v>PELCOM D.O.O., MEDARSKA 69, 10000 ZAGREB, OIB: 5697909333</v>
      </c>
      <c r="H3654" s="4"/>
      <c r="I3654" s="1" t="s">
        <v>597</v>
      </c>
      <c r="J3654" s="5">
        <v>43626</v>
      </c>
      <c r="K3654" s="6" t="str">
        <f>"9.600,00"</f>
        <v>9.600,00</v>
      </c>
      <c r="L3654" s="6" t="str">
        <f>"2.400,00"</f>
        <v>2.400,00</v>
      </c>
      <c r="M3654" s="6" t="str">
        <f>"12.000,00"</f>
        <v>12.000,00</v>
      </c>
      <c r="N3654" s="1" t="s">
        <v>117</v>
      </c>
      <c r="O3654" s="7"/>
      <c r="P3654" s="6" t="str">
        <f>""</f>
        <v/>
      </c>
      <c r="Q3654" s="7"/>
      <c r="R3654" s="1"/>
      <c r="S3654" s="1" t="str">
        <f>"J-UN-2019-3726"</f>
        <v>J-UN-2019-3726</v>
      </c>
      <c r="T3654" s="2" t="s">
        <v>33</v>
      </c>
    </row>
    <row r="3655" spans="1:20" ht="25.5" x14ac:dyDescent="0.25">
      <c r="A3655" s="1">
        <v>3651</v>
      </c>
      <c r="B3655" s="1" t="str">
        <f>"2019-2472"</f>
        <v>2019-2472</v>
      </c>
      <c r="C3655" s="2" t="s">
        <v>2344</v>
      </c>
      <c r="D3655" s="1" t="s">
        <v>2132</v>
      </c>
      <c r="E3655" s="3" t="str">
        <f>""</f>
        <v/>
      </c>
      <c r="F3655" s="2" t="s">
        <v>1323</v>
      </c>
      <c r="G3655" s="2" t="str">
        <f>CONCATENATE("ALL MARKET MEDIA D.O.O.,"," OIB: 92923187236")</f>
        <v>ALL MARKET MEDIA D.O.O., OIB: 92923187236</v>
      </c>
      <c r="H3655" s="4"/>
      <c r="I3655" s="1" t="s">
        <v>597</v>
      </c>
      <c r="J3655" s="5">
        <v>43626</v>
      </c>
      <c r="K3655" s="6" t="str">
        <f>"30.279,56"</f>
        <v>30.279,56</v>
      </c>
      <c r="L3655" s="6" t="str">
        <f>"7.569,89"</f>
        <v>7.569,89</v>
      </c>
      <c r="M3655" s="6" t="str">
        <f>"37.849,45"</f>
        <v>37.849,45</v>
      </c>
      <c r="N3655" s="5">
        <v>43642</v>
      </c>
      <c r="O3655" s="7"/>
      <c r="P3655" s="6" t="str">
        <f>"37.849,45"</f>
        <v>37.849,45</v>
      </c>
      <c r="Q3655" s="7"/>
      <c r="R3655" s="1"/>
      <c r="S3655" s="1" t="str">
        <f>"J-UN-2019-3727"</f>
        <v>J-UN-2019-3727</v>
      </c>
      <c r="T3655" s="2" t="s">
        <v>33</v>
      </c>
    </row>
    <row r="3656" spans="1:20" ht="25.5" x14ac:dyDescent="0.25">
      <c r="A3656" s="1">
        <v>3652</v>
      </c>
      <c r="B3656" s="1" t="str">
        <f>"2019-846"</f>
        <v>2019-846</v>
      </c>
      <c r="C3656" s="2" t="s">
        <v>2288</v>
      </c>
      <c r="D3656" s="1" t="s">
        <v>2289</v>
      </c>
      <c r="E3656" s="3" t="str">
        <f>""</f>
        <v/>
      </c>
      <c r="F3656" s="2" t="s">
        <v>1323</v>
      </c>
      <c r="G3656" s="2" t="str">
        <f>CONCATENATE("SAFIR D.O.O.,"," HORVAĆANSKA 17,"," 10000 ZAGREB,"," OIB: 33548604975")</f>
        <v>SAFIR D.O.O., HORVAĆANSKA 17, 10000 ZAGREB, OIB: 33548604975</v>
      </c>
      <c r="H3656" s="4"/>
      <c r="I3656" s="1" t="s">
        <v>597</v>
      </c>
      <c r="J3656" s="5">
        <v>43656</v>
      </c>
      <c r="K3656" s="6" t="str">
        <f>"11.295,90"</f>
        <v>11.295,90</v>
      </c>
      <c r="L3656" s="6" t="str">
        <f>"2.823,98"</f>
        <v>2.823,98</v>
      </c>
      <c r="M3656" s="6" t="str">
        <f>"14.119,88"</f>
        <v>14.119,88</v>
      </c>
      <c r="N3656" s="5">
        <v>43626</v>
      </c>
      <c r="O3656" s="7"/>
      <c r="P3656" s="6" t="str">
        <f>"14.119,88"</f>
        <v>14.119,88</v>
      </c>
      <c r="Q3656" s="7"/>
      <c r="R3656" s="1"/>
      <c r="S3656" s="1" t="str">
        <f>"J-UN-2019-3728"</f>
        <v>J-UN-2019-3728</v>
      </c>
      <c r="T3656" s="2" t="s">
        <v>33</v>
      </c>
    </row>
    <row r="3657" spans="1:20" ht="76.5" x14ac:dyDescent="0.25">
      <c r="A3657" s="1">
        <v>3653</v>
      </c>
      <c r="B3657" s="1" t="str">
        <f>"2019-2676"</f>
        <v>2019-2676</v>
      </c>
      <c r="C3657" s="2" t="s">
        <v>2312</v>
      </c>
      <c r="D3657" s="1" t="s">
        <v>239</v>
      </c>
      <c r="E3657" s="3" t="str">
        <f>""</f>
        <v/>
      </c>
      <c r="F3657" s="2" t="s">
        <v>1323</v>
      </c>
      <c r="G3657" s="2" t="str">
        <f>CONCATENATE("PASTOR - TVA - D.D.,"," RAKITJE,"," NOVAČKA 2,"," 10437 BESTOVJE,"," OIB: 17140959007")</f>
        <v>PASTOR - TVA - D.D., RAKITJE, NOVAČKA 2, 10437 BESTOVJE, OIB: 17140959007</v>
      </c>
      <c r="H3657" s="4"/>
      <c r="I3657" s="1" t="s">
        <v>46</v>
      </c>
      <c r="J3657" s="5">
        <v>43635</v>
      </c>
      <c r="K3657" s="6" t="str">
        <f>"1.000,00"</f>
        <v>1.000,00</v>
      </c>
      <c r="L3657" s="6" t="str">
        <f>"250,00"</f>
        <v>250,00</v>
      </c>
      <c r="M3657" s="6" t="str">
        <f>"1.250,00"</f>
        <v>1.250,00</v>
      </c>
      <c r="N3657" s="1" t="s">
        <v>117</v>
      </c>
      <c r="O3657" s="7"/>
      <c r="P3657" s="6" t="str">
        <f>""</f>
        <v/>
      </c>
      <c r="Q3657" s="7"/>
      <c r="R3657" s="1"/>
      <c r="S3657" s="1" t="str">
        <f>"J-UN-2019-3731"</f>
        <v>J-UN-2019-3731</v>
      </c>
      <c r="T3657" s="2" t="s">
        <v>33</v>
      </c>
    </row>
    <row r="3658" spans="1:20" ht="25.5" x14ac:dyDescent="0.25">
      <c r="A3658" s="1">
        <v>3654</v>
      </c>
      <c r="B3658" s="1" t="str">
        <f>"2019-1387"</f>
        <v>2019-1387</v>
      </c>
      <c r="C3658" s="2" t="s">
        <v>2345</v>
      </c>
      <c r="D3658" s="1" t="s">
        <v>1416</v>
      </c>
      <c r="E3658" s="3" t="str">
        <f>""</f>
        <v/>
      </c>
      <c r="F3658" s="2" t="s">
        <v>1323</v>
      </c>
      <c r="G3658" s="2" t="str">
        <f>CONCATENATE("AUTO BENUSSI D.O.O.,"," INDUSTRIJSKA 2D,"," 52100 PULA,"," OIB: 96262119913")</f>
        <v>AUTO BENUSSI D.O.O., INDUSTRIJSKA 2D, 52100 PULA, OIB: 96262119913</v>
      </c>
      <c r="H3658" s="4"/>
      <c r="I3658" s="1" t="s">
        <v>597</v>
      </c>
      <c r="J3658" s="5">
        <v>43626</v>
      </c>
      <c r="K3658" s="6" t="str">
        <f>"55.065,92"</f>
        <v>55.065,92</v>
      </c>
      <c r="L3658" s="6" t="str">
        <f>"13.766,48"</f>
        <v>13.766,48</v>
      </c>
      <c r="M3658" s="6" t="str">
        <f>"68.832,40"</f>
        <v>68.832,40</v>
      </c>
      <c r="N3658" s="5">
        <v>43621</v>
      </c>
      <c r="O3658" s="7"/>
      <c r="P3658" s="6" t="str">
        <f>"8.463,00"</f>
        <v>8.463,00</v>
      </c>
      <c r="Q3658" s="7"/>
      <c r="R3658" s="1"/>
      <c r="S3658" s="1" t="str">
        <f>"J-UN-2019-3732"</f>
        <v>J-UN-2019-3732</v>
      </c>
      <c r="T3658" s="2" t="s">
        <v>33</v>
      </c>
    </row>
    <row r="3659" spans="1:20" ht="25.5" x14ac:dyDescent="0.25">
      <c r="A3659" s="1">
        <v>3655</v>
      </c>
      <c r="B3659" s="1" t="str">
        <f>"2019-2470"</f>
        <v>2019-2470</v>
      </c>
      <c r="C3659" s="2" t="s">
        <v>274</v>
      </c>
      <c r="D3659" s="1" t="s">
        <v>275</v>
      </c>
      <c r="E3659" s="3" t="str">
        <f>""</f>
        <v/>
      </c>
      <c r="F3659" s="2" t="s">
        <v>1323</v>
      </c>
      <c r="G3659" s="2" t="str">
        <f>CONCATENATE("COMET D.O.O.,"," VARAŽDINSKA 40/C,"," 42220 NOVI MAROF,"," OIB: 48249084626")</f>
        <v>COMET D.O.O., VARAŽDINSKA 40/C, 42220 NOVI MAROF, OIB: 48249084626</v>
      </c>
      <c r="H3659" s="4"/>
      <c r="I3659" s="1" t="s">
        <v>46</v>
      </c>
      <c r="J3659" s="5">
        <v>43635</v>
      </c>
      <c r="K3659" s="6" t="str">
        <f>"2.730,00"</f>
        <v>2.730,00</v>
      </c>
      <c r="L3659" s="6" t="str">
        <f>"682,50"</f>
        <v>682,50</v>
      </c>
      <c r="M3659" s="6" t="str">
        <f>"3.412,50"</f>
        <v>3.412,50</v>
      </c>
      <c r="N3659" s="5">
        <v>43649</v>
      </c>
      <c r="O3659" s="7"/>
      <c r="P3659" s="6" t="str">
        <f>"3.412,50"</f>
        <v>3.412,50</v>
      </c>
      <c r="Q3659" s="7"/>
      <c r="R3659" s="1"/>
      <c r="S3659" s="1" t="str">
        <f>"J-UN-2019-3733"</f>
        <v>J-UN-2019-3733</v>
      </c>
      <c r="T3659" s="2" t="s">
        <v>33</v>
      </c>
    </row>
    <row r="3660" spans="1:20" ht="25.5" x14ac:dyDescent="0.25">
      <c r="A3660" s="1">
        <v>3656</v>
      </c>
      <c r="B3660" s="1" t="str">
        <f>"2019-240"</f>
        <v>2019-240</v>
      </c>
      <c r="C3660" s="2" t="s">
        <v>2303</v>
      </c>
      <c r="D3660" s="1" t="s">
        <v>197</v>
      </c>
      <c r="E3660" s="3" t="str">
        <f>""</f>
        <v/>
      </c>
      <c r="F3660" s="2" t="s">
        <v>1323</v>
      </c>
      <c r="G3660" s="2" t="str">
        <f>CONCATENATE("GRAPAK D.O.O.,"," M. SCHLENGERA 5,"," 42204 TURČIN,"," OIB: 8387333034")</f>
        <v>GRAPAK D.O.O., M. SCHLENGERA 5, 42204 TURČIN, OIB: 8387333034</v>
      </c>
      <c r="H3660" s="4"/>
      <c r="I3660" s="1" t="s">
        <v>374</v>
      </c>
      <c r="J3660" s="5">
        <v>43628</v>
      </c>
      <c r="K3660" s="6" t="str">
        <f>"14.968,06"</f>
        <v>14.968,06</v>
      </c>
      <c r="L3660" s="6" t="str">
        <f>"3.742,02"</f>
        <v>3.742,02</v>
      </c>
      <c r="M3660" s="6" t="str">
        <f>"18.710,08"</f>
        <v>18.710,08</v>
      </c>
      <c r="N3660" s="5">
        <v>43633</v>
      </c>
      <c r="O3660" s="7"/>
      <c r="P3660" s="6" t="str">
        <f>"18.614,48"</f>
        <v>18.614,48</v>
      </c>
      <c r="Q3660" s="7"/>
      <c r="R3660" s="1"/>
      <c r="S3660" s="1" t="str">
        <f>"J-UN-2019-3734"</f>
        <v>J-UN-2019-3734</v>
      </c>
      <c r="T3660" s="2" t="s">
        <v>33</v>
      </c>
    </row>
    <row r="3661" spans="1:20" ht="25.5" x14ac:dyDescent="0.25">
      <c r="A3661" s="1">
        <v>3657</v>
      </c>
      <c r="B3661" s="1" t="str">
        <f>"2019-2208"</f>
        <v>2019-2208</v>
      </c>
      <c r="C3661" s="2" t="s">
        <v>2346</v>
      </c>
      <c r="D3661" s="1" t="s">
        <v>192</v>
      </c>
      <c r="E3661" s="3" t="str">
        <f>""</f>
        <v/>
      </c>
      <c r="F3661" s="2" t="s">
        <v>1323</v>
      </c>
      <c r="G3661" s="2" t="str">
        <f>CONCATENATE("POLJOOPSKRBA-TEHNO D.D.,"," SAMOBORSKA 96,"," 10000 ZAGREB,"," OIB: 5372167324")</f>
        <v>POLJOOPSKRBA-TEHNO D.D., SAMOBORSKA 96, 10000 ZAGREB, OIB: 5372167324</v>
      </c>
      <c r="H3661" s="4"/>
      <c r="I3661" s="1" t="s">
        <v>46</v>
      </c>
      <c r="J3661" s="5">
        <v>43635</v>
      </c>
      <c r="K3661" s="6" t="str">
        <f>"40.963,00"</f>
        <v>40.963,00</v>
      </c>
      <c r="L3661" s="6" t="str">
        <f>"10.240,75"</f>
        <v>10.240,75</v>
      </c>
      <c r="M3661" s="6" t="str">
        <f>"51.203,75"</f>
        <v>51.203,75</v>
      </c>
      <c r="N3661" s="5">
        <v>43661</v>
      </c>
      <c r="O3661" s="7"/>
      <c r="P3661" s="6" t="str">
        <f>"51.203,75"</f>
        <v>51.203,75</v>
      </c>
      <c r="Q3661" s="7"/>
      <c r="R3661" s="1"/>
      <c r="S3661" s="1" t="str">
        <f>"J-UN-2019-3736"</f>
        <v>J-UN-2019-3736</v>
      </c>
      <c r="T3661" s="2" t="s">
        <v>33</v>
      </c>
    </row>
    <row r="3662" spans="1:20" ht="76.5" x14ac:dyDescent="0.25">
      <c r="A3662" s="1">
        <v>3658</v>
      </c>
      <c r="B3662" s="1" t="str">
        <f>"2019-2676"</f>
        <v>2019-2676</v>
      </c>
      <c r="C3662" s="2" t="s">
        <v>2312</v>
      </c>
      <c r="D3662" s="1" t="s">
        <v>239</v>
      </c>
      <c r="E3662" s="3" t="str">
        <f>""</f>
        <v/>
      </c>
      <c r="F3662" s="2" t="s">
        <v>1323</v>
      </c>
      <c r="G3662" s="2" t="str">
        <f>CONCATENATE("PASTOR - TVA - D.D.,"," RAKITJE,"," NOVAČKA 2,"," 10437 BESTOVJE,"," OIB: 17140959007")</f>
        <v>PASTOR - TVA - D.D., RAKITJE, NOVAČKA 2, 10437 BESTOVJE, OIB: 17140959007</v>
      </c>
      <c r="H3662" s="4"/>
      <c r="I3662" s="1" t="s">
        <v>46</v>
      </c>
      <c r="J3662" s="5">
        <v>43635</v>
      </c>
      <c r="K3662" s="6" t="str">
        <f>"24.995,00"</f>
        <v>24.995,00</v>
      </c>
      <c r="L3662" s="6" t="str">
        <f>"6.248,75"</f>
        <v>6.248,75</v>
      </c>
      <c r="M3662" s="6" t="str">
        <f>"31.243,75"</f>
        <v>31.243,75</v>
      </c>
      <c r="N3662" s="1" t="s">
        <v>117</v>
      </c>
      <c r="O3662" s="7"/>
      <c r="P3662" s="6" t="str">
        <f>""</f>
        <v/>
      </c>
      <c r="Q3662" s="7"/>
      <c r="R3662" s="1"/>
      <c r="S3662" s="1" t="str">
        <f>"J-UN-2019-3740"</f>
        <v>J-UN-2019-3740</v>
      </c>
      <c r="T3662" s="2" t="s">
        <v>33</v>
      </c>
    </row>
    <row r="3663" spans="1:20" ht="25.5" x14ac:dyDescent="0.25">
      <c r="A3663" s="1">
        <v>3659</v>
      </c>
      <c r="B3663" s="1" t="str">
        <f>"2019-1868"</f>
        <v>2019-1868</v>
      </c>
      <c r="C3663" s="2" t="s">
        <v>2347</v>
      </c>
      <c r="D3663" s="1" t="s">
        <v>1351</v>
      </c>
      <c r="E3663" s="3" t="str">
        <f>""</f>
        <v/>
      </c>
      <c r="F3663" s="2" t="s">
        <v>1323</v>
      </c>
      <c r="G3663" s="2" t="str">
        <f>CONCATENATE("BRIŠAR SERVIS D.O.O.,"," PRELČEVA 21D,"," 10360 SESVETE,"," OIB: 58933898865")</f>
        <v>BRIŠAR SERVIS D.O.O., PRELČEVA 21D, 10360 SESVETE, OIB: 58933898865</v>
      </c>
      <c r="H3663" s="4"/>
      <c r="I3663" s="1" t="s">
        <v>46</v>
      </c>
      <c r="J3663" s="5">
        <v>43635</v>
      </c>
      <c r="K3663" s="6" t="str">
        <f>"43.800,00"</f>
        <v>43.800,00</v>
      </c>
      <c r="L3663" s="6" t="str">
        <f>"10.950,00"</f>
        <v>10.950,00</v>
      </c>
      <c r="M3663" s="6" t="str">
        <f>"54.750,00"</f>
        <v>54.750,00</v>
      </c>
      <c r="N3663" s="1"/>
      <c r="O3663" s="18" t="s">
        <v>495</v>
      </c>
      <c r="P3663" s="6" t="str">
        <f>""</f>
        <v/>
      </c>
      <c r="Q3663" s="7"/>
      <c r="R3663" s="1"/>
      <c r="S3663" s="1" t="str">
        <f>"J-UN-2019-3741"</f>
        <v>J-UN-2019-3741</v>
      </c>
      <c r="T3663" s="2" t="s">
        <v>33</v>
      </c>
    </row>
    <row r="3664" spans="1:20" ht="25.5" x14ac:dyDescent="0.25">
      <c r="A3664" s="1">
        <v>3660</v>
      </c>
      <c r="B3664" s="1" t="str">
        <f>"2019-2030"</f>
        <v>2019-2030</v>
      </c>
      <c r="C3664" s="2" t="s">
        <v>2301</v>
      </c>
      <c r="D3664" s="1" t="s">
        <v>2302</v>
      </c>
      <c r="E3664" s="3" t="str">
        <f>""</f>
        <v/>
      </c>
      <c r="F3664" s="2" t="s">
        <v>1323</v>
      </c>
      <c r="G3664" s="2" t="str">
        <f>CONCATENATE("SCHEDA D.O.O.,"," LJUDEVITA POSAVSKOG 29,"," 10360 SESVETE,"," OIB: 76219817247")</f>
        <v>SCHEDA D.O.O., LJUDEVITA POSAVSKOG 29, 10360 SESVETE, OIB: 76219817247</v>
      </c>
      <c r="H3664" s="4"/>
      <c r="I3664" s="1" t="s">
        <v>638</v>
      </c>
      <c r="J3664" s="5">
        <v>43643</v>
      </c>
      <c r="K3664" s="6" t="str">
        <f>"1.616,12"</f>
        <v>1.616,12</v>
      </c>
      <c r="L3664" s="6" t="str">
        <f>"404,03"</f>
        <v>404,03</v>
      </c>
      <c r="M3664" s="6" t="str">
        <f>"2.020,15"</f>
        <v>2.020,15</v>
      </c>
      <c r="N3664" s="5">
        <v>43661</v>
      </c>
      <c r="O3664" s="7"/>
      <c r="P3664" s="6" t="str">
        <f>"2.020,15"</f>
        <v>2.020,15</v>
      </c>
      <c r="Q3664" s="7"/>
      <c r="R3664" s="1"/>
      <c r="S3664" s="1" t="str">
        <f>"J-UN-2019-3742"</f>
        <v>J-UN-2019-3742</v>
      </c>
      <c r="T3664" s="2" t="s">
        <v>33</v>
      </c>
    </row>
    <row r="3665" spans="1:20" ht="25.5" x14ac:dyDescent="0.25">
      <c r="A3665" s="1">
        <v>3661</v>
      </c>
      <c r="B3665" s="1" t="str">
        <f>"2019-850"</f>
        <v>2019-850</v>
      </c>
      <c r="C3665" s="2" t="s">
        <v>2329</v>
      </c>
      <c r="D3665" s="1" t="s">
        <v>90</v>
      </c>
      <c r="E3665" s="3" t="str">
        <f>""</f>
        <v/>
      </c>
      <c r="F3665" s="2" t="s">
        <v>1323</v>
      </c>
      <c r="G3665" s="2" t="str">
        <f>CONCATENATE("LAGER BAŠIĆ D.O.O.,"," TRGOVAČKA 3,"," 10255 DONJI STUPNIK,"," OIB: 49617677906")</f>
        <v>LAGER BAŠIĆ D.O.O., TRGOVAČKA 3, 10255 DONJI STUPNIK, OIB: 49617677906</v>
      </c>
      <c r="H3665" s="4"/>
      <c r="I3665" s="1" t="s">
        <v>374</v>
      </c>
      <c r="J3665" s="5">
        <v>43628</v>
      </c>
      <c r="K3665" s="6" t="str">
        <f>"3.578,00"</f>
        <v>3.578,00</v>
      </c>
      <c r="L3665" s="6" t="str">
        <f>"894,50"</f>
        <v>894,50</v>
      </c>
      <c r="M3665" s="6" t="str">
        <f>"4.472,50"</f>
        <v>4.472,50</v>
      </c>
      <c r="N3665" s="1" t="s">
        <v>117</v>
      </c>
      <c r="O3665" s="7"/>
      <c r="P3665" s="6" t="str">
        <f>""</f>
        <v/>
      </c>
      <c r="Q3665" s="7"/>
      <c r="R3665" s="1"/>
      <c r="S3665" s="1" t="str">
        <f>"J-UN-2019-3743"</f>
        <v>J-UN-2019-3743</v>
      </c>
      <c r="T3665" s="2" t="s">
        <v>33</v>
      </c>
    </row>
    <row r="3666" spans="1:20" ht="38.25" x14ac:dyDescent="0.25">
      <c r="A3666" s="1">
        <v>3662</v>
      </c>
      <c r="B3666" s="1" t="str">
        <f>"2019-1324"</f>
        <v>2019-1324</v>
      </c>
      <c r="C3666" s="2" t="s">
        <v>2335</v>
      </c>
      <c r="D3666" s="1" t="s">
        <v>768</v>
      </c>
      <c r="E3666" s="3" t="str">
        <f>""</f>
        <v/>
      </c>
      <c r="F3666" s="2" t="s">
        <v>1323</v>
      </c>
      <c r="G3666" s="2" t="str">
        <f>CONCATENATE("SMIT-COMMERCE D.O.O.,"," GORNJOSTUPNIČKA 9B,"," 10255 GORNJI STUPNIK,"," OIB: 9524348214")</f>
        <v>SMIT-COMMERCE D.O.O., GORNJOSTUPNIČKA 9B, 10255 GORNJI STUPNIK, OIB: 9524348214</v>
      </c>
      <c r="H3666" s="4"/>
      <c r="I3666" s="1" t="s">
        <v>46</v>
      </c>
      <c r="J3666" s="5">
        <v>43635</v>
      </c>
      <c r="K3666" s="6" t="str">
        <f>"5.296,20"</f>
        <v>5.296,20</v>
      </c>
      <c r="L3666" s="6" t="str">
        <f>"1.324,05"</f>
        <v>1.324,05</v>
      </c>
      <c r="M3666" s="6" t="str">
        <f>"6.620,25"</f>
        <v>6.620,25</v>
      </c>
      <c r="N3666" s="5">
        <v>43644</v>
      </c>
      <c r="O3666" s="7"/>
      <c r="P3666" s="6" t="str">
        <f>"6.620,25"</f>
        <v>6.620,25</v>
      </c>
      <c r="Q3666" s="7"/>
      <c r="R3666" s="1"/>
      <c r="S3666" s="1" t="str">
        <f>"J-UN-2019-3744"</f>
        <v>J-UN-2019-3744</v>
      </c>
      <c r="T3666" s="2" t="s">
        <v>33</v>
      </c>
    </row>
    <row r="3667" spans="1:20" ht="25.5" x14ac:dyDescent="0.25">
      <c r="A3667" s="1">
        <v>3663</v>
      </c>
      <c r="B3667" s="1" t="str">
        <f>"2019-1319"</f>
        <v>2019-1319</v>
      </c>
      <c r="C3667" s="2" t="s">
        <v>2193</v>
      </c>
      <c r="D3667" s="1" t="s">
        <v>2194</v>
      </c>
      <c r="E3667" s="3" t="str">
        <f>""</f>
        <v/>
      </c>
      <c r="F3667" s="2" t="s">
        <v>1323</v>
      </c>
      <c r="G3667" s="2" t="str">
        <f>CONCATENATE("POLJOOPSKRBA-TEHNO D.D.,"," SAMOBORSKA 96,"," 10000 ZAGREB,"," OIB: 5372167324")</f>
        <v>POLJOOPSKRBA-TEHNO D.D., SAMOBORSKA 96, 10000 ZAGREB, OIB: 5372167324</v>
      </c>
      <c r="H3667" s="4"/>
      <c r="I3667" s="1" t="s">
        <v>46</v>
      </c>
      <c r="J3667" s="5">
        <v>43635</v>
      </c>
      <c r="K3667" s="6" t="str">
        <f>"876,00"</f>
        <v>876,00</v>
      </c>
      <c r="L3667" s="6" t="str">
        <f>"219,00"</f>
        <v>219,00</v>
      </c>
      <c r="M3667" s="6" t="str">
        <f>"1.095,00"</f>
        <v>1.095,00</v>
      </c>
      <c r="N3667" s="5">
        <v>43644</v>
      </c>
      <c r="O3667" s="7"/>
      <c r="P3667" s="6" t="str">
        <f>"1.095,00"</f>
        <v>1.095,00</v>
      </c>
      <c r="Q3667" s="7"/>
      <c r="R3667" s="1"/>
      <c r="S3667" s="1" t="str">
        <f>"J-UN-2019-3745"</f>
        <v>J-UN-2019-3745</v>
      </c>
      <c r="T3667" s="2" t="s">
        <v>33</v>
      </c>
    </row>
    <row r="3668" spans="1:20" ht="25.5" x14ac:dyDescent="0.25">
      <c r="A3668" s="1">
        <v>3664</v>
      </c>
      <c r="B3668" s="1" t="str">
        <f>"2019-668"</f>
        <v>2019-668</v>
      </c>
      <c r="C3668" s="2" t="s">
        <v>2273</v>
      </c>
      <c r="D3668" s="1" t="s">
        <v>292</v>
      </c>
      <c r="E3668" s="3" t="str">
        <f>""</f>
        <v/>
      </c>
      <c r="F3668" s="2" t="s">
        <v>1323</v>
      </c>
      <c r="G3668" s="2" t="str">
        <f>CONCATENATE("MAN-EKO D.O.O.,"," BRAĆE CVIJIĆA 17,"," 10000 ZAGREB,"," OIB: 708190967")</f>
        <v>MAN-EKO D.O.O., BRAĆE CVIJIĆA 17, 10000 ZAGREB, OIB: 708190967</v>
      </c>
      <c r="H3668" s="4"/>
      <c r="I3668" s="1" t="s">
        <v>46</v>
      </c>
      <c r="J3668" s="5">
        <v>43634</v>
      </c>
      <c r="K3668" s="6" t="str">
        <f>"574,00"</f>
        <v>574,00</v>
      </c>
      <c r="L3668" s="6" t="str">
        <f>"143,50"</f>
        <v>143,50</v>
      </c>
      <c r="M3668" s="6" t="str">
        <f>"717,50"</f>
        <v>717,50</v>
      </c>
      <c r="N3668" s="5">
        <v>43663</v>
      </c>
      <c r="O3668" s="7"/>
      <c r="P3668" s="6" t="str">
        <f>"717,50"</f>
        <v>717,50</v>
      </c>
      <c r="Q3668" s="7"/>
      <c r="R3668" s="1"/>
      <c r="S3668" s="1" t="str">
        <f>"J-UN-2019-3746"</f>
        <v>J-UN-2019-3746</v>
      </c>
      <c r="T3668" s="2" t="s">
        <v>33</v>
      </c>
    </row>
    <row r="3669" spans="1:20" ht="25.5" x14ac:dyDescent="0.25">
      <c r="A3669" s="1">
        <v>3665</v>
      </c>
      <c r="B3669" s="1" t="str">
        <f>"2019-807"</f>
        <v>2019-807</v>
      </c>
      <c r="C3669" s="2" t="s">
        <v>2348</v>
      </c>
      <c r="D3669" s="1" t="s">
        <v>1579</v>
      </c>
      <c r="E3669" s="3" t="str">
        <f>""</f>
        <v/>
      </c>
      <c r="F3669" s="2" t="s">
        <v>1323</v>
      </c>
      <c r="G3669" s="2" t="str">
        <f>CONCATENATE("MAN-EKO D.O.O.,"," BRAĆE CVIJIĆA 17,"," 10000 ZAGREB,"," OIB: 708190967")</f>
        <v>MAN-EKO D.O.O., BRAĆE CVIJIĆA 17, 10000 ZAGREB, OIB: 708190967</v>
      </c>
      <c r="H3669" s="4"/>
      <c r="I3669" s="1" t="s">
        <v>46</v>
      </c>
      <c r="J3669" s="5">
        <v>43635</v>
      </c>
      <c r="K3669" s="6" t="str">
        <f>"3.800,00"</f>
        <v>3.800,00</v>
      </c>
      <c r="L3669" s="6" t="str">
        <f>"950,00"</f>
        <v>950,00</v>
      </c>
      <c r="M3669" s="6" t="str">
        <f>"4.750,00"</f>
        <v>4.750,00</v>
      </c>
      <c r="N3669" s="5">
        <v>43644</v>
      </c>
      <c r="O3669" s="7"/>
      <c r="P3669" s="6" t="str">
        <f>"4.750,00"</f>
        <v>4.750,00</v>
      </c>
      <c r="Q3669" s="7"/>
      <c r="R3669" s="1"/>
      <c r="S3669" s="1" t="str">
        <f>"J-UN-2019-3747"</f>
        <v>J-UN-2019-3747</v>
      </c>
      <c r="T3669" s="2" t="s">
        <v>33</v>
      </c>
    </row>
    <row r="3670" spans="1:20" ht="38.25" x14ac:dyDescent="0.25">
      <c r="A3670" s="1">
        <v>3666</v>
      </c>
      <c r="B3670" s="1" t="str">
        <f>"2019-2183"</f>
        <v>2019-2183</v>
      </c>
      <c r="C3670" s="2" t="s">
        <v>2244</v>
      </c>
      <c r="D3670" s="1" t="s">
        <v>1905</v>
      </c>
      <c r="E3670" s="3" t="str">
        <f>""</f>
        <v/>
      </c>
      <c r="F3670" s="2" t="s">
        <v>1323</v>
      </c>
      <c r="G3670" s="2" t="str">
        <f>CONCATENATE("BUREAU VERITAS CROATIA D.O.O.,"," OIB: 8279853215")</f>
        <v>BUREAU VERITAS CROATIA D.O.O., OIB: 8279853215</v>
      </c>
      <c r="H3670" s="4"/>
      <c r="I3670" s="1" t="s">
        <v>374</v>
      </c>
      <c r="J3670" s="5">
        <v>43628</v>
      </c>
      <c r="K3670" s="6" t="str">
        <f>"19.125,00"</f>
        <v>19.125,00</v>
      </c>
      <c r="L3670" s="6" t="str">
        <f>"4.781,25"</f>
        <v>4.781,25</v>
      </c>
      <c r="M3670" s="6" t="str">
        <f>"23.906,25"</f>
        <v>23.906,25</v>
      </c>
      <c r="N3670" s="5">
        <v>43629</v>
      </c>
      <c r="O3670" s="7"/>
      <c r="P3670" s="6" t="str">
        <f>"23.906,25"</f>
        <v>23.906,25</v>
      </c>
      <c r="Q3670" s="7"/>
      <c r="R3670" s="1"/>
      <c r="S3670" s="1" t="str">
        <f>"J-UN-2019-3750"</f>
        <v>J-UN-2019-3750</v>
      </c>
      <c r="T3670" s="2" t="s">
        <v>33</v>
      </c>
    </row>
    <row r="3671" spans="1:20" ht="25.5" x14ac:dyDescent="0.25">
      <c r="A3671" s="1">
        <v>3667</v>
      </c>
      <c r="B3671" s="1" t="str">
        <f>"2019-364"</f>
        <v>2019-364</v>
      </c>
      <c r="C3671" s="2" t="s">
        <v>2160</v>
      </c>
      <c r="D3671" s="1" t="s">
        <v>1534</v>
      </c>
      <c r="E3671" s="3" t="str">
        <f>""</f>
        <v/>
      </c>
      <c r="F3671" s="2" t="s">
        <v>1323</v>
      </c>
      <c r="G3671" s="2" t="str">
        <f>CONCATENATE("ECCOS-INŽENJERING D.O.O.,"," BANI 110,"," 10000 ZAGREB,"," OIB: 71629027685")</f>
        <v>ECCOS-INŽENJERING D.O.O., BANI 110, 10000 ZAGREB, OIB: 71629027685</v>
      </c>
      <c r="H3671" s="4"/>
      <c r="I3671" s="1" t="s">
        <v>374</v>
      </c>
      <c r="J3671" s="5">
        <v>43628</v>
      </c>
      <c r="K3671" s="6" t="str">
        <f>"10.245,00"</f>
        <v>10.245,00</v>
      </c>
      <c r="L3671" s="6" t="str">
        <f>"2.561,25"</f>
        <v>2.561,25</v>
      </c>
      <c r="M3671" s="6" t="str">
        <f>"12.806,25"</f>
        <v>12.806,25</v>
      </c>
      <c r="N3671" s="1" t="s">
        <v>117</v>
      </c>
      <c r="O3671" s="7"/>
      <c r="P3671" s="6" t="str">
        <f>""</f>
        <v/>
      </c>
      <c r="Q3671" s="7"/>
      <c r="R3671" s="1"/>
      <c r="S3671" s="1" t="str">
        <f>"J-UN-2019-3751"</f>
        <v>J-UN-2019-3751</v>
      </c>
      <c r="T3671" s="2" t="s">
        <v>33</v>
      </c>
    </row>
    <row r="3672" spans="1:20" ht="25.5" x14ac:dyDescent="0.25">
      <c r="A3672" s="1">
        <v>3668</v>
      </c>
      <c r="B3672" s="1" t="str">
        <f>"2019-67"</f>
        <v>2019-67</v>
      </c>
      <c r="C3672" s="2" t="s">
        <v>2338</v>
      </c>
      <c r="D3672" s="1" t="s">
        <v>382</v>
      </c>
      <c r="E3672" s="3" t="str">
        <f>""</f>
        <v/>
      </c>
      <c r="F3672" s="2" t="s">
        <v>1323</v>
      </c>
      <c r="G3672" s="2" t="str">
        <f>CONCATENATE("AUTO-MAG D.O.O.,"," GORNJOSTUPNIČKA 1/d,"," 10255 GORNJI STUPNIK,"," OIB: 99940897955")</f>
        <v>AUTO-MAG D.O.O., GORNJOSTUPNIČKA 1/d, 10255 GORNJI STUPNIK, OIB: 99940897955</v>
      </c>
      <c r="H3672" s="4"/>
      <c r="I3672" s="1" t="s">
        <v>930</v>
      </c>
      <c r="J3672" s="5">
        <v>43640</v>
      </c>
      <c r="K3672" s="6" t="str">
        <f>"184,00"</f>
        <v>184,00</v>
      </c>
      <c r="L3672" s="6" t="str">
        <f>"46,00"</f>
        <v>46,00</v>
      </c>
      <c r="M3672" s="6" t="str">
        <f>"230,00"</f>
        <v>230,00</v>
      </c>
      <c r="N3672" s="5">
        <v>43647</v>
      </c>
      <c r="O3672" s="7"/>
      <c r="P3672" s="6" t="str">
        <f>"230,00"</f>
        <v>230,00</v>
      </c>
      <c r="Q3672" s="7"/>
      <c r="R3672" s="1"/>
      <c r="S3672" s="1" t="str">
        <f>"J-UN-2019-3753"</f>
        <v>J-UN-2019-3753</v>
      </c>
      <c r="T3672" s="2" t="s">
        <v>33</v>
      </c>
    </row>
    <row r="3673" spans="1:20" ht="25.5" x14ac:dyDescent="0.25">
      <c r="A3673" s="1">
        <v>3669</v>
      </c>
      <c r="B3673" s="1" t="str">
        <f>"2019-841"</f>
        <v>2019-841</v>
      </c>
      <c r="C3673" s="2" t="s">
        <v>2252</v>
      </c>
      <c r="D3673" s="1" t="s">
        <v>90</v>
      </c>
      <c r="E3673" s="3" t="str">
        <f>""</f>
        <v/>
      </c>
      <c r="F3673" s="2" t="s">
        <v>1323</v>
      </c>
      <c r="G3673" s="2" t="str">
        <f>CONCATENATE("SOM HIDRAULIKA D.O.O.,"," II RESNIK 20A,"," 10000 ZAGREB,"," OIB: 73091674996")</f>
        <v>SOM HIDRAULIKA D.O.O., II RESNIK 20A, 10000 ZAGREB, OIB: 73091674996</v>
      </c>
      <c r="H3673" s="4"/>
      <c r="I3673" s="1" t="s">
        <v>374</v>
      </c>
      <c r="J3673" s="5">
        <v>43628</v>
      </c>
      <c r="K3673" s="6" t="str">
        <f>"19.640,00"</f>
        <v>19.640,00</v>
      </c>
      <c r="L3673" s="6" t="str">
        <f>"4.910,00"</f>
        <v>4.910,00</v>
      </c>
      <c r="M3673" s="6" t="str">
        <f>"24.550,00"</f>
        <v>24.550,00</v>
      </c>
      <c r="N3673" s="5">
        <v>43644</v>
      </c>
      <c r="O3673" s="7"/>
      <c r="P3673" s="6" t="str">
        <f>"24.550,00"</f>
        <v>24.550,00</v>
      </c>
      <c r="Q3673" s="7"/>
      <c r="R3673" s="1"/>
      <c r="S3673" s="1" t="str">
        <f>"J-UN-2019-3755"</f>
        <v>J-UN-2019-3755</v>
      </c>
      <c r="T3673" s="2" t="s">
        <v>33</v>
      </c>
    </row>
    <row r="3674" spans="1:20" ht="25.5" x14ac:dyDescent="0.25">
      <c r="A3674" s="1">
        <v>3670</v>
      </c>
      <c r="B3674" s="1" t="str">
        <f>"2019-52"</f>
        <v>2019-52</v>
      </c>
      <c r="C3674" s="2" t="s">
        <v>2349</v>
      </c>
      <c r="D3674" s="1" t="s">
        <v>2350</v>
      </c>
      <c r="E3674" s="3" t="str">
        <f>""</f>
        <v/>
      </c>
      <c r="F3674" s="2" t="s">
        <v>1323</v>
      </c>
      <c r="G3674" s="2" t="str">
        <f>CONCATENATE("FARBAK D.O.O.,"," ILICA 36,"," 10000 ZAGREB,"," OIB: 050112416")</f>
        <v>FARBAK D.O.O., ILICA 36, 10000 ZAGREB, OIB: 050112416</v>
      </c>
      <c r="H3674" s="4"/>
      <c r="I3674" s="1" t="s">
        <v>930</v>
      </c>
      <c r="J3674" s="5">
        <v>43640</v>
      </c>
      <c r="K3674" s="6" t="str">
        <f>"59.302,80"</f>
        <v>59.302,80</v>
      </c>
      <c r="L3674" s="6" t="str">
        <f>"14.825,70"</f>
        <v>14.825,70</v>
      </c>
      <c r="M3674" s="6" t="str">
        <f>"74.128,50"</f>
        <v>74.128,50</v>
      </c>
      <c r="N3674" s="5">
        <v>43668</v>
      </c>
      <c r="O3674" s="7"/>
      <c r="P3674" s="6" t="str">
        <f>"74.128,50"</f>
        <v>74.128,50</v>
      </c>
      <c r="Q3674" s="7"/>
      <c r="R3674" s="1"/>
      <c r="S3674" s="1" t="str">
        <f>"J-UN-2019-3756"</f>
        <v>J-UN-2019-3756</v>
      </c>
      <c r="T3674" s="2" t="s">
        <v>33</v>
      </c>
    </row>
    <row r="3675" spans="1:20" ht="38.25" x14ac:dyDescent="0.25">
      <c r="A3675" s="1">
        <v>3671</v>
      </c>
      <c r="B3675" s="1" t="str">
        <f>"2019-1650"</f>
        <v>2019-1650</v>
      </c>
      <c r="C3675" s="2" t="s">
        <v>2351</v>
      </c>
      <c r="D3675" s="1" t="s">
        <v>1266</v>
      </c>
      <c r="E3675" s="3" t="str">
        <f>""</f>
        <v/>
      </c>
      <c r="F3675" s="2" t="s">
        <v>1323</v>
      </c>
      <c r="G3675" s="2" t="str">
        <f>CONCATENATE("DRÄGER SAFETY D.O.O.,"," AVENIJA VEĆESLAVA HOLJEVCA 40,"," 10010 ZAGREB,"," OIB: 32874587842")</f>
        <v>DRÄGER SAFETY D.O.O., AVENIJA VEĆESLAVA HOLJEVCA 40, 10010 ZAGREB, OIB: 32874587842</v>
      </c>
      <c r="H3675" s="4"/>
      <c r="I3675" s="1" t="s">
        <v>374</v>
      </c>
      <c r="J3675" s="5">
        <v>43994</v>
      </c>
      <c r="K3675" s="6" t="str">
        <f>"2.590,40"</f>
        <v>2.590,40</v>
      </c>
      <c r="L3675" s="6" t="str">
        <f>"647,60"</f>
        <v>647,60</v>
      </c>
      <c r="M3675" s="6" t="str">
        <f>"3.238,00"</f>
        <v>3.238,00</v>
      </c>
      <c r="N3675" s="5">
        <v>43643</v>
      </c>
      <c r="O3675" s="7"/>
      <c r="P3675" s="6" t="str">
        <f>"1.619,00"</f>
        <v>1.619,00</v>
      </c>
      <c r="Q3675" s="7"/>
      <c r="R3675" s="1"/>
      <c r="S3675" s="1" t="str">
        <f>"J-UN-2019-3757"</f>
        <v>J-UN-2019-3757</v>
      </c>
      <c r="T3675" s="2" t="s">
        <v>33</v>
      </c>
    </row>
    <row r="3676" spans="1:20" ht="38.25" x14ac:dyDescent="0.25">
      <c r="A3676" s="1">
        <v>3672</v>
      </c>
      <c r="B3676" s="1" t="str">
        <f>"2019-2229"</f>
        <v>2019-2229</v>
      </c>
      <c r="C3676" s="2" t="s">
        <v>2207</v>
      </c>
      <c r="D3676" s="1" t="s">
        <v>1550</v>
      </c>
      <c r="E3676" s="3" t="str">
        <f>""</f>
        <v/>
      </c>
      <c r="F3676" s="2" t="s">
        <v>1323</v>
      </c>
      <c r="G3676" s="2" t="str">
        <f>CONCATENATE("ZAVOD ZA JAVNO ZDRAVSTVO ISTARSKE ŽUPANIJE,"," NAZOROVA 23,"," 52100 PULA,"," OIB: 90629578695")</f>
        <v>ZAVOD ZA JAVNO ZDRAVSTVO ISTARSKE ŽUPANIJE, NAZOROVA 23, 52100 PULA, OIB: 90629578695</v>
      </c>
      <c r="H3676" s="4"/>
      <c r="I3676" s="1" t="s">
        <v>374</v>
      </c>
      <c r="J3676" s="5">
        <v>43628</v>
      </c>
      <c r="K3676" s="6" t="str">
        <f>"330,00"</f>
        <v>330,00</v>
      </c>
      <c r="L3676" s="6" t="str">
        <f>"82,50"</f>
        <v>82,50</v>
      </c>
      <c r="M3676" s="6" t="str">
        <f>"412,50"</f>
        <v>412,50</v>
      </c>
      <c r="N3676" s="5">
        <v>43643</v>
      </c>
      <c r="O3676" s="7"/>
      <c r="P3676" s="6" t="str">
        <f>"412,50"</f>
        <v>412,50</v>
      </c>
      <c r="Q3676" s="7"/>
      <c r="R3676" s="1"/>
      <c r="S3676" s="1" t="str">
        <f>"J-UN-2019-3758"</f>
        <v>J-UN-2019-3758</v>
      </c>
      <c r="T3676" s="2" t="s">
        <v>33</v>
      </c>
    </row>
    <row r="3677" spans="1:20" ht="25.5" x14ac:dyDescent="0.25">
      <c r="A3677" s="1">
        <v>3673</v>
      </c>
      <c r="B3677" s="1" t="str">
        <f>"2019-833"</f>
        <v>2019-833</v>
      </c>
      <c r="C3677" s="2" t="s">
        <v>2352</v>
      </c>
      <c r="D3677" s="1" t="s">
        <v>2353</v>
      </c>
      <c r="E3677" s="3" t="str">
        <f>""</f>
        <v/>
      </c>
      <c r="F3677" s="2" t="s">
        <v>1323</v>
      </c>
      <c r="G3677" s="2" t="str">
        <f>CONCATENATE("PISMORAD D.D.,"," III MALEŠNICA 12,"," 10000 ZAGREB,"," OIB: 33260306505")</f>
        <v>PISMORAD D.D., III MALEŠNICA 12, 10000 ZAGREB, OIB: 33260306505</v>
      </c>
      <c r="H3677" s="4"/>
      <c r="I3677" s="1" t="s">
        <v>374</v>
      </c>
      <c r="J3677" s="5">
        <v>43628</v>
      </c>
      <c r="K3677" s="6" t="str">
        <f>"109.423,00"</f>
        <v>109.423,00</v>
      </c>
      <c r="L3677" s="6" t="str">
        <f>"27.355,75"</f>
        <v>27.355,75</v>
      </c>
      <c r="M3677" s="6" t="str">
        <f>"136.778,75"</f>
        <v>136.778,75</v>
      </c>
      <c r="N3677" s="5">
        <v>43628</v>
      </c>
      <c r="O3677" s="7"/>
      <c r="P3677" s="6" t="str">
        <f>"136.778,75"</f>
        <v>136.778,75</v>
      </c>
      <c r="Q3677" s="7"/>
      <c r="R3677" s="1"/>
      <c r="S3677" s="1" t="str">
        <f>"J-UN-2019-3759"</f>
        <v>J-UN-2019-3759</v>
      </c>
      <c r="T3677" s="2" t="s">
        <v>33</v>
      </c>
    </row>
    <row r="3678" spans="1:20" ht="38.25" x14ac:dyDescent="0.25">
      <c r="A3678" s="1">
        <v>3674</v>
      </c>
      <c r="B3678" s="1" t="str">
        <f>"2019-2625"</f>
        <v>2019-2625</v>
      </c>
      <c r="C3678" s="2" t="s">
        <v>1098</v>
      </c>
      <c r="D3678" s="1" t="s">
        <v>625</v>
      </c>
      <c r="E3678" s="3" t="str">
        <f>""</f>
        <v/>
      </c>
      <c r="F3678" s="2" t="s">
        <v>1323</v>
      </c>
      <c r="G3678" s="2" t="str">
        <f>CONCATENATE("NASTAVNI ZAVOD ZA JAVNO ZDRAVSTVO DR. ANDRIJA ŠTAMPAR,"," MIROGOJSKA CESTA 16,"," 10000 ZAGREB,"," OIB: 3339200596")</f>
        <v>NASTAVNI ZAVOD ZA JAVNO ZDRAVSTVO DR. ANDRIJA ŠTAMPAR, MIROGOJSKA CESTA 16, 10000 ZAGREB, OIB: 3339200596</v>
      </c>
      <c r="H3678" s="4"/>
      <c r="I3678" s="1" t="s">
        <v>440</v>
      </c>
      <c r="J3678" s="5">
        <v>43819</v>
      </c>
      <c r="K3678" s="6" t="str">
        <f>"14.423,00"</f>
        <v>14.423,00</v>
      </c>
      <c r="L3678" s="6" t="str">
        <f>"3.605,75"</f>
        <v>3.605,75</v>
      </c>
      <c r="M3678" s="6" t="str">
        <f>"18.028,75"</f>
        <v>18.028,75</v>
      </c>
      <c r="N3678" s="1" t="s">
        <v>117</v>
      </c>
      <c r="O3678" s="7"/>
      <c r="P3678" s="6" t="str">
        <f>""</f>
        <v/>
      </c>
      <c r="Q3678" s="7"/>
      <c r="R3678" s="1"/>
      <c r="S3678" s="1" t="str">
        <f>"J-UN-2019-3760"</f>
        <v>J-UN-2019-3760</v>
      </c>
      <c r="T3678" s="2" t="s">
        <v>33</v>
      </c>
    </row>
    <row r="3679" spans="1:20" ht="38.25" x14ac:dyDescent="0.25">
      <c r="A3679" s="1">
        <v>3675</v>
      </c>
      <c r="B3679" s="1" t="str">
        <f>"2019-261"</f>
        <v>2019-261</v>
      </c>
      <c r="C3679" s="2" t="s">
        <v>2354</v>
      </c>
      <c r="D3679" s="1" t="s">
        <v>239</v>
      </c>
      <c r="E3679" s="3" t="str">
        <f>""</f>
        <v/>
      </c>
      <c r="F3679" s="2" t="s">
        <v>1323</v>
      </c>
      <c r="G3679" s="2" t="str">
        <f>CONCATENATE("BILIĆ-ERIĆ D.O.O.,"," TRGOVAČKI CENTAR MILLENNIJUM,"," LJUDEVITA POSAVSKOG 3,"," 10360 SESVETE,"," OIB: 685801282")</f>
        <v>BILIĆ-ERIĆ D.O.O., TRGOVAČKI CENTAR MILLENNIJUM, LJUDEVITA POSAVSKOG 3, 10360 SESVETE, OIB: 685801282</v>
      </c>
      <c r="H3679" s="4"/>
      <c r="I3679" s="1" t="s">
        <v>579</v>
      </c>
      <c r="J3679" s="5">
        <v>43630</v>
      </c>
      <c r="K3679" s="6" t="str">
        <f>"46.388,00"</f>
        <v>46.388,00</v>
      </c>
      <c r="L3679" s="6" t="str">
        <f>"11.597,00"</f>
        <v>11.597,00</v>
      </c>
      <c r="M3679" s="6" t="str">
        <f>"57.985,00"</f>
        <v>57.985,00</v>
      </c>
      <c r="N3679" s="5">
        <v>43629</v>
      </c>
      <c r="O3679" s="7"/>
      <c r="P3679" s="6" t="str">
        <f>"57.985,00"</f>
        <v>57.985,00</v>
      </c>
      <c r="Q3679" s="7"/>
      <c r="R3679" s="1"/>
      <c r="S3679" s="1" t="str">
        <f>"J-UN-2019-3772"</f>
        <v>J-UN-2019-3772</v>
      </c>
      <c r="T3679" s="2" t="s">
        <v>33</v>
      </c>
    </row>
    <row r="3680" spans="1:20" ht="25.5" x14ac:dyDescent="0.25">
      <c r="A3680" s="1">
        <v>3676</v>
      </c>
      <c r="B3680" s="1" t="str">
        <f>"2019-1826"</f>
        <v>2019-1826</v>
      </c>
      <c r="C3680" s="2" t="s">
        <v>2124</v>
      </c>
      <c r="D3680" s="1" t="s">
        <v>502</v>
      </c>
      <c r="E3680" s="3" t="str">
        <f>""</f>
        <v/>
      </c>
      <c r="F3680" s="2" t="s">
        <v>1323</v>
      </c>
      <c r="G3680" s="2" t="str">
        <f>CONCATENATE("ZIK D.O.O.,"," LJUDEVITA GAJA 17/III,"," 10000 ZAGREB,"," OIB: 74121470605")</f>
        <v>ZIK D.O.O., LJUDEVITA GAJA 17/III, 10000 ZAGREB, OIB: 74121470605</v>
      </c>
      <c r="H3680" s="4"/>
      <c r="I3680" s="1" t="s">
        <v>930</v>
      </c>
      <c r="J3680" s="5">
        <v>43640</v>
      </c>
      <c r="K3680" s="6" t="str">
        <f>"3.600,00"</f>
        <v>3.600,00</v>
      </c>
      <c r="L3680" s="6" t="str">
        <f>"900,00"</f>
        <v>900,00</v>
      </c>
      <c r="M3680" s="6" t="str">
        <f>"4.500,00"</f>
        <v>4.500,00</v>
      </c>
      <c r="N3680" s="1" t="s">
        <v>117</v>
      </c>
      <c r="O3680" s="7"/>
      <c r="P3680" s="6" t="str">
        <f>""</f>
        <v/>
      </c>
      <c r="Q3680" s="7"/>
      <c r="R3680" s="1"/>
      <c r="S3680" s="1" t="str">
        <f>"J-UN-2019-3773"</f>
        <v>J-UN-2019-3773</v>
      </c>
      <c r="T3680" s="2" t="s">
        <v>33</v>
      </c>
    </row>
    <row r="3681" spans="1:20" ht="25.5" x14ac:dyDescent="0.25">
      <c r="A3681" s="1">
        <v>3677</v>
      </c>
      <c r="B3681" s="1" t="str">
        <f>"2019-850"</f>
        <v>2019-850</v>
      </c>
      <c r="C3681" s="2" t="s">
        <v>2329</v>
      </c>
      <c r="D3681" s="1" t="s">
        <v>90</v>
      </c>
      <c r="E3681" s="3" t="str">
        <f>""</f>
        <v/>
      </c>
      <c r="F3681" s="2" t="s">
        <v>1323</v>
      </c>
      <c r="G3681" s="2" t="str">
        <f>CONCATENATE("O-K-TEH d.o.o.,"," VUČAK 16A,"," 10000 ZAGREB,"," OIB: 37322381288")</f>
        <v>O-K-TEH d.o.o., VUČAK 16A, 10000 ZAGREB, OIB: 37322381288</v>
      </c>
      <c r="H3681" s="4"/>
      <c r="I3681" s="1" t="s">
        <v>579</v>
      </c>
      <c r="J3681" s="5">
        <v>43630</v>
      </c>
      <c r="K3681" s="6" t="str">
        <f>"938,00"</f>
        <v>938,00</v>
      </c>
      <c r="L3681" s="6" t="str">
        <f>"234,50"</f>
        <v>234,50</v>
      </c>
      <c r="M3681" s="6" t="str">
        <f>"1.172,50"</f>
        <v>1.172,50</v>
      </c>
      <c r="N3681" s="5">
        <v>43637</v>
      </c>
      <c r="O3681" s="7"/>
      <c r="P3681" s="6" t="str">
        <f>"1.172,50"</f>
        <v>1.172,50</v>
      </c>
      <c r="Q3681" s="7"/>
      <c r="R3681" s="1"/>
      <c r="S3681" s="1" t="str">
        <f>"J-UN-2019-3774"</f>
        <v>J-UN-2019-3774</v>
      </c>
      <c r="T3681" s="2" t="s">
        <v>33</v>
      </c>
    </row>
    <row r="3682" spans="1:20" ht="38.25" x14ac:dyDescent="0.25">
      <c r="A3682" s="1">
        <v>3678</v>
      </c>
      <c r="B3682" s="1" t="str">
        <f>"2019-1089"</f>
        <v>2019-1089</v>
      </c>
      <c r="C3682" s="2" t="s">
        <v>2195</v>
      </c>
      <c r="D3682" s="1" t="s">
        <v>1154</v>
      </c>
      <c r="E3682" s="3" t="str">
        <f>""</f>
        <v/>
      </c>
      <c r="F3682" s="2" t="s">
        <v>1323</v>
      </c>
      <c r="G3682" s="2" t="str">
        <f>CONCATENATE("PRIMAT-LOGISTIKA D.O.O.,"," ZASTAVNICE 11,"," 10251 HRVATSKI LESKOVAC,"," OIB: 64645054565")</f>
        <v>PRIMAT-LOGISTIKA D.O.O., ZASTAVNICE 11, 10251 HRVATSKI LESKOVAC, OIB: 64645054565</v>
      </c>
      <c r="H3682" s="4"/>
      <c r="I3682" s="1" t="s">
        <v>930</v>
      </c>
      <c r="J3682" s="5">
        <v>43640</v>
      </c>
      <c r="K3682" s="6" t="str">
        <f>"4.401,00"</f>
        <v>4.401,00</v>
      </c>
      <c r="L3682" s="6" t="str">
        <f>"1.100,25"</f>
        <v>1.100,25</v>
      </c>
      <c r="M3682" s="6" t="str">
        <f>"5.501,25"</f>
        <v>5.501,25</v>
      </c>
      <c r="N3682" s="5">
        <v>43649</v>
      </c>
      <c r="O3682" s="7"/>
      <c r="P3682" s="6" t="str">
        <f>"5.501,25"</f>
        <v>5.501,25</v>
      </c>
      <c r="Q3682" s="7"/>
      <c r="R3682" s="1"/>
      <c r="S3682" s="1" t="str">
        <f>"J-UN-2019-3775"</f>
        <v>J-UN-2019-3775</v>
      </c>
      <c r="T3682" s="2" t="s">
        <v>33</v>
      </c>
    </row>
    <row r="3683" spans="1:20" ht="38.25" x14ac:dyDescent="0.25">
      <c r="A3683" s="1">
        <v>3679</v>
      </c>
      <c r="B3683" s="1" t="str">
        <f>"2019-899"</f>
        <v>2019-899</v>
      </c>
      <c r="C3683" s="2" t="s">
        <v>2311</v>
      </c>
      <c r="D3683" s="1" t="s">
        <v>795</v>
      </c>
      <c r="E3683" s="3" t="str">
        <f>""</f>
        <v/>
      </c>
      <c r="F3683" s="2" t="s">
        <v>1323</v>
      </c>
      <c r="G3683" s="2" t="str">
        <f>CONCATENATE("ELEKTRO-KOMUNIKACIJE D.O.O.,"," 14. PODBREŽJE 4,"," 10000 ZAGREB,"," OIB: 76412373309")</f>
        <v>ELEKTRO-KOMUNIKACIJE D.O.O., 14. PODBREŽJE 4, 10000 ZAGREB, OIB: 76412373309</v>
      </c>
      <c r="H3683" s="4"/>
      <c r="I3683" s="1" t="s">
        <v>930</v>
      </c>
      <c r="J3683" s="5">
        <v>43640</v>
      </c>
      <c r="K3683" s="6" t="str">
        <f>"5.982,80"</f>
        <v>5.982,80</v>
      </c>
      <c r="L3683" s="6" t="str">
        <f>"1.495,70"</f>
        <v>1.495,70</v>
      </c>
      <c r="M3683" s="6" t="str">
        <f>"7.478,50"</f>
        <v>7.478,50</v>
      </c>
      <c r="N3683" s="5">
        <v>43683</v>
      </c>
      <c r="O3683" s="7"/>
      <c r="P3683" s="6" t="str">
        <f>"7.403,50"</f>
        <v>7.403,50</v>
      </c>
      <c r="Q3683" s="7"/>
      <c r="R3683" s="1"/>
      <c r="S3683" s="1" t="str">
        <f>"J-UN-2019-3776"</f>
        <v>J-UN-2019-3776</v>
      </c>
      <c r="T3683" s="2" t="s">
        <v>33</v>
      </c>
    </row>
    <row r="3684" spans="1:20" ht="38.25" x14ac:dyDescent="0.25">
      <c r="A3684" s="1">
        <v>3680</v>
      </c>
      <c r="B3684" s="1" t="str">
        <f>"2019-1918"</f>
        <v>2019-1918</v>
      </c>
      <c r="C3684" s="2" t="s">
        <v>2355</v>
      </c>
      <c r="D3684" s="1" t="s">
        <v>2356</v>
      </c>
      <c r="E3684" s="3" t="str">
        <f>""</f>
        <v/>
      </c>
      <c r="F3684" s="2" t="s">
        <v>1323</v>
      </c>
      <c r="G3684" s="2" t="str">
        <f>CONCATENATE("ELEKTRO-KOMUNIKACIJE D.O.O.,"," 14. PODBREŽJE 4,"," 10000 ZAGREB,"," OIB: 76412373309")</f>
        <v>ELEKTRO-KOMUNIKACIJE D.O.O., 14. PODBREŽJE 4, 10000 ZAGREB, OIB: 76412373309</v>
      </c>
      <c r="H3684" s="4"/>
      <c r="I3684" s="1" t="s">
        <v>930</v>
      </c>
      <c r="J3684" s="5">
        <v>43640</v>
      </c>
      <c r="K3684" s="6" t="str">
        <f>"2.129,50"</f>
        <v>2.129,50</v>
      </c>
      <c r="L3684" s="6" t="str">
        <f>"532,38"</f>
        <v>532,38</v>
      </c>
      <c r="M3684" s="6" t="str">
        <f>"2.661,88"</f>
        <v>2.661,88</v>
      </c>
      <c r="N3684" s="5">
        <v>43683</v>
      </c>
      <c r="O3684" s="7"/>
      <c r="P3684" s="6" t="str">
        <f>"2.549,38"</f>
        <v>2.549,38</v>
      </c>
      <c r="Q3684" s="7"/>
      <c r="R3684" s="1"/>
      <c r="S3684" s="1" t="str">
        <f>"J-UN-2019-3777"</f>
        <v>J-UN-2019-3777</v>
      </c>
      <c r="T3684" s="2" t="s">
        <v>33</v>
      </c>
    </row>
    <row r="3685" spans="1:20" ht="25.5" x14ac:dyDescent="0.25">
      <c r="A3685" s="1">
        <v>3681</v>
      </c>
      <c r="B3685" s="1" t="str">
        <f>"2019-513"</f>
        <v>2019-513</v>
      </c>
      <c r="C3685" s="2" t="s">
        <v>2230</v>
      </c>
      <c r="D3685" s="1" t="s">
        <v>2231</v>
      </c>
      <c r="E3685" s="3" t="str">
        <f>""</f>
        <v/>
      </c>
      <c r="F3685" s="2" t="s">
        <v>1323</v>
      </c>
      <c r="G3685" s="2" t="str">
        <f>CONCATENATE("LEXPERA D.O.O.,"," TUŠKANOVA 37,"," 10000 ZAGREB,"," OIB: 79506290597")</f>
        <v>LEXPERA D.O.O., TUŠKANOVA 37, 10000 ZAGREB, OIB: 79506290597</v>
      </c>
      <c r="H3685" s="4"/>
      <c r="I3685" s="1" t="s">
        <v>579</v>
      </c>
      <c r="J3685" s="5">
        <v>43630</v>
      </c>
      <c r="K3685" s="6" t="str">
        <f>"3.312,00"</f>
        <v>3.312,00</v>
      </c>
      <c r="L3685" s="6" t="str">
        <f>"828,00"</f>
        <v>828,00</v>
      </c>
      <c r="M3685" s="6" t="str">
        <f>"4.140,00"</f>
        <v>4.140,00</v>
      </c>
      <c r="N3685" s="5">
        <v>43646</v>
      </c>
      <c r="O3685" s="7"/>
      <c r="P3685" s="6" t="str">
        <f>"4.140,00"</f>
        <v>4.140,00</v>
      </c>
      <c r="Q3685" s="7"/>
      <c r="R3685" s="1"/>
      <c r="S3685" s="1" t="str">
        <f>"J-UN-2019-3778"</f>
        <v>J-UN-2019-3778</v>
      </c>
      <c r="T3685" s="2" t="s">
        <v>33</v>
      </c>
    </row>
    <row r="3686" spans="1:20" ht="38.25" x14ac:dyDescent="0.25">
      <c r="A3686" s="1">
        <v>3682</v>
      </c>
      <c r="B3686" s="1" t="str">
        <f>"2019-1993"</f>
        <v>2019-1993</v>
      </c>
      <c r="C3686" s="2" t="s">
        <v>2257</v>
      </c>
      <c r="D3686" s="1" t="s">
        <v>2258</v>
      </c>
      <c r="E3686" s="3" t="str">
        <f>""</f>
        <v/>
      </c>
      <c r="F3686" s="2" t="s">
        <v>1323</v>
      </c>
      <c r="G3686" s="2" t="str">
        <f>CONCATENATE("ELEKTRO-KOMUNIKACIJE D.O.O.,"," 14. PODBREŽJE 4,"," 10000 ZAGREB,"," OIB: 76412373309")</f>
        <v>ELEKTRO-KOMUNIKACIJE D.O.O., 14. PODBREŽJE 4, 10000 ZAGREB, OIB: 76412373309</v>
      </c>
      <c r="H3686" s="4"/>
      <c r="I3686" s="1" t="s">
        <v>440</v>
      </c>
      <c r="J3686" s="5">
        <v>43637</v>
      </c>
      <c r="K3686" s="6" t="str">
        <f>"370,00"</f>
        <v>370,00</v>
      </c>
      <c r="L3686" s="6" t="str">
        <f>"92,50"</f>
        <v>92,50</v>
      </c>
      <c r="M3686" s="6" t="str">
        <f>"462,50"</f>
        <v>462,50</v>
      </c>
      <c r="N3686" s="5">
        <v>43648</v>
      </c>
      <c r="O3686" s="7"/>
      <c r="P3686" s="6" t="str">
        <f>"462,50"</f>
        <v>462,50</v>
      </c>
      <c r="Q3686" s="7"/>
      <c r="R3686" s="1"/>
      <c r="S3686" s="1" t="str">
        <f>"J-UN-2019-3780"</f>
        <v>J-UN-2019-3780</v>
      </c>
      <c r="T3686" s="2" t="s">
        <v>33</v>
      </c>
    </row>
    <row r="3687" spans="1:20" ht="25.5" x14ac:dyDescent="0.25">
      <c r="A3687" s="1">
        <v>3683</v>
      </c>
      <c r="B3687" s="1" t="str">
        <f>"2019-850"</f>
        <v>2019-850</v>
      </c>
      <c r="C3687" s="2" t="s">
        <v>2329</v>
      </c>
      <c r="D3687" s="1" t="s">
        <v>90</v>
      </c>
      <c r="E3687" s="3" t="str">
        <f>""</f>
        <v/>
      </c>
      <c r="F3687" s="2" t="s">
        <v>1323</v>
      </c>
      <c r="G3687" s="2" t="str">
        <f>CONCATENATE("AUTO ARBANAS D.O.O.,"," SISAČKA 45,"," 10410 VELIKA GORICA,"," OIB: 98352441242")</f>
        <v>AUTO ARBANAS D.O.O., SISAČKA 45, 10410 VELIKA GORICA, OIB: 98352441242</v>
      </c>
      <c r="H3687" s="4"/>
      <c r="I3687" s="1" t="s">
        <v>579</v>
      </c>
      <c r="J3687" s="5">
        <v>43630</v>
      </c>
      <c r="K3687" s="6" t="str">
        <f>"2.657,92"</f>
        <v>2.657,92</v>
      </c>
      <c r="L3687" s="6" t="str">
        <f>"664,48"</f>
        <v>664,48</v>
      </c>
      <c r="M3687" s="6" t="str">
        <f>"3.322,40"</f>
        <v>3.322,40</v>
      </c>
      <c r="N3687" s="1" t="s">
        <v>117</v>
      </c>
      <c r="O3687" s="7"/>
      <c r="P3687" s="6" t="str">
        <f>""</f>
        <v/>
      </c>
      <c r="Q3687" s="7"/>
      <c r="R3687" s="1"/>
      <c r="S3687" s="1" t="str">
        <f>"J-UN-2019-3781"</f>
        <v>J-UN-2019-3781</v>
      </c>
      <c r="T3687" s="2" t="s">
        <v>33</v>
      </c>
    </row>
    <row r="3688" spans="1:20" ht="25.5" x14ac:dyDescent="0.25">
      <c r="A3688" s="1">
        <v>3684</v>
      </c>
      <c r="B3688" s="1" t="str">
        <f>"2019-2313"</f>
        <v>2019-2313</v>
      </c>
      <c r="C3688" s="2" t="s">
        <v>2357</v>
      </c>
      <c r="D3688" s="1" t="s">
        <v>1500</v>
      </c>
      <c r="E3688" s="3" t="str">
        <f>""</f>
        <v/>
      </c>
      <c r="F3688" s="2" t="s">
        <v>1323</v>
      </c>
      <c r="G3688" s="2" t="str">
        <f>CONCATENATE("TENA-G D.O.O.,"," KOSTELGRADSKA 11,"," 49218 PREGRADA,"," OIB: 68171222068")</f>
        <v>TENA-G D.O.O., KOSTELGRADSKA 11, 49218 PREGRADA, OIB: 68171222068</v>
      </c>
      <c r="H3688" s="4"/>
      <c r="I3688" s="1" t="s">
        <v>579</v>
      </c>
      <c r="J3688" s="5">
        <v>43630</v>
      </c>
      <c r="K3688" s="6" t="str">
        <f>"180,99"</f>
        <v>180,99</v>
      </c>
      <c r="L3688" s="6" t="str">
        <f>"45,25"</f>
        <v>45,25</v>
      </c>
      <c r="M3688" s="6" t="str">
        <f>"226,24"</f>
        <v>226,24</v>
      </c>
      <c r="N3688" s="1" t="s">
        <v>117</v>
      </c>
      <c r="O3688" s="7"/>
      <c r="P3688" s="6" t="str">
        <f>""</f>
        <v/>
      </c>
      <c r="Q3688" s="7"/>
      <c r="R3688" s="1"/>
      <c r="S3688" s="1" t="str">
        <f>"J-UN-2019-3783"</f>
        <v>J-UN-2019-3783</v>
      </c>
      <c r="T3688" s="2" t="s">
        <v>33</v>
      </c>
    </row>
    <row r="3689" spans="1:20" ht="25.5" x14ac:dyDescent="0.25">
      <c r="A3689" s="1">
        <v>3685</v>
      </c>
      <c r="B3689" s="1" t="str">
        <f>"2019-2228"</f>
        <v>2019-2228</v>
      </c>
      <c r="C3689" s="2" t="s">
        <v>2358</v>
      </c>
      <c r="D3689" s="1" t="s">
        <v>795</v>
      </c>
      <c r="E3689" s="3" t="str">
        <f>""</f>
        <v/>
      </c>
      <c r="F3689" s="2" t="s">
        <v>1323</v>
      </c>
      <c r="G3689" s="2" t="str">
        <f>CONCATENATE("COMET D.O.O.,"," VARAŽDINSKA 40/C,"," 42220 NOVI MAROF,"," OIB: 48249084626")</f>
        <v>COMET D.O.O., VARAŽDINSKA 40/C, 42220 NOVI MAROF, OIB: 48249084626</v>
      </c>
      <c r="H3689" s="4"/>
      <c r="I3689" s="1" t="s">
        <v>930</v>
      </c>
      <c r="J3689" s="5">
        <v>43640</v>
      </c>
      <c r="K3689" s="6" t="str">
        <f>"1.770,00"</f>
        <v>1.770,00</v>
      </c>
      <c r="L3689" s="6" t="str">
        <f>"442,50"</f>
        <v>442,50</v>
      </c>
      <c r="M3689" s="6" t="str">
        <f>"2.212,50"</f>
        <v>2.212,50</v>
      </c>
      <c r="N3689" s="5">
        <v>43643</v>
      </c>
      <c r="O3689" s="7"/>
      <c r="P3689" s="6" t="str">
        <f>"2.212,50"</f>
        <v>2.212,50</v>
      </c>
      <c r="Q3689" s="7"/>
      <c r="R3689" s="1"/>
      <c r="S3689" s="1" t="str">
        <f>"J-UN-2019-3787"</f>
        <v>J-UN-2019-3787</v>
      </c>
      <c r="T3689" s="2" t="s">
        <v>33</v>
      </c>
    </row>
    <row r="3690" spans="1:20" ht="25.5" x14ac:dyDescent="0.25">
      <c r="A3690" s="1">
        <v>3686</v>
      </c>
      <c r="B3690" s="1" t="str">
        <f>"2019-2208"</f>
        <v>2019-2208</v>
      </c>
      <c r="C3690" s="2" t="s">
        <v>2346</v>
      </c>
      <c r="D3690" s="1" t="s">
        <v>192</v>
      </c>
      <c r="E3690" s="3" t="str">
        <f>""</f>
        <v/>
      </c>
      <c r="F3690" s="2" t="s">
        <v>1323</v>
      </c>
      <c r="G3690" s="2" t="str">
        <f>CONCATENATE("NIACO D.O.O.,"," IVANA KAMENARIĆA 9,"," 10380 SVETI IVAN ZELINA,"," OIB: 61876916009")</f>
        <v>NIACO D.O.O., IVANA KAMENARIĆA 9, 10380 SVETI IVAN ZELINA, OIB: 61876916009</v>
      </c>
      <c r="H3690" s="4"/>
      <c r="I3690" s="1" t="s">
        <v>930</v>
      </c>
      <c r="J3690" s="5">
        <v>43640</v>
      </c>
      <c r="K3690" s="6" t="str">
        <f>"1.710,00"</f>
        <v>1.710,00</v>
      </c>
      <c r="L3690" s="6" t="str">
        <f>"427,50"</f>
        <v>427,50</v>
      </c>
      <c r="M3690" s="6" t="str">
        <f>"2.137,50"</f>
        <v>2.137,50</v>
      </c>
      <c r="N3690" s="5">
        <v>43655</v>
      </c>
      <c r="O3690" s="7"/>
      <c r="P3690" s="6" t="str">
        <f>"2.137,50"</f>
        <v>2.137,50</v>
      </c>
      <c r="Q3690" s="7"/>
      <c r="R3690" s="1"/>
      <c r="S3690" s="1" t="str">
        <f>"J-UN-2019-3788"</f>
        <v>J-UN-2019-3788</v>
      </c>
      <c r="T3690" s="2" t="s">
        <v>33</v>
      </c>
    </row>
    <row r="3691" spans="1:20" ht="25.5" x14ac:dyDescent="0.25">
      <c r="A3691" s="1">
        <v>3687</v>
      </c>
      <c r="B3691" s="1" t="str">
        <f>"2019-2208"</f>
        <v>2019-2208</v>
      </c>
      <c r="C3691" s="2" t="s">
        <v>2346</v>
      </c>
      <c r="D3691" s="1" t="s">
        <v>192</v>
      </c>
      <c r="E3691" s="3" t="str">
        <f>""</f>
        <v/>
      </c>
      <c r="F3691" s="2" t="s">
        <v>1323</v>
      </c>
      <c r="G3691" s="2" t="str">
        <f>CONCATENATE("L.-RING D.O.O.,"," DOBRIŠE CESARIĆA 14,"," 10000 ZAGREB,"," OIB: 6911525968")</f>
        <v>L.-RING D.O.O., DOBRIŠE CESARIĆA 14, 10000 ZAGREB, OIB: 6911525968</v>
      </c>
      <c r="H3691" s="4"/>
      <c r="I3691" s="1" t="s">
        <v>930</v>
      </c>
      <c r="J3691" s="5">
        <v>43640</v>
      </c>
      <c r="K3691" s="6" t="str">
        <f>"1.590,00"</f>
        <v>1.590,00</v>
      </c>
      <c r="L3691" s="6" t="str">
        <f>"397,50"</f>
        <v>397,50</v>
      </c>
      <c r="M3691" s="6" t="str">
        <f>"1.987,50"</f>
        <v>1.987,50</v>
      </c>
      <c r="N3691" s="5">
        <v>43649</v>
      </c>
      <c r="O3691" s="7"/>
      <c r="P3691" s="6" t="str">
        <f>"1.987,50"</f>
        <v>1.987,50</v>
      </c>
      <c r="Q3691" s="7"/>
      <c r="R3691" s="1"/>
      <c r="S3691" s="1" t="str">
        <f>"J-UN-2019-3789"</f>
        <v>J-UN-2019-3789</v>
      </c>
      <c r="T3691" s="2" t="s">
        <v>33</v>
      </c>
    </row>
    <row r="3692" spans="1:20" ht="25.5" x14ac:dyDescent="0.25">
      <c r="A3692" s="1">
        <v>3688</v>
      </c>
      <c r="B3692" s="1" t="str">
        <f>"2019-2274"</f>
        <v>2019-2274</v>
      </c>
      <c r="C3692" s="2" t="s">
        <v>2290</v>
      </c>
      <c r="D3692" s="1" t="s">
        <v>2291</v>
      </c>
      <c r="E3692" s="3" t="str">
        <f>""</f>
        <v/>
      </c>
      <c r="F3692" s="2" t="s">
        <v>1323</v>
      </c>
      <c r="G3692" s="2" t="str">
        <f>CONCATENATE("TOMIDO D. O. O.,"," J. IVANČIĆA 21,"," 52100 PULA,"," OIB: 8125202967")</f>
        <v>TOMIDO D. O. O., J. IVANČIĆA 21, 52100 PULA, OIB: 8125202967</v>
      </c>
      <c r="H3692" s="4"/>
      <c r="I3692" s="1" t="s">
        <v>424</v>
      </c>
      <c r="J3692" s="5">
        <v>43633</v>
      </c>
      <c r="K3692" s="6" t="str">
        <f>"1.290,00"</f>
        <v>1.290,00</v>
      </c>
      <c r="L3692" s="6" t="str">
        <f>"322,50"</f>
        <v>322,50</v>
      </c>
      <c r="M3692" s="6" t="str">
        <f>"1.612,50"</f>
        <v>1.612,50</v>
      </c>
      <c r="N3692" s="5">
        <v>43648</v>
      </c>
      <c r="O3692" s="7"/>
      <c r="P3692" s="6" t="str">
        <f>"1.612,50"</f>
        <v>1.612,50</v>
      </c>
      <c r="Q3692" s="7"/>
      <c r="R3692" s="1"/>
      <c r="S3692" s="1" t="str">
        <f>"J-UN-2019-3790"</f>
        <v>J-UN-2019-3790</v>
      </c>
      <c r="T3692" s="2" t="s">
        <v>33</v>
      </c>
    </row>
    <row r="3693" spans="1:20" ht="25.5" x14ac:dyDescent="0.25">
      <c r="A3693" s="1">
        <v>3689</v>
      </c>
      <c r="B3693" s="1" t="str">
        <f>"2019-785"</f>
        <v>2019-785</v>
      </c>
      <c r="C3693" s="2" t="s">
        <v>2186</v>
      </c>
      <c r="D3693" s="1" t="s">
        <v>1048</v>
      </c>
      <c r="E3693" s="3" t="str">
        <f>""</f>
        <v/>
      </c>
      <c r="F3693" s="2" t="s">
        <v>1323</v>
      </c>
      <c r="G3693" s="2" t="str">
        <f>CONCATENATE("MAN-EKO D.O.O.,"," BRAĆE CVIJIĆA 17,"," 10000 ZAGREB,"," OIB: 708190967")</f>
        <v>MAN-EKO D.O.O., BRAĆE CVIJIĆA 17, 10000 ZAGREB, OIB: 708190967</v>
      </c>
      <c r="H3693" s="4"/>
      <c r="I3693" s="1" t="s">
        <v>396</v>
      </c>
      <c r="J3693" s="5">
        <v>43642</v>
      </c>
      <c r="K3693" s="6" t="str">
        <f>"1.950,00"</f>
        <v>1.950,00</v>
      </c>
      <c r="L3693" s="6" t="str">
        <f>"487,50"</f>
        <v>487,50</v>
      </c>
      <c r="M3693" s="6" t="str">
        <f>"2.437,50"</f>
        <v>2.437,50</v>
      </c>
      <c r="N3693" s="5">
        <v>43644</v>
      </c>
      <c r="O3693" s="7"/>
      <c r="P3693" s="6" t="str">
        <f>"2.437,50"</f>
        <v>2.437,50</v>
      </c>
      <c r="Q3693" s="7"/>
      <c r="R3693" s="1"/>
      <c r="S3693" s="1" t="str">
        <f>"J-UN-2019-3794"</f>
        <v>J-UN-2019-3794</v>
      </c>
      <c r="T3693" s="2" t="s">
        <v>33</v>
      </c>
    </row>
    <row r="3694" spans="1:20" ht="25.5" x14ac:dyDescent="0.25">
      <c r="A3694" s="1">
        <v>3690</v>
      </c>
      <c r="B3694" s="1" t="str">
        <f>"2019-177"</f>
        <v>2019-177</v>
      </c>
      <c r="C3694" s="2" t="s">
        <v>2241</v>
      </c>
      <c r="D3694" s="1" t="s">
        <v>1419</v>
      </c>
      <c r="E3694" s="3" t="str">
        <f>""</f>
        <v/>
      </c>
      <c r="F3694" s="2" t="s">
        <v>1323</v>
      </c>
      <c r="G3694" s="2" t="str">
        <f>CONCATENATE("PURIĆ D.O.O.,"," ANDRIJE HEBRANGA 54,"," 10430 SAMOBOR,"," OIB: 56717147376")</f>
        <v>PURIĆ D.O.O., ANDRIJE HEBRANGA 54, 10430 SAMOBOR, OIB: 56717147376</v>
      </c>
      <c r="H3694" s="4"/>
      <c r="I3694" s="1" t="s">
        <v>396</v>
      </c>
      <c r="J3694" s="5">
        <v>43642</v>
      </c>
      <c r="K3694" s="6" t="str">
        <f>"15.628,65"</f>
        <v>15.628,65</v>
      </c>
      <c r="L3694" s="6" t="str">
        <f>"3.907,16"</f>
        <v>3.907,16</v>
      </c>
      <c r="M3694" s="6" t="str">
        <f>"19.535,81"</f>
        <v>19.535,81</v>
      </c>
      <c r="N3694" s="5">
        <v>43649</v>
      </c>
      <c r="O3694" s="7"/>
      <c r="P3694" s="6" t="str">
        <f>"19.535,81"</f>
        <v>19.535,81</v>
      </c>
      <c r="Q3694" s="7"/>
      <c r="R3694" s="1"/>
      <c r="S3694" s="1" t="str">
        <f>"J-UN-2019-3795"</f>
        <v>J-UN-2019-3795</v>
      </c>
      <c r="T3694" s="2" t="s">
        <v>33</v>
      </c>
    </row>
    <row r="3695" spans="1:20" x14ac:dyDescent="0.25">
      <c r="A3695" s="1">
        <v>3691</v>
      </c>
      <c r="B3695" s="1" t="str">
        <f>"2019-572"</f>
        <v>2019-572</v>
      </c>
      <c r="C3695" s="2" t="s">
        <v>2239</v>
      </c>
      <c r="D3695" s="1" t="s">
        <v>823</v>
      </c>
      <c r="E3695" s="3" t="str">
        <f>""</f>
        <v/>
      </c>
      <c r="F3695" s="2" t="s">
        <v>1323</v>
      </c>
      <c r="G3695" s="2" t="str">
        <f>CONCATENATE("NARODNE NOVINE D.D.,"," OIB: 64546066176")</f>
        <v>NARODNE NOVINE D.D., OIB: 64546066176</v>
      </c>
      <c r="H3695" s="4"/>
      <c r="I3695" s="1" t="s">
        <v>396</v>
      </c>
      <c r="J3695" s="5">
        <v>43642</v>
      </c>
      <c r="K3695" s="6" t="str">
        <f>"912,00"</f>
        <v>912,00</v>
      </c>
      <c r="L3695" s="6" t="str">
        <f>"228,00"</f>
        <v>228,00</v>
      </c>
      <c r="M3695" s="6" t="str">
        <f>"1.140,00"</f>
        <v>1.140,00</v>
      </c>
      <c r="N3695" s="5">
        <v>43677</v>
      </c>
      <c r="O3695" s="7"/>
      <c r="P3695" s="6" t="str">
        <f>"1.140,00"</f>
        <v>1.140,00</v>
      </c>
      <c r="Q3695" s="7"/>
      <c r="R3695" s="1"/>
      <c r="S3695" s="1" t="str">
        <f>"J-UN-2019-3797"</f>
        <v>J-UN-2019-3797</v>
      </c>
      <c r="T3695" s="2" t="s">
        <v>33</v>
      </c>
    </row>
    <row r="3696" spans="1:20" ht="38.25" x14ac:dyDescent="0.25">
      <c r="A3696" s="1">
        <v>3692</v>
      </c>
      <c r="B3696" s="1" t="str">
        <f>"2019-358"</f>
        <v>2019-358</v>
      </c>
      <c r="C3696" s="2" t="s">
        <v>2275</v>
      </c>
      <c r="D3696" s="1" t="s">
        <v>2276</v>
      </c>
      <c r="E3696" s="3" t="str">
        <f>""</f>
        <v/>
      </c>
      <c r="F3696" s="2" t="s">
        <v>1323</v>
      </c>
      <c r="G3696" s="2" t="str">
        <f>CONCATENATE("GRADSKA LJEKARNA ZAGREB,"," KRALJA DRŽISLAVA 6,"," 10000 ZAGREB,"," OIB: 37268254106")</f>
        <v>GRADSKA LJEKARNA ZAGREB, KRALJA DRŽISLAVA 6, 10000 ZAGREB, OIB: 37268254106</v>
      </c>
      <c r="H3696" s="4"/>
      <c r="I3696" s="1" t="s">
        <v>638</v>
      </c>
      <c r="J3696" s="5">
        <v>43643</v>
      </c>
      <c r="K3696" s="6" t="str">
        <f>"566,43"</f>
        <v>566,43</v>
      </c>
      <c r="L3696" s="6" t="str">
        <f>"141,61"</f>
        <v>141,61</v>
      </c>
      <c r="M3696" s="6" t="str">
        <f>"708,04"</f>
        <v>708,04</v>
      </c>
      <c r="N3696" s="5">
        <v>43648</v>
      </c>
      <c r="O3696" s="7"/>
      <c r="P3696" s="6" t="str">
        <f>"708,04"</f>
        <v>708,04</v>
      </c>
      <c r="Q3696" s="7"/>
      <c r="R3696" s="1"/>
      <c r="S3696" s="1" t="str">
        <f>"J-UN-2019-3798"</f>
        <v>J-UN-2019-3798</v>
      </c>
      <c r="T3696" s="2" t="s">
        <v>33</v>
      </c>
    </row>
    <row r="3697" spans="1:20" ht="25.5" x14ac:dyDescent="0.25">
      <c r="A3697" s="1">
        <v>3693</v>
      </c>
      <c r="B3697" s="1" t="str">
        <f>"2019-949"</f>
        <v>2019-949</v>
      </c>
      <c r="C3697" s="2" t="s">
        <v>2314</v>
      </c>
      <c r="D3697" s="1" t="s">
        <v>2315</v>
      </c>
      <c r="E3697" s="3" t="str">
        <f>""</f>
        <v/>
      </c>
      <c r="F3697" s="2" t="s">
        <v>1323</v>
      </c>
      <c r="G3697" s="2" t="str">
        <f>CONCATENATE("ZIRS UČILIŠTE,"," ULICA GRADA VUKOVARA 68,"," 10000 ZAGREB,"," OIB: 22228764473")</f>
        <v>ZIRS UČILIŠTE, ULICA GRADA VUKOVARA 68, 10000 ZAGREB, OIB: 22228764473</v>
      </c>
      <c r="H3697" s="4"/>
      <c r="I3697" s="1" t="s">
        <v>638</v>
      </c>
      <c r="J3697" s="5">
        <v>43643</v>
      </c>
      <c r="K3697" s="6" t="str">
        <f>"8.990,00"</f>
        <v>8.990,00</v>
      </c>
      <c r="L3697" s="6" t="str">
        <f>"2.247,50"</f>
        <v>2.247,50</v>
      </c>
      <c r="M3697" s="6" t="str">
        <f>"11.237,50"</f>
        <v>11.237,50</v>
      </c>
      <c r="N3697" s="1" t="s">
        <v>117</v>
      </c>
      <c r="O3697" s="7"/>
      <c r="P3697" s="6" t="str">
        <f>""</f>
        <v/>
      </c>
      <c r="Q3697" s="7"/>
      <c r="R3697" s="1"/>
      <c r="S3697" s="1" t="str">
        <f>"J-UN-2019-3799"</f>
        <v>J-UN-2019-3799</v>
      </c>
      <c r="T3697" s="2" t="s">
        <v>33</v>
      </c>
    </row>
    <row r="3698" spans="1:20" ht="25.5" x14ac:dyDescent="0.25">
      <c r="A3698" s="1">
        <v>3694</v>
      </c>
      <c r="B3698" s="1" t="str">
        <f>"2019-2235"</f>
        <v>2019-2235</v>
      </c>
      <c r="C3698" s="2" t="s">
        <v>2359</v>
      </c>
      <c r="D3698" s="1" t="s">
        <v>2360</v>
      </c>
      <c r="E3698" s="3" t="str">
        <f>""</f>
        <v/>
      </c>
      <c r="F3698" s="2" t="s">
        <v>1323</v>
      </c>
      <c r="G3698" s="2" t="str">
        <f>CONCATENATE("SVRDLO D.O.O.,"," ŠKOLSKA ULICA 10,"," 10370 DUGO SELO,"," OIB: 36535565458")</f>
        <v>SVRDLO D.O.O., ŠKOLSKA ULICA 10, 10370 DUGO SELO, OIB: 36535565458</v>
      </c>
      <c r="H3698" s="4"/>
      <c r="I3698" s="1" t="s">
        <v>930</v>
      </c>
      <c r="J3698" s="5">
        <v>43640</v>
      </c>
      <c r="K3698" s="6" t="str">
        <f>"6.500,00"</f>
        <v>6.500,00</v>
      </c>
      <c r="L3698" s="6" t="str">
        <f>"1.625,00"</f>
        <v>1.625,00</v>
      </c>
      <c r="M3698" s="6" t="str">
        <f>"8.125,00"</f>
        <v>8.125,00</v>
      </c>
      <c r="N3698" s="5">
        <v>43665</v>
      </c>
      <c r="O3698" s="7"/>
      <c r="P3698" s="6" t="str">
        <f>"8.125,00"</f>
        <v>8.125,00</v>
      </c>
      <c r="Q3698" s="7"/>
      <c r="R3698" s="1"/>
      <c r="S3698" s="1" t="str">
        <f>"J-UN-2019-3801"</f>
        <v>J-UN-2019-3801</v>
      </c>
      <c r="T3698" s="2" t="s">
        <v>33</v>
      </c>
    </row>
    <row r="3699" spans="1:20" ht="38.25" x14ac:dyDescent="0.25">
      <c r="A3699" s="1">
        <v>3695</v>
      </c>
      <c r="B3699" s="1" t="str">
        <f>"2019-2263"</f>
        <v>2019-2263</v>
      </c>
      <c r="C3699" s="2" t="s">
        <v>2361</v>
      </c>
      <c r="D3699" s="1" t="s">
        <v>2362</v>
      </c>
      <c r="E3699" s="3" t="str">
        <f>""</f>
        <v/>
      </c>
      <c r="F3699" s="2" t="s">
        <v>1323</v>
      </c>
      <c r="G3699" s="2" t="str">
        <f>CONCATENATE("EFEKTIVNI MIKROORGANIZMI ORIGINALNA TEHNOLOGIJA RIJEKA D.O.O.,"," F. ČANDEKA 33,"," 51000 RIJEKA,"," OIB: 5176600402")</f>
        <v>EFEKTIVNI MIKROORGANIZMI ORIGINALNA TEHNOLOGIJA RIJEKA D.O.O., F. ČANDEKA 33, 51000 RIJEKA, OIB: 5176600402</v>
      </c>
      <c r="H3699" s="4"/>
      <c r="I3699" s="1" t="s">
        <v>403</v>
      </c>
      <c r="J3699" s="5">
        <v>43644</v>
      </c>
      <c r="K3699" s="6" t="str">
        <f>"27.000,00"</f>
        <v>27.000,00</v>
      </c>
      <c r="L3699" s="6" t="str">
        <f>"6.750,00"</f>
        <v>6.750,00</v>
      </c>
      <c r="M3699" s="6" t="str">
        <f>"33.750,00"</f>
        <v>33.750,00</v>
      </c>
      <c r="N3699" s="5">
        <v>43706</v>
      </c>
      <c r="O3699" s="7"/>
      <c r="P3699" s="6" t="str">
        <f>"25.000,00"</f>
        <v>25.000,00</v>
      </c>
      <c r="Q3699" s="7"/>
      <c r="R3699" s="1"/>
      <c r="S3699" s="1" t="str">
        <f>"J-UN-2019-3802"</f>
        <v>J-UN-2019-3802</v>
      </c>
      <c r="T3699" s="2" t="s">
        <v>33</v>
      </c>
    </row>
    <row r="3700" spans="1:20" ht="25.5" x14ac:dyDescent="0.25">
      <c r="A3700" s="1">
        <v>3696</v>
      </c>
      <c r="B3700" s="1" t="str">
        <f>"2019-1918"</f>
        <v>2019-1918</v>
      </c>
      <c r="C3700" s="2" t="s">
        <v>2355</v>
      </c>
      <c r="D3700" s="1" t="s">
        <v>2356</v>
      </c>
      <c r="E3700" s="3" t="str">
        <f>""</f>
        <v/>
      </c>
      <c r="F3700" s="2" t="s">
        <v>1323</v>
      </c>
      <c r="G3700" s="2" t="str">
        <f>CONCATENATE("TOPTEHNIKA J.D.O.O.,"," PILINKA 51A,"," 10251 HRVATSKI LESKOVAC,"," OIB: 40215607334")</f>
        <v>TOPTEHNIKA J.D.O.O., PILINKA 51A, 10251 HRVATSKI LESKOVAC, OIB: 40215607334</v>
      </c>
      <c r="H3700" s="4"/>
      <c r="I3700" s="1" t="s">
        <v>424</v>
      </c>
      <c r="J3700" s="5">
        <v>43633</v>
      </c>
      <c r="K3700" s="6" t="str">
        <f>"2.979,70"</f>
        <v>2.979,70</v>
      </c>
      <c r="L3700" s="6" t="str">
        <f>"744,93"</f>
        <v>744,93</v>
      </c>
      <c r="M3700" s="6" t="str">
        <f>"3.724,63"</f>
        <v>3.724,63</v>
      </c>
      <c r="N3700" s="5">
        <v>43642</v>
      </c>
      <c r="O3700" s="7"/>
      <c r="P3700" s="6" t="str">
        <f>"3.724,62"</f>
        <v>3.724,62</v>
      </c>
      <c r="Q3700" s="7"/>
      <c r="R3700" s="1"/>
      <c r="S3700" s="1" t="str">
        <f>"J-UN-2019-3804"</f>
        <v>J-UN-2019-3804</v>
      </c>
      <c r="T3700" s="2" t="s">
        <v>33</v>
      </c>
    </row>
    <row r="3701" spans="1:20" ht="38.25" x14ac:dyDescent="0.25">
      <c r="A3701" s="1">
        <v>3697</v>
      </c>
      <c r="B3701" s="1" t="str">
        <f>"2019-54"</f>
        <v>2019-54</v>
      </c>
      <c r="C3701" s="2" t="s">
        <v>2363</v>
      </c>
      <c r="D3701" s="1" t="s">
        <v>727</v>
      </c>
      <c r="E3701" s="3" t="str">
        <f>""</f>
        <v/>
      </c>
      <c r="F3701" s="2" t="s">
        <v>1323</v>
      </c>
      <c r="G3701" s="2" t="str">
        <f>CONCATENATE("ELEKTRO-KOMUNIKACIJE D.O.O.,"," 14. PODBREŽJE 4,"," 10000 ZAGREB,"," OIB: 76412373309")</f>
        <v>ELEKTRO-KOMUNIKACIJE D.O.O., 14. PODBREŽJE 4, 10000 ZAGREB, OIB: 76412373309</v>
      </c>
      <c r="H3701" s="4"/>
      <c r="I3701" s="1" t="s">
        <v>930</v>
      </c>
      <c r="J3701" s="5">
        <v>43640</v>
      </c>
      <c r="K3701" s="6" t="str">
        <f>"969,00"</f>
        <v>969,00</v>
      </c>
      <c r="L3701" s="6" t="str">
        <f>"242,25"</f>
        <v>242,25</v>
      </c>
      <c r="M3701" s="6" t="str">
        <f>"1.211,25"</f>
        <v>1.211,25</v>
      </c>
      <c r="N3701" s="5">
        <v>43677</v>
      </c>
      <c r="O3701" s="7"/>
      <c r="P3701" s="6" t="str">
        <f>"1.211,25"</f>
        <v>1.211,25</v>
      </c>
      <c r="Q3701" s="7"/>
      <c r="R3701" s="1"/>
      <c r="S3701" s="1" t="str">
        <f>"J-UN-2019-3805"</f>
        <v>J-UN-2019-3805</v>
      </c>
      <c r="T3701" s="2" t="s">
        <v>33</v>
      </c>
    </row>
    <row r="3702" spans="1:20" ht="38.25" x14ac:dyDescent="0.25">
      <c r="A3702" s="1">
        <v>3698</v>
      </c>
      <c r="B3702" s="1" t="str">
        <f>"2019-1038"</f>
        <v>2019-1038</v>
      </c>
      <c r="C3702" s="2" t="s">
        <v>2364</v>
      </c>
      <c r="D3702" s="1" t="s">
        <v>2365</v>
      </c>
      <c r="E3702" s="3" t="str">
        <f>""</f>
        <v/>
      </c>
      <c r="F3702" s="2" t="s">
        <v>1323</v>
      </c>
      <c r="G3702" s="2" t="str">
        <f>CONCATENATE("URARSKO - TRGOVAČKI OBRT,"," VL. DALIBOR LEBAROVIĆ,"," MAKSIMIRSKA 52A,"," 10000 ZAGREB,"," OIB: 6718351375")</f>
        <v>URARSKO - TRGOVAČKI OBRT, VL. DALIBOR LEBAROVIĆ, MAKSIMIRSKA 52A, 10000 ZAGREB, OIB: 6718351375</v>
      </c>
      <c r="H3702" s="4"/>
      <c r="I3702" s="1" t="s">
        <v>424</v>
      </c>
      <c r="J3702" s="5">
        <v>43633</v>
      </c>
      <c r="K3702" s="6" t="str">
        <f>"59.600,00"</f>
        <v>59.600,00</v>
      </c>
      <c r="L3702" s="6" t="str">
        <f>"14.900,00"</f>
        <v>14.900,00</v>
      </c>
      <c r="M3702" s="6" t="str">
        <f>"74.500,00"</f>
        <v>74.500,00</v>
      </c>
      <c r="N3702" s="5">
        <v>43661</v>
      </c>
      <c r="O3702" s="7"/>
      <c r="P3702" s="6" t="str">
        <f>"74.500,00"</f>
        <v>74.500,00</v>
      </c>
      <c r="Q3702" s="7"/>
      <c r="R3702" s="1"/>
      <c r="S3702" s="1" t="str">
        <f>"J-UN-2019-3806"</f>
        <v>J-UN-2019-3806</v>
      </c>
      <c r="T3702" s="2" t="s">
        <v>33</v>
      </c>
    </row>
    <row r="3703" spans="1:20" ht="38.25" x14ac:dyDescent="0.25">
      <c r="A3703" s="1">
        <v>3699</v>
      </c>
      <c r="B3703" s="1" t="str">
        <f>"2019-1340"</f>
        <v>2019-1340</v>
      </c>
      <c r="C3703" s="2" t="s">
        <v>2227</v>
      </c>
      <c r="D3703" s="1" t="s">
        <v>1266</v>
      </c>
      <c r="E3703" s="3" t="str">
        <f>""</f>
        <v/>
      </c>
      <c r="F3703" s="2" t="s">
        <v>1323</v>
      </c>
      <c r="G3703" s="2" t="str">
        <f>CONCATENATE("DRÄGER SAFETY D.O.O.,"," AVENIJA VEĆESLAVA HOLJEVCA 40,"," 10010 ZAGREB,"," OIB: 32874587842")</f>
        <v>DRÄGER SAFETY D.O.O., AVENIJA VEĆESLAVA HOLJEVCA 40, 10010 ZAGREB, OIB: 32874587842</v>
      </c>
      <c r="H3703" s="4"/>
      <c r="I3703" s="1" t="s">
        <v>424</v>
      </c>
      <c r="J3703" s="5">
        <v>43633</v>
      </c>
      <c r="K3703" s="6" t="str">
        <f>"1.320,40"</f>
        <v>1.320,40</v>
      </c>
      <c r="L3703" s="6" t="str">
        <f>"330,10"</f>
        <v>330,10</v>
      </c>
      <c r="M3703" s="6" t="str">
        <f>"1.650,50"</f>
        <v>1.650,50</v>
      </c>
      <c r="N3703" s="5">
        <v>43671</v>
      </c>
      <c r="O3703" s="7"/>
      <c r="P3703" s="6" t="str">
        <f>"669,25"</f>
        <v>669,25</v>
      </c>
      <c r="Q3703" s="7"/>
      <c r="R3703" s="1"/>
      <c r="S3703" s="1" t="str">
        <f>"J-UN-2019-3808"</f>
        <v>J-UN-2019-3808</v>
      </c>
      <c r="T3703" s="2" t="s">
        <v>33</v>
      </c>
    </row>
    <row r="3704" spans="1:20" ht="38.25" x14ac:dyDescent="0.25">
      <c r="A3704" s="1">
        <v>3700</v>
      </c>
      <c r="B3704" s="1" t="str">
        <f>"2019-846"</f>
        <v>2019-846</v>
      </c>
      <c r="C3704" s="2" t="s">
        <v>2288</v>
      </c>
      <c r="D3704" s="1" t="s">
        <v>2289</v>
      </c>
      <c r="E3704" s="3" t="str">
        <f>""</f>
        <v/>
      </c>
      <c r="F3704" s="2" t="s">
        <v>1323</v>
      </c>
      <c r="G3704" s="2" t="str">
        <f>CONCATENATE("TEKNOXGROUP HRVATSKA D.O.O.,"," RADNIČKA CESTA 218,"," 10000 ZAGREB,"," OIB: 31826907316")</f>
        <v>TEKNOXGROUP HRVATSKA D.O.O., RADNIČKA CESTA 218, 10000 ZAGREB, OIB: 31826907316</v>
      </c>
      <c r="H3704" s="4"/>
      <c r="I3704" s="1" t="s">
        <v>424</v>
      </c>
      <c r="J3704" s="5">
        <v>43633</v>
      </c>
      <c r="K3704" s="6" t="str">
        <f>"6.940,87"</f>
        <v>6.940,87</v>
      </c>
      <c r="L3704" s="6" t="str">
        <f>"1.735,22"</f>
        <v>1.735,22</v>
      </c>
      <c r="M3704" s="6" t="str">
        <f>"8.676,09"</f>
        <v>8.676,09</v>
      </c>
      <c r="N3704" s="5">
        <v>43668</v>
      </c>
      <c r="O3704" s="7"/>
      <c r="P3704" s="6" t="str">
        <f>"8.676,09"</f>
        <v>8.676,09</v>
      </c>
      <c r="Q3704" s="7"/>
      <c r="R3704" s="1"/>
      <c r="S3704" s="1" t="str">
        <f>"J-UN-2019-3809"</f>
        <v>J-UN-2019-3809</v>
      </c>
      <c r="T3704" s="2" t="s">
        <v>33</v>
      </c>
    </row>
    <row r="3705" spans="1:20" ht="25.5" x14ac:dyDescent="0.25">
      <c r="A3705" s="1">
        <v>3701</v>
      </c>
      <c r="B3705" s="1" t="str">
        <f>"2019-2726"</f>
        <v>2019-2726</v>
      </c>
      <c r="C3705" s="2" t="s">
        <v>2366</v>
      </c>
      <c r="D3705" s="1" t="s">
        <v>1569</v>
      </c>
      <c r="E3705" s="3" t="str">
        <f>""</f>
        <v/>
      </c>
      <c r="F3705" s="2" t="s">
        <v>1323</v>
      </c>
      <c r="G3705" s="2" t="str">
        <f>CONCATENATE("KLIMA EXPERT D.O.O.,"," KARLOVAČKA CESTA 203A,"," 10250 LUČKO,"," OIB: 49766965594")</f>
        <v>KLIMA EXPERT D.O.O., KARLOVAČKA CESTA 203A, 10250 LUČKO, OIB: 49766965594</v>
      </c>
      <c r="H3705" s="4"/>
      <c r="I3705" s="1" t="s">
        <v>269</v>
      </c>
      <c r="J3705" s="5">
        <v>43634</v>
      </c>
      <c r="K3705" s="6" t="str">
        <f>"147.500,00"</f>
        <v>147.500,00</v>
      </c>
      <c r="L3705" s="6" t="str">
        <f>"36.875,00"</f>
        <v>36.875,00</v>
      </c>
      <c r="M3705" s="6" t="str">
        <f>"184.375,00"</f>
        <v>184.375,00</v>
      </c>
      <c r="N3705" s="5">
        <v>43648</v>
      </c>
      <c r="O3705" s="7"/>
      <c r="P3705" s="6" t="str">
        <f>"184.375,00"</f>
        <v>184.375,00</v>
      </c>
      <c r="Q3705" s="7"/>
      <c r="R3705" s="1"/>
      <c r="S3705" s="1" t="str">
        <f>"J-UN-2019-3812"</f>
        <v>J-UN-2019-3812</v>
      </c>
      <c r="T3705" s="2" t="s">
        <v>33</v>
      </c>
    </row>
    <row r="3706" spans="1:20" ht="25.5" x14ac:dyDescent="0.25">
      <c r="A3706" s="1">
        <v>3702</v>
      </c>
      <c r="B3706" s="1" t="str">
        <f>"2019-2740"</f>
        <v>2019-2740</v>
      </c>
      <c r="C3706" s="2" t="s">
        <v>2367</v>
      </c>
      <c r="D3706" s="1" t="s">
        <v>1384</v>
      </c>
      <c r="E3706" s="3" t="str">
        <f>""</f>
        <v/>
      </c>
      <c r="F3706" s="2" t="s">
        <v>1323</v>
      </c>
      <c r="G3706" s="2" t="str">
        <f>CONCATENATE("3 E PROJEKTI D.O.O.,"," JOSIPOVIĆEVA 60,"," 10410 VELIKA GORICA,"," OIB: 16185960876")</f>
        <v>3 E PROJEKTI D.O.O., JOSIPOVIĆEVA 60, 10410 VELIKA GORICA, OIB: 16185960876</v>
      </c>
      <c r="H3706" s="4"/>
      <c r="I3706" s="1" t="s">
        <v>396</v>
      </c>
      <c r="J3706" s="5">
        <v>44006</v>
      </c>
      <c r="K3706" s="6" t="str">
        <f>"140.000,00"</f>
        <v>140.000,00</v>
      </c>
      <c r="L3706" s="6" t="str">
        <f>"35.000,00"</f>
        <v>35.000,00</v>
      </c>
      <c r="M3706" s="6" t="str">
        <f>"175.000,00"</f>
        <v>175.000,00</v>
      </c>
      <c r="N3706" s="1" t="s">
        <v>117</v>
      </c>
      <c r="O3706" s="7"/>
      <c r="P3706" s="6" t="str">
        <f>""</f>
        <v/>
      </c>
      <c r="Q3706" s="7"/>
      <c r="R3706" s="1"/>
      <c r="S3706" s="1" t="str">
        <f>"J-UN-2019-3817"</f>
        <v>J-UN-2019-3817</v>
      </c>
      <c r="T3706" s="2" t="s">
        <v>33</v>
      </c>
    </row>
    <row r="3707" spans="1:20" ht="25.5" x14ac:dyDescent="0.25">
      <c r="A3707" s="1">
        <v>3703</v>
      </c>
      <c r="B3707" s="1" t="str">
        <f>"2019-2286"</f>
        <v>2019-2286</v>
      </c>
      <c r="C3707" s="2" t="s">
        <v>2004</v>
      </c>
      <c r="D3707" s="1" t="s">
        <v>1266</v>
      </c>
      <c r="E3707" s="3" t="str">
        <f>""</f>
        <v/>
      </c>
      <c r="F3707" s="2" t="s">
        <v>1323</v>
      </c>
      <c r="G3707" s="2" t="str">
        <f>CONCATENATE("TAHOGRAF D.O.O.,"," DR. FRANJE TUĐMANA 24,"," 10431 SVETA NEDELJA,"," OIB: 73777060562")</f>
        <v>TAHOGRAF D.O.O., DR. FRANJE TUĐMANA 24, 10431 SVETA NEDELJA, OIB: 73777060562</v>
      </c>
      <c r="H3707" s="4"/>
      <c r="I3707" s="1" t="s">
        <v>440</v>
      </c>
      <c r="J3707" s="5">
        <v>43637</v>
      </c>
      <c r="K3707" s="6" t="str">
        <f>"531,39"</f>
        <v>531,39</v>
      </c>
      <c r="L3707" s="6" t="str">
        <f>"132,85"</f>
        <v>132,85</v>
      </c>
      <c r="M3707" s="6" t="str">
        <f>"664,24"</f>
        <v>664,24</v>
      </c>
      <c r="N3707" s="5">
        <v>43649</v>
      </c>
      <c r="O3707" s="7"/>
      <c r="P3707" s="6" t="str">
        <f>"664,24"</f>
        <v>664,24</v>
      </c>
      <c r="Q3707" s="7"/>
      <c r="R3707" s="1"/>
      <c r="S3707" s="1" t="str">
        <f>"J-UN-2019-3823"</f>
        <v>J-UN-2019-3823</v>
      </c>
      <c r="T3707" s="2" t="s">
        <v>33</v>
      </c>
    </row>
    <row r="3708" spans="1:20" ht="25.5" x14ac:dyDescent="0.25">
      <c r="A3708" s="1">
        <v>3704</v>
      </c>
      <c r="B3708" s="1" t="str">
        <f>"2019-240"</f>
        <v>2019-240</v>
      </c>
      <c r="C3708" s="2" t="s">
        <v>2303</v>
      </c>
      <c r="D3708" s="1" t="s">
        <v>197</v>
      </c>
      <c r="E3708" s="3" t="str">
        <f>""</f>
        <v/>
      </c>
      <c r="F3708" s="2" t="s">
        <v>1323</v>
      </c>
      <c r="G3708" s="2" t="str">
        <f>CONCATENATE("GRAPAK D.O.O.,"," M. SCHLENGERA 5,"," 42204 TURČIN,"," OIB: 8387333034")</f>
        <v>GRAPAK D.O.O., M. SCHLENGERA 5, 42204 TURČIN, OIB: 8387333034</v>
      </c>
      <c r="H3708" s="4"/>
      <c r="I3708" s="1" t="s">
        <v>440</v>
      </c>
      <c r="J3708" s="5">
        <v>43637</v>
      </c>
      <c r="K3708" s="6" t="str">
        <f>"21.780,69"</f>
        <v>21.780,69</v>
      </c>
      <c r="L3708" s="6" t="str">
        <f>"5.445,17"</f>
        <v>5.445,17</v>
      </c>
      <c r="M3708" s="6" t="str">
        <f>"27.225,86"</f>
        <v>27.225,86</v>
      </c>
      <c r="N3708" s="1" t="s">
        <v>117</v>
      </c>
      <c r="O3708" s="7"/>
      <c r="P3708" s="6" t="str">
        <f>""</f>
        <v/>
      </c>
      <c r="Q3708" s="7"/>
      <c r="R3708" s="1"/>
      <c r="S3708" s="1" t="str">
        <f>"J-UN-2019-3824"</f>
        <v>J-UN-2019-3824</v>
      </c>
      <c r="T3708" s="2" t="s">
        <v>33</v>
      </c>
    </row>
    <row r="3709" spans="1:20" ht="25.5" x14ac:dyDescent="0.25">
      <c r="A3709" s="1">
        <v>3705</v>
      </c>
      <c r="B3709" s="1" t="str">
        <f>"2019-475"</f>
        <v>2019-475</v>
      </c>
      <c r="C3709" s="2" t="s">
        <v>2368</v>
      </c>
      <c r="D3709" s="1" t="s">
        <v>382</v>
      </c>
      <c r="E3709" s="3" t="str">
        <f>""</f>
        <v/>
      </c>
      <c r="F3709" s="2" t="s">
        <v>1323</v>
      </c>
      <c r="G3709" s="2" t="str">
        <f>CONCATENATE("D.R. AUTO D.O.O.,"," SELSKA CESTA 34,"," 10000 ZAGREB,"," OIB: 07523847158")</f>
        <v>D.R. AUTO D.O.O., SELSKA CESTA 34, 10000 ZAGREB, OIB: 07523847158</v>
      </c>
      <c r="H3709" s="4"/>
      <c r="I3709" s="1" t="s">
        <v>440</v>
      </c>
      <c r="J3709" s="5">
        <v>43637</v>
      </c>
      <c r="K3709" s="6" t="str">
        <f>"14.000,00"</f>
        <v>14.000,00</v>
      </c>
      <c r="L3709" s="6" t="str">
        <f>"3.500,00"</f>
        <v>3.500,00</v>
      </c>
      <c r="M3709" s="6" t="str">
        <f>"17.500,00"</f>
        <v>17.500,00</v>
      </c>
      <c r="N3709" s="5">
        <v>43635</v>
      </c>
      <c r="O3709" s="7"/>
      <c r="P3709" s="6" t="str">
        <f>"17.500,00"</f>
        <v>17.500,00</v>
      </c>
      <c r="Q3709" s="7"/>
      <c r="R3709" s="1"/>
      <c r="S3709" s="1" t="str">
        <f>"J-UN-2019-3825"</f>
        <v>J-UN-2019-3825</v>
      </c>
      <c r="T3709" s="2" t="s">
        <v>33</v>
      </c>
    </row>
    <row r="3710" spans="1:20" ht="25.5" x14ac:dyDescent="0.25">
      <c r="A3710" s="1">
        <v>3706</v>
      </c>
      <c r="B3710" s="1" t="str">
        <f>"2019-770"</f>
        <v>2019-770</v>
      </c>
      <c r="C3710" s="2" t="s">
        <v>2369</v>
      </c>
      <c r="D3710" s="1" t="s">
        <v>2370</v>
      </c>
      <c r="E3710" s="3" t="str">
        <f>""</f>
        <v/>
      </c>
      <c r="F3710" s="2" t="s">
        <v>1323</v>
      </c>
      <c r="G3710" s="2" t="str">
        <f>CONCATENATE("UREDSKI STROJEVI D.O.O.,"," TOŠOVAC 3,"," 10000 ZAGREB,"," OIB: 4692217598")</f>
        <v>UREDSKI STROJEVI D.O.O., TOŠOVAC 3, 10000 ZAGREB, OIB: 4692217598</v>
      </c>
      <c r="H3710" s="4"/>
      <c r="I3710" s="1" t="s">
        <v>638</v>
      </c>
      <c r="J3710" s="5">
        <v>43643</v>
      </c>
      <c r="K3710" s="6" t="str">
        <f>"14.060,00"</f>
        <v>14.060,00</v>
      </c>
      <c r="L3710" s="6" t="str">
        <f>"3.515,00"</f>
        <v>3.515,00</v>
      </c>
      <c r="M3710" s="6" t="str">
        <f>"17.575,00"</f>
        <v>17.575,00</v>
      </c>
      <c r="N3710" s="1" t="s">
        <v>117</v>
      </c>
      <c r="O3710" s="7"/>
      <c r="P3710" s="6" t="str">
        <f>""</f>
        <v/>
      </c>
      <c r="Q3710" s="7"/>
      <c r="R3710" s="1"/>
      <c r="S3710" s="1" t="str">
        <f>"J-UN-2019-3827"</f>
        <v>J-UN-2019-3827</v>
      </c>
      <c r="T3710" s="2" t="s">
        <v>33</v>
      </c>
    </row>
    <row r="3711" spans="1:20" ht="38.25" x14ac:dyDescent="0.25">
      <c r="A3711" s="1">
        <v>3707</v>
      </c>
      <c r="B3711" s="1" t="str">
        <f>"2019-1709"</f>
        <v>2019-1709</v>
      </c>
      <c r="C3711" s="2" t="s">
        <v>2371</v>
      </c>
      <c r="D3711" s="1" t="s">
        <v>2372</v>
      </c>
      <c r="E3711" s="3" t="str">
        <f>""</f>
        <v/>
      </c>
      <c r="F3711" s="2" t="s">
        <v>1323</v>
      </c>
      <c r="G3711" s="2" t="str">
        <f>CONCATENATE("GEO AKT J.D.O.O.,"," ZAGREBAČKA CESTA 132A,"," 10000 ZAGREB,"," OIB: 99459462106")</f>
        <v>GEO AKT J.D.O.O., ZAGREBAČKA CESTA 132A, 10000 ZAGREB, OIB: 99459462106</v>
      </c>
      <c r="H3711" s="4"/>
      <c r="I3711" s="1" t="s">
        <v>440</v>
      </c>
      <c r="J3711" s="5">
        <v>43637</v>
      </c>
      <c r="K3711" s="6" t="str">
        <f>"18.000,00"</f>
        <v>18.000,00</v>
      </c>
      <c r="L3711" s="6" t="str">
        <f>"4.500,00"</f>
        <v>4.500,00</v>
      </c>
      <c r="M3711" s="6" t="str">
        <f>"22.500,00"</f>
        <v>22.500,00</v>
      </c>
      <c r="N3711" s="5">
        <v>43651</v>
      </c>
      <c r="O3711" s="7"/>
      <c r="P3711" s="6" t="str">
        <f>"22.500,00"</f>
        <v>22.500,00</v>
      </c>
      <c r="Q3711" s="7"/>
      <c r="R3711" s="1"/>
      <c r="S3711" s="1" t="str">
        <f>"J-UN-2019-3828"</f>
        <v>J-UN-2019-3828</v>
      </c>
      <c r="T3711" s="2" t="s">
        <v>33</v>
      </c>
    </row>
    <row r="3712" spans="1:20" ht="25.5" x14ac:dyDescent="0.25">
      <c r="A3712" s="1">
        <v>3708</v>
      </c>
      <c r="B3712" s="1" t="str">
        <f>"2019-475"</f>
        <v>2019-475</v>
      </c>
      <c r="C3712" s="2" t="s">
        <v>2368</v>
      </c>
      <c r="D3712" s="1" t="s">
        <v>382</v>
      </c>
      <c r="E3712" s="3" t="str">
        <f>""</f>
        <v/>
      </c>
      <c r="F3712" s="2" t="s">
        <v>1323</v>
      </c>
      <c r="G3712" s="2" t="str">
        <f>CONCATENATE("AUTOKUĆA-ŠTARKELJ D.O.O.,"," UKRAJINSKA 17,"," 10000 ZAGREB,"," OIB: 87340407905")</f>
        <v>AUTOKUĆA-ŠTARKELJ D.O.O., UKRAJINSKA 17, 10000 ZAGREB, OIB: 87340407905</v>
      </c>
      <c r="H3712" s="4"/>
      <c r="I3712" s="1" t="s">
        <v>403</v>
      </c>
      <c r="J3712" s="5">
        <v>43644</v>
      </c>
      <c r="K3712" s="6" t="str">
        <f>"1.142,78"</f>
        <v>1.142,78</v>
      </c>
      <c r="L3712" s="6" t="str">
        <f>"285,70"</f>
        <v>285,70</v>
      </c>
      <c r="M3712" s="6" t="str">
        <f>"1.428,48"</f>
        <v>1.428,48</v>
      </c>
      <c r="N3712" s="5">
        <v>43707</v>
      </c>
      <c r="O3712" s="7"/>
      <c r="P3712" s="6" t="str">
        <f>"1.428,48"</f>
        <v>1.428,48</v>
      </c>
      <c r="Q3712" s="7"/>
      <c r="R3712" s="1"/>
      <c r="S3712" s="1" t="str">
        <f>"J-UN-2019-3829"</f>
        <v>J-UN-2019-3829</v>
      </c>
      <c r="T3712" s="2" t="s">
        <v>33</v>
      </c>
    </row>
    <row r="3713" spans="1:20" ht="38.25" x14ac:dyDescent="0.25">
      <c r="A3713" s="1">
        <v>3709</v>
      </c>
      <c r="B3713" s="1" t="str">
        <f>"2019-2735"</f>
        <v>2019-2735</v>
      </c>
      <c r="C3713" s="2" t="s">
        <v>2373</v>
      </c>
      <c r="D3713" s="1" t="s">
        <v>540</v>
      </c>
      <c r="E3713" s="3" t="str">
        <f>""</f>
        <v/>
      </c>
      <c r="F3713" s="2" t="s">
        <v>1323</v>
      </c>
      <c r="G3713" s="2" t="str">
        <f>CONCATENATE("PRESEČKI GRUPA D.O.O.,"," FRANA GALOVIĆA 15,"," 49000 KRAPINA,"," OIB: 85843181422")</f>
        <v>PRESEČKI GRUPA D.O.O., FRANA GALOVIĆA 15, 49000 KRAPINA, OIB: 85843181422</v>
      </c>
      <c r="H3713" s="4"/>
      <c r="I3713" s="1" t="s">
        <v>638</v>
      </c>
      <c r="J3713" s="5">
        <v>43830</v>
      </c>
      <c r="K3713" s="6" t="str">
        <f>"199.000,00"</f>
        <v>199.000,00</v>
      </c>
      <c r="L3713" s="6" t="str">
        <f>"49.750,00"</f>
        <v>49.750,00</v>
      </c>
      <c r="M3713" s="6" t="str">
        <f>"248.750,00"</f>
        <v>248.750,00</v>
      </c>
      <c r="N3713" s="5">
        <v>43675</v>
      </c>
      <c r="O3713" s="7"/>
      <c r="P3713" s="6" t="str">
        <f>"102.750,00"</f>
        <v>102.750,00</v>
      </c>
      <c r="Q3713" s="7"/>
      <c r="R3713" s="1"/>
      <c r="S3713" s="1" t="str">
        <f>"J-UN-2019-3836"</f>
        <v>J-UN-2019-3836</v>
      </c>
      <c r="T3713" s="2" t="s">
        <v>33</v>
      </c>
    </row>
    <row r="3714" spans="1:20" ht="51" x14ac:dyDescent="0.25">
      <c r="A3714" s="1">
        <v>3710</v>
      </c>
      <c r="B3714" s="1" t="str">
        <f>"2019-2733"</f>
        <v>2019-2733</v>
      </c>
      <c r="C3714" s="2" t="s">
        <v>2374</v>
      </c>
      <c r="D3714" s="1" t="s">
        <v>540</v>
      </c>
      <c r="E3714" s="3" t="str">
        <f>""</f>
        <v/>
      </c>
      <c r="F3714" s="2" t="s">
        <v>1323</v>
      </c>
      <c r="G3714" s="2" t="str">
        <f>CONCATENATE("PRESEČKI GRUPA D.O.O.,"," FRANA GALOVIĆA 15,"," 49000 KRAPINA,"," OIB: 85843181422")</f>
        <v>PRESEČKI GRUPA D.O.O., FRANA GALOVIĆA 15, 49000 KRAPINA, OIB: 85843181422</v>
      </c>
      <c r="H3714" s="4"/>
      <c r="I3714" s="1" t="s">
        <v>319</v>
      </c>
      <c r="J3714" s="5">
        <v>43830</v>
      </c>
      <c r="K3714" s="6" t="str">
        <f>"197.400,00"</f>
        <v>197.400,00</v>
      </c>
      <c r="L3714" s="6" t="str">
        <f>"49.350,00"</f>
        <v>49.350,00</v>
      </c>
      <c r="M3714" s="6" t="str">
        <f>"246.750,00"</f>
        <v>246.750,00</v>
      </c>
      <c r="N3714" s="5">
        <v>43676</v>
      </c>
      <c r="O3714" s="7"/>
      <c r="P3714" s="6" t="str">
        <f>"55.500,00"</f>
        <v>55.500,00</v>
      </c>
      <c r="Q3714" s="7"/>
      <c r="R3714" s="1"/>
      <c r="S3714" s="1" t="str">
        <f>"J-UN-2019-3837"</f>
        <v>J-UN-2019-3837</v>
      </c>
      <c r="T3714" s="2" t="s">
        <v>33</v>
      </c>
    </row>
    <row r="3715" spans="1:20" ht="38.25" x14ac:dyDescent="0.25">
      <c r="A3715" s="1">
        <v>3711</v>
      </c>
      <c r="B3715" s="1" t="str">
        <f>"2019-12"</f>
        <v>2019-12</v>
      </c>
      <c r="C3715" s="2" t="s">
        <v>2140</v>
      </c>
      <c r="D3715" s="1" t="s">
        <v>1720</v>
      </c>
      <c r="E3715" s="3" t="str">
        <f>""</f>
        <v/>
      </c>
      <c r="F3715" s="2" t="s">
        <v>1323</v>
      </c>
      <c r="G3715" s="2" t="str">
        <f>CONCATENATE("AUTOMATIKA BENČIĆ,"," OBRT ZA ODRŽAVANJE INDUSTRIJSKIH POSTROJENJA I,"," ULICA BORIK 29,"," 52100 PULA,"," OIB: 3014556048")</f>
        <v>AUTOMATIKA BENČIĆ, OBRT ZA ODRŽAVANJE INDUSTRIJSKIH POSTROJENJA I, ULICA BORIK 29, 52100 PULA, OIB: 3014556048</v>
      </c>
      <c r="H3715" s="4"/>
      <c r="I3715" s="1" t="s">
        <v>269</v>
      </c>
      <c r="J3715" s="5">
        <v>43634</v>
      </c>
      <c r="K3715" s="6" t="str">
        <f>"3.040,00"</f>
        <v>3.040,00</v>
      </c>
      <c r="L3715" s="6" t="str">
        <f>"760,00"</f>
        <v>760,00</v>
      </c>
      <c r="M3715" s="6" t="str">
        <f>"3.800,00"</f>
        <v>3.800,00</v>
      </c>
      <c r="N3715" s="5">
        <v>43633</v>
      </c>
      <c r="O3715" s="7"/>
      <c r="P3715" s="6" t="str">
        <f>"3.800,00"</f>
        <v>3.800,00</v>
      </c>
      <c r="Q3715" s="7"/>
      <c r="R3715" s="1"/>
      <c r="S3715" s="1" t="str">
        <f>"J-UN-2019-3839"</f>
        <v>J-UN-2019-3839</v>
      </c>
      <c r="T3715" s="2" t="s">
        <v>33</v>
      </c>
    </row>
    <row r="3716" spans="1:20" ht="25.5" x14ac:dyDescent="0.25">
      <c r="A3716" s="1">
        <v>3712</v>
      </c>
      <c r="B3716" s="1" t="str">
        <f>"2019-942"</f>
        <v>2019-942</v>
      </c>
      <c r="C3716" s="2" t="s">
        <v>2085</v>
      </c>
      <c r="D3716" s="1" t="s">
        <v>2086</v>
      </c>
      <c r="E3716" s="3" t="str">
        <f>""</f>
        <v/>
      </c>
      <c r="F3716" s="2" t="s">
        <v>1323</v>
      </c>
      <c r="G3716" s="2" t="str">
        <f>CONCATENATE("LIDER MEDIA D.O.O.,"," SAVSKA CESTA 41,"," 10000 ZAGREB,"," OIB: 75374786952")</f>
        <v>LIDER MEDIA D.O.O., SAVSKA CESTA 41, 10000 ZAGREB, OIB: 75374786952</v>
      </c>
      <c r="H3716" s="4"/>
      <c r="I3716" s="1" t="s">
        <v>440</v>
      </c>
      <c r="J3716" s="5">
        <v>43637</v>
      </c>
      <c r="K3716" s="6" t="str">
        <f>"790,00"</f>
        <v>790,00</v>
      </c>
      <c r="L3716" s="6" t="str">
        <f>"197,50"</f>
        <v>197,50</v>
      </c>
      <c r="M3716" s="6" t="str">
        <f>"987,50"</f>
        <v>987,50</v>
      </c>
      <c r="N3716" s="5">
        <v>43616</v>
      </c>
      <c r="O3716" s="7"/>
      <c r="P3716" s="6" t="str">
        <f>"987,50"</f>
        <v>987,50</v>
      </c>
      <c r="Q3716" s="7"/>
      <c r="R3716" s="1"/>
      <c r="S3716" s="1" t="str">
        <f>"J-UN-2019-3842"</f>
        <v>J-UN-2019-3842</v>
      </c>
      <c r="T3716" s="2" t="s">
        <v>33</v>
      </c>
    </row>
    <row r="3717" spans="1:20" ht="25.5" x14ac:dyDescent="0.25">
      <c r="A3717" s="1">
        <v>3713</v>
      </c>
      <c r="B3717" s="1" t="str">
        <f>"2019-572"</f>
        <v>2019-572</v>
      </c>
      <c r="C3717" s="2" t="s">
        <v>2239</v>
      </c>
      <c r="D3717" s="1" t="s">
        <v>823</v>
      </c>
      <c r="E3717" s="3" t="str">
        <f>""</f>
        <v/>
      </c>
      <c r="F3717" s="2" t="s">
        <v>1323</v>
      </c>
      <c r="G3717" s="2" t="str">
        <f>CONCATENATE("URIHO - ZAGREB,"," AVENIJA MARINA DRŽIĆA 1,"," 10000 ZAGREB,"," OIB: 77931216562")</f>
        <v>URIHO - ZAGREB, AVENIJA MARINA DRŽIĆA 1, 10000 ZAGREB, OIB: 77931216562</v>
      </c>
      <c r="H3717" s="4"/>
      <c r="I3717" s="1" t="s">
        <v>403</v>
      </c>
      <c r="J3717" s="5">
        <v>43644</v>
      </c>
      <c r="K3717" s="6" t="str">
        <f>"4.924,00"</f>
        <v>4.924,00</v>
      </c>
      <c r="L3717" s="6" t="str">
        <f>"1.231,00"</f>
        <v>1.231,00</v>
      </c>
      <c r="M3717" s="6" t="str">
        <f>"6.155,00"</f>
        <v>6.155,00</v>
      </c>
      <c r="N3717" s="1" t="s">
        <v>117</v>
      </c>
      <c r="O3717" s="7"/>
      <c r="P3717" s="6" t="str">
        <f>""</f>
        <v/>
      </c>
      <c r="Q3717" s="7"/>
      <c r="R3717" s="1"/>
      <c r="S3717" s="1" t="str">
        <f>"J-UN-2019-3844"</f>
        <v>J-UN-2019-3844</v>
      </c>
      <c r="T3717" s="2" t="s">
        <v>33</v>
      </c>
    </row>
    <row r="3718" spans="1:20" ht="38.25" x14ac:dyDescent="0.25">
      <c r="A3718" s="1">
        <v>3714</v>
      </c>
      <c r="B3718" s="1" t="str">
        <f>"2019-1709"</f>
        <v>2019-1709</v>
      </c>
      <c r="C3718" s="2" t="s">
        <v>2371</v>
      </c>
      <c r="D3718" s="1" t="s">
        <v>2372</v>
      </c>
      <c r="E3718" s="3" t="str">
        <f>""</f>
        <v/>
      </c>
      <c r="F3718" s="2" t="s">
        <v>1323</v>
      </c>
      <c r="G3718" s="2" t="str">
        <f>CONCATENATE("ARHI5RA D.O.O.,"," KNEZA LJUDEVITA POSAVSKOG 30,"," 10000 ZAGREB,"," OIB: 2479491844")</f>
        <v>ARHI5RA D.O.O., KNEZA LJUDEVITA POSAVSKOG 30, 10000 ZAGREB, OIB: 2479491844</v>
      </c>
      <c r="H3718" s="4"/>
      <c r="I3718" s="1" t="s">
        <v>440</v>
      </c>
      <c r="J3718" s="5">
        <v>43637</v>
      </c>
      <c r="K3718" s="6" t="str">
        <f>"6.000,00"</f>
        <v>6.000,00</v>
      </c>
      <c r="L3718" s="6" t="str">
        <f>"1.500,00"</f>
        <v>1.500,00</v>
      </c>
      <c r="M3718" s="6" t="str">
        <f>"7.500,00"</f>
        <v>7.500,00</v>
      </c>
      <c r="N3718" s="5">
        <v>43654</v>
      </c>
      <c r="O3718" s="7"/>
      <c r="P3718" s="6" t="str">
        <f>"7.500,00"</f>
        <v>7.500,00</v>
      </c>
      <c r="Q3718" s="7"/>
      <c r="R3718" s="1"/>
      <c r="S3718" s="1" t="str">
        <f>"J-UN-2019-3846"</f>
        <v>J-UN-2019-3846</v>
      </c>
      <c r="T3718" s="2" t="s">
        <v>33</v>
      </c>
    </row>
    <row r="3719" spans="1:20" ht="38.25" x14ac:dyDescent="0.25">
      <c r="A3719" s="1">
        <v>3715</v>
      </c>
      <c r="B3719" s="1" t="str">
        <f>"2019-2697"</f>
        <v>2019-2697</v>
      </c>
      <c r="C3719" s="2" t="s">
        <v>2375</v>
      </c>
      <c r="D3719" s="1" t="s">
        <v>1325</v>
      </c>
      <c r="E3719" s="3" t="str">
        <f>""</f>
        <v/>
      </c>
      <c r="F3719" s="2" t="s">
        <v>1323</v>
      </c>
      <c r="G3719" s="2" t="str">
        <f>CONCATENATE("BOMAT-PROJEKT D.O.O.,"," MARTIĆEVA 67,"," 10000 ZAGREB,"," OIB: 29570420856")</f>
        <v>BOMAT-PROJEKT D.O.O., MARTIĆEVA 67, 10000 ZAGREB, OIB: 29570420856</v>
      </c>
      <c r="H3719" s="4"/>
      <c r="I3719" s="1" t="s">
        <v>640</v>
      </c>
      <c r="J3719" s="5">
        <v>43647</v>
      </c>
      <c r="K3719" s="6" t="str">
        <f>"47.000,00"</f>
        <v>47.000,00</v>
      </c>
      <c r="L3719" s="6" t="str">
        <f>"11.750,00"</f>
        <v>11.750,00</v>
      </c>
      <c r="M3719" s="6" t="str">
        <f>"58.750,00"</f>
        <v>58.750,00</v>
      </c>
      <c r="N3719" s="1" t="s">
        <v>117</v>
      </c>
      <c r="O3719" s="7"/>
      <c r="P3719" s="6" t="str">
        <f>""</f>
        <v/>
      </c>
      <c r="Q3719" s="7"/>
      <c r="R3719" s="1"/>
      <c r="S3719" s="1" t="str">
        <f>"J-UN-2019-3847"</f>
        <v>J-UN-2019-3847</v>
      </c>
      <c r="T3719" s="2" t="s">
        <v>33</v>
      </c>
    </row>
    <row r="3720" spans="1:20" ht="25.5" x14ac:dyDescent="0.25">
      <c r="A3720" s="1">
        <v>3716</v>
      </c>
      <c r="B3720" s="1" t="str">
        <f>"2019-757"</f>
        <v>2019-757</v>
      </c>
      <c r="C3720" s="2" t="s">
        <v>2284</v>
      </c>
      <c r="D3720" s="1" t="s">
        <v>164</v>
      </c>
      <c r="E3720" s="3" t="str">
        <f>""</f>
        <v/>
      </c>
      <c r="F3720" s="2" t="s">
        <v>1323</v>
      </c>
      <c r="G3720" s="2" t="str">
        <f>CONCATENATE("STENTOR D.O.O.,"," ULICA GRADA VUKOVARA 284,"," 10000 ZAGREB,"," OIB: 28042507798")</f>
        <v>STENTOR D.O.O., ULICA GRADA VUKOVARA 284, 10000 ZAGREB, OIB: 28042507798</v>
      </c>
      <c r="H3720" s="4"/>
      <c r="I3720" s="1" t="s">
        <v>440</v>
      </c>
      <c r="J3720" s="5">
        <v>43637</v>
      </c>
      <c r="K3720" s="6" t="str">
        <f>"2.200,00"</f>
        <v>2.200,00</v>
      </c>
      <c r="L3720" s="6" t="str">
        <f>"550,00"</f>
        <v>550,00</v>
      </c>
      <c r="M3720" s="6" t="str">
        <f>"2.750,00"</f>
        <v>2.750,00</v>
      </c>
      <c r="N3720" s="5">
        <v>43642</v>
      </c>
      <c r="O3720" s="7"/>
      <c r="P3720" s="6" t="str">
        <f>"2.750,00"</f>
        <v>2.750,00</v>
      </c>
      <c r="Q3720" s="7"/>
      <c r="R3720" s="1"/>
      <c r="S3720" s="1" t="str">
        <f>"J-UN-2019-3850"</f>
        <v>J-UN-2019-3850</v>
      </c>
      <c r="T3720" s="2" t="s">
        <v>33</v>
      </c>
    </row>
    <row r="3721" spans="1:20" ht="25.5" x14ac:dyDescent="0.25">
      <c r="A3721" s="1">
        <v>3717</v>
      </c>
      <c r="B3721" s="1" t="str">
        <f>"2019-1847"</f>
        <v>2019-1847</v>
      </c>
      <c r="C3721" s="2" t="s">
        <v>2376</v>
      </c>
      <c r="D3721" s="1" t="s">
        <v>223</v>
      </c>
      <c r="E3721" s="3" t="str">
        <f>""</f>
        <v/>
      </c>
      <c r="F3721" s="2" t="s">
        <v>1323</v>
      </c>
      <c r="G3721" s="2" t="str">
        <f>CONCATENATE(" SMARTNET D.O.O.,"," STINICE 12,"," 21000 SPLIT,"," OIB: 2337997359")</f>
        <v xml:space="preserve"> SMARTNET D.O.O., STINICE 12, 21000 SPLIT, OIB: 2337997359</v>
      </c>
      <c r="H3721" s="4"/>
      <c r="I3721" s="1" t="s">
        <v>640</v>
      </c>
      <c r="J3721" s="5">
        <v>43647</v>
      </c>
      <c r="K3721" s="6" t="str">
        <f>"25.800,00"</f>
        <v>25.800,00</v>
      </c>
      <c r="L3721" s="6" t="str">
        <f>"6.450,00"</f>
        <v>6.450,00</v>
      </c>
      <c r="M3721" s="6" t="str">
        <f>"32.250,00"</f>
        <v>32.250,00</v>
      </c>
      <c r="N3721" s="1" t="s">
        <v>117</v>
      </c>
      <c r="O3721" s="7"/>
      <c r="P3721" s="6" t="str">
        <f>""</f>
        <v/>
      </c>
      <c r="Q3721" s="7"/>
      <c r="R3721" s="1"/>
      <c r="S3721" s="1" t="str">
        <f>"J-UN-2019-3851"</f>
        <v>J-UN-2019-3851</v>
      </c>
      <c r="T3721" s="2" t="s">
        <v>33</v>
      </c>
    </row>
    <row r="3722" spans="1:20" ht="38.25" x14ac:dyDescent="0.25">
      <c r="A3722" s="1">
        <v>3718</v>
      </c>
      <c r="B3722" s="1" t="str">
        <f>"2019-12"</f>
        <v>2019-12</v>
      </c>
      <c r="C3722" s="2" t="s">
        <v>2140</v>
      </c>
      <c r="D3722" s="1" t="s">
        <v>1720</v>
      </c>
      <c r="E3722" s="3" t="str">
        <f>""</f>
        <v/>
      </c>
      <c r="F3722" s="2" t="s">
        <v>1323</v>
      </c>
      <c r="G3722" s="2" t="str">
        <f>CONCATENATE("ŠKOLJIĆ PLIN D.O.O.,"," PUŠĆA 131,"," 51513 OMIŠALJ,"," OIB: 33596394529")</f>
        <v>ŠKOLJIĆ PLIN D.O.O., PUŠĆA 131, 51513 OMIŠALJ, OIB: 33596394529</v>
      </c>
      <c r="H3722" s="4"/>
      <c r="I3722" s="1" t="s">
        <v>440</v>
      </c>
      <c r="J3722" s="5">
        <v>43637</v>
      </c>
      <c r="K3722" s="6" t="str">
        <f>"3.105,60"</f>
        <v>3.105,60</v>
      </c>
      <c r="L3722" s="6" t="str">
        <f>"776,40"</f>
        <v>776,40</v>
      </c>
      <c r="M3722" s="6" t="str">
        <f>"3.882,00"</f>
        <v>3.882,00</v>
      </c>
      <c r="N3722" s="5">
        <v>43644</v>
      </c>
      <c r="O3722" s="7"/>
      <c r="P3722" s="6" t="str">
        <f>"3.882,00"</f>
        <v>3.882,00</v>
      </c>
      <c r="Q3722" s="7"/>
      <c r="R3722" s="1"/>
      <c r="S3722" s="1" t="str">
        <f>"J-UN-2019-3852"</f>
        <v>J-UN-2019-3852</v>
      </c>
      <c r="T3722" s="2" t="s">
        <v>33</v>
      </c>
    </row>
    <row r="3723" spans="1:20" ht="38.25" x14ac:dyDescent="0.25">
      <c r="A3723" s="1">
        <v>3719</v>
      </c>
      <c r="B3723" s="1" t="str">
        <f>"2019-2725"</f>
        <v>2019-2725</v>
      </c>
      <c r="C3723" s="2" t="s">
        <v>2377</v>
      </c>
      <c r="D3723" s="1" t="s">
        <v>142</v>
      </c>
      <c r="E3723" s="3" t="str">
        <f>""</f>
        <v/>
      </c>
      <c r="F3723" s="2" t="s">
        <v>1323</v>
      </c>
      <c r="G3723" s="2" t="str">
        <f>CONCATENATE("KSU D.O.O.,"," DR. JURJA DOBRILE 50,"," 10410 VELIKA GORICA,"," OIB: 349769936")</f>
        <v>KSU D.O.O., DR. JURJA DOBRILE 50, 10410 VELIKA GORICA, OIB: 349769936</v>
      </c>
      <c r="H3723" s="4"/>
      <c r="I3723" s="1" t="s">
        <v>640</v>
      </c>
      <c r="J3723" s="5">
        <v>43738</v>
      </c>
      <c r="K3723" s="6" t="str">
        <f>"47.800,00"</f>
        <v>47.800,00</v>
      </c>
      <c r="L3723" s="6" t="str">
        <f>"11.950,00"</f>
        <v>11.950,00</v>
      </c>
      <c r="M3723" s="6" t="str">
        <f>"59.750,00"</f>
        <v>59.750,00</v>
      </c>
      <c r="N3723" s="5">
        <v>43704</v>
      </c>
      <c r="O3723" s="7"/>
      <c r="P3723" s="6" t="str">
        <f>"39.920,04"</f>
        <v>39.920,04</v>
      </c>
      <c r="Q3723" s="7"/>
      <c r="R3723" s="1"/>
      <c r="S3723" s="1" t="str">
        <f>"J-UN-2019-3853"</f>
        <v>J-UN-2019-3853</v>
      </c>
      <c r="T3723" s="2" t="s">
        <v>33</v>
      </c>
    </row>
    <row r="3724" spans="1:20" ht="25.5" x14ac:dyDescent="0.25">
      <c r="A3724" s="1">
        <v>3720</v>
      </c>
      <c r="B3724" s="1" t="str">
        <f>"2019-1016"</f>
        <v>2019-1016</v>
      </c>
      <c r="C3724" s="2" t="s">
        <v>2378</v>
      </c>
      <c r="D3724" s="1" t="s">
        <v>860</v>
      </c>
      <c r="E3724" s="3" t="str">
        <f>""</f>
        <v/>
      </c>
      <c r="F3724" s="2" t="s">
        <v>1323</v>
      </c>
      <c r="G3724" s="2" t="str">
        <f>CONCATENATE("TRING D.O.O.,"," UTINJSKA 12,"," 10000 ZAGREB,"," OIB: 27907882279")</f>
        <v>TRING D.O.O., UTINJSKA 12, 10000 ZAGREB, OIB: 27907882279</v>
      </c>
      <c r="H3724" s="4"/>
      <c r="I3724" s="1" t="s">
        <v>640</v>
      </c>
      <c r="J3724" s="5">
        <v>43647</v>
      </c>
      <c r="K3724" s="6" t="str">
        <f>"3.195,00"</f>
        <v>3.195,00</v>
      </c>
      <c r="L3724" s="6" t="str">
        <f>"798,75"</f>
        <v>798,75</v>
      </c>
      <c r="M3724" s="6" t="str">
        <f>"3.993,75"</f>
        <v>3.993,75</v>
      </c>
      <c r="N3724" s="5">
        <v>43685</v>
      </c>
      <c r="O3724" s="7"/>
      <c r="P3724" s="6" t="str">
        <f>"3.993,75"</f>
        <v>3.993,75</v>
      </c>
      <c r="Q3724" s="7"/>
      <c r="R3724" s="1"/>
      <c r="S3724" s="1" t="str">
        <f>"J-UN-2019-3854"</f>
        <v>J-UN-2019-3854</v>
      </c>
      <c r="T3724" s="2" t="s">
        <v>33</v>
      </c>
    </row>
    <row r="3725" spans="1:20" ht="25.5" x14ac:dyDescent="0.25">
      <c r="A3725" s="1">
        <v>3721</v>
      </c>
      <c r="B3725" s="1" t="str">
        <f>"2019-364"</f>
        <v>2019-364</v>
      </c>
      <c r="C3725" s="2" t="s">
        <v>2160</v>
      </c>
      <c r="D3725" s="1" t="s">
        <v>1534</v>
      </c>
      <c r="E3725" s="3" t="str">
        <f>""</f>
        <v/>
      </c>
      <c r="F3725" s="2" t="s">
        <v>1323</v>
      </c>
      <c r="G3725" s="2" t="str">
        <f>CONCATENATE("ECCOS-INŽENJERING D.O.O.,"," BANI 110,"," 10000 ZAGREB,"," OIB: 71629027685")</f>
        <v>ECCOS-INŽENJERING D.O.O., BANI 110, 10000 ZAGREB, OIB: 71629027685</v>
      </c>
      <c r="H3725" s="4"/>
      <c r="I3725" s="1" t="s">
        <v>440</v>
      </c>
      <c r="J3725" s="5">
        <v>43637</v>
      </c>
      <c r="K3725" s="6" t="str">
        <f>"2.200,00"</f>
        <v>2.200,00</v>
      </c>
      <c r="L3725" s="6" t="str">
        <f>"550,00"</f>
        <v>550,00</v>
      </c>
      <c r="M3725" s="6" t="str">
        <f>"2.750,00"</f>
        <v>2.750,00</v>
      </c>
      <c r="N3725" s="5">
        <v>43663</v>
      </c>
      <c r="O3725" s="7"/>
      <c r="P3725" s="6" t="str">
        <f>"2.750,00"</f>
        <v>2.750,00</v>
      </c>
      <c r="Q3725" s="7"/>
      <c r="R3725" s="1"/>
      <c r="S3725" s="1" t="str">
        <f>"J-UN-2019-3856"</f>
        <v>J-UN-2019-3856</v>
      </c>
      <c r="T3725" s="2" t="s">
        <v>33</v>
      </c>
    </row>
    <row r="3726" spans="1:20" ht="38.25" x14ac:dyDescent="0.25">
      <c r="A3726" s="1">
        <v>3722</v>
      </c>
      <c r="B3726" s="1" t="str">
        <f>"2019-1617"</f>
        <v>2019-1617</v>
      </c>
      <c r="C3726" s="2" t="s">
        <v>2379</v>
      </c>
      <c r="D3726" s="1" t="s">
        <v>502</v>
      </c>
      <c r="E3726" s="3" t="str">
        <f>""</f>
        <v/>
      </c>
      <c r="F3726" s="2" t="s">
        <v>1323</v>
      </c>
      <c r="G3726" s="2" t="str">
        <f>CONCATENATE("TRING D.O.O.,"," UTINJSKA 12,"," 10000 ZAGREB,"," OIB: 27907882279")</f>
        <v>TRING D.O.O., UTINJSKA 12, 10000 ZAGREB, OIB: 27907882279</v>
      </c>
      <c r="H3726" s="4"/>
      <c r="I3726" s="1" t="s">
        <v>403</v>
      </c>
      <c r="J3726" s="5">
        <v>43644</v>
      </c>
      <c r="K3726" s="6" t="str">
        <f>"21.591,00"</f>
        <v>21.591,00</v>
      </c>
      <c r="L3726" s="6" t="str">
        <f>"5.397,75"</f>
        <v>5.397,75</v>
      </c>
      <c r="M3726" s="6" t="str">
        <f>"26.988,75"</f>
        <v>26.988,75</v>
      </c>
      <c r="N3726" s="5">
        <v>43685</v>
      </c>
      <c r="O3726" s="7"/>
      <c r="P3726" s="6" t="str">
        <f>"26.988,75"</f>
        <v>26.988,75</v>
      </c>
      <c r="Q3726" s="7"/>
      <c r="R3726" s="1"/>
      <c r="S3726" s="1" t="str">
        <f>"J-UN-2019-3857"</f>
        <v>J-UN-2019-3857</v>
      </c>
      <c r="T3726" s="2" t="s">
        <v>33</v>
      </c>
    </row>
    <row r="3727" spans="1:20" ht="25.5" x14ac:dyDescent="0.25">
      <c r="A3727" s="1">
        <v>3723</v>
      </c>
      <c r="B3727" s="1" t="str">
        <f>"2019-1441"</f>
        <v>2019-1441</v>
      </c>
      <c r="C3727" s="2" t="s">
        <v>2380</v>
      </c>
      <c r="D3727" s="1" t="s">
        <v>295</v>
      </c>
      <c r="E3727" s="3" t="str">
        <f>""</f>
        <v/>
      </c>
      <c r="F3727" s="2" t="s">
        <v>1323</v>
      </c>
      <c r="G3727" s="2" t="str">
        <f>CONCATENATE("HANZA MEDIA D.O.O.,"," KORANSKA 2,"," 10000 ZAGREB,"," OIB: 79517545745")</f>
        <v>HANZA MEDIA D.O.O., KORANSKA 2, 10000 ZAGREB, OIB: 79517545745</v>
      </c>
      <c r="H3727" s="4"/>
      <c r="I3727" s="1" t="s">
        <v>440</v>
      </c>
      <c r="J3727" s="5">
        <v>43637</v>
      </c>
      <c r="K3727" s="6" t="str">
        <f>"22.837,50"</f>
        <v>22.837,50</v>
      </c>
      <c r="L3727" s="6" t="str">
        <f>"5.709,38"</f>
        <v>5.709,38</v>
      </c>
      <c r="M3727" s="6" t="str">
        <f>"28.546,88"</f>
        <v>28.546,88</v>
      </c>
      <c r="N3727" s="5">
        <v>43628</v>
      </c>
      <c r="O3727" s="7"/>
      <c r="P3727" s="6" t="str">
        <f>"28.546,88"</f>
        <v>28.546,88</v>
      </c>
      <c r="Q3727" s="7"/>
      <c r="R3727" s="1"/>
      <c r="S3727" s="1" t="str">
        <f>"J-UN-2019-3859"</f>
        <v>J-UN-2019-3859</v>
      </c>
      <c r="T3727" s="2" t="s">
        <v>33</v>
      </c>
    </row>
    <row r="3728" spans="1:20" ht="25.5" x14ac:dyDescent="0.25">
      <c r="A3728" s="1">
        <v>3724</v>
      </c>
      <c r="B3728" s="1" t="str">
        <f>"2019-926"</f>
        <v>2019-926</v>
      </c>
      <c r="C3728" s="2" t="s">
        <v>2313</v>
      </c>
      <c r="D3728" s="1" t="s">
        <v>416</v>
      </c>
      <c r="E3728" s="3" t="str">
        <f>""</f>
        <v/>
      </c>
      <c r="F3728" s="2" t="s">
        <v>1323</v>
      </c>
      <c r="G3728" s="2" t="str">
        <f>CONCATENATE("BORBOLETA D.O.O.,"," GUNDULIĆEVA ULICA 1,"," 10000 ZAGREB,"," OIB: 96776797706")</f>
        <v>BORBOLETA D.O.O., GUNDULIĆEVA ULICA 1, 10000 ZAGREB, OIB: 96776797706</v>
      </c>
      <c r="H3728" s="4"/>
      <c r="I3728" s="1" t="s">
        <v>440</v>
      </c>
      <c r="J3728" s="5">
        <v>43637</v>
      </c>
      <c r="K3728" s="6" t="str">
        <f>"4.900,00"</f>
        <v>4.900,00</v>
      </c>
      <c r="L3728" s="6" t="str">
        <f>"1.225,00"</f>
        <v>1.225,00</v>
      </c>
      <c r="M3728" s="6" t="str">
        <f>"6.125,00"</f>
        <v>6.125,00</v>
      </c>
      <c r="N3728" s="1" t="s">
        <v>117</v>
      </c>
      <c r="O3728" s="7"/>
      <c r="P3728" s="6" t="str">
        <f>""</f>
        <v/>
      </c>
      <c r="Q3728" s="7"/>
      <c r="R3728" s="1"/>
      <c r="S3728" s="1" t="str">
        <f>"J-UN-2019-3860"</f>
        <v>J-UN-2019-3860</v>
      </c>
      <c r="T3728" s="2" t="s">
        <v>33</v>
      </c>
    </row>
    <row r="3729" spans="1:20" ht="25.5" x14ac:dyDescent="0.25">
      <c r="A3729" s="1">
        <v>3725</v>
      </c>
      <c r="B3729" s="1" t="str">
        <f>"2019-2202"</f>
        <v>2019-2202</v>
      </c>
      <c r="C3729" s="2" t="s">
        <v>2381</v>
      </c>
      <c r="D3729" s="1" t="s">
        <v>295</v>
      </c>
      <c r="E3729" s="3" t="str">
        <f>""</f>
        <v/>
      </c>
      <c r="F3729" s="2" t="s">
        <v>1323</v>
      </c>
      <c r="G3729" s="2" t="str">
        <f>CONCATENATE("MEDIA VAL D.O.O.,"," BUDMANIJEVA 5/2,"," 10000 ZAGREB,"," OIB: 81877196963")</f>
        <v>MEDIA VAL D.O.O., BUDMANIJEVA 5/2, 10000 ZAGREB, OIB: 81877196963</v>
      </c>
      <c r="H3729" s="4"/>
      <c r="I3729" s="1" t="s">
        <v>440</v>
      </c>
      <c r="J3729" s="5">
        <v>43637</v>
      </c>
      <c r="K3729" s="6" t="str">
        <f>"20.000,00"</f>
        <v>20.000,00</v>
      </c>
      <c r="L3729" s="6" t="str">
        <f>"5.000,00"</f>
        <v>5.000,00</v>
      </c>
      <c r="M3729" s="6" t="str">
        <f>"25.000,00"</f>
        <v>25.000,00</v>
      </c>
      <c r="N3729" s="1" t="s">
        <v>117</v>
      </c>
      <c r="O3729" s="7"/>
      <c r="P3729" s="6" t="str">
        <f>""</f>
        <v/>
      </c>
      <c r="Q3729" s="7"/>
      <c r="R3729" s="1"/>
      <c r="S3729" s="1" t="str">
        <f>"J-UN-2019-3861"</f>
        <v>J-UN-2019-3861</v>
      </c>
      <c r="T3729" s="2" t="s">
        <v>33</v>
      </c>
    </row>
    <row r="3730" spans="1:20" ht="25.5" x14ac:dyDescent="0.25">
      <c r="A3730" s="1">
        <v>3726</v>
      </c>
      <c r="B3730" s="1" t="str">
        <f>"2019-895"</f>
        <v>2019-895</v>
      </c>
      <c r="C3730" s="2" t="s">
        <v>2113</v>
      </c>
      <c r="D3730" s="1" t="s">
        <v>2114</v>
      </c>
      <c r="E3730" s="3" t="str">
        <f>""</f>
        <v/>
      </c>
      <c r="F3730" s="2" t="s">
        <v>1323</v>
      </c>
      <c r="G3730" s="2" t="str">
        <f>CONCATENATE("MEDIA VAL D.O.O.,"," BUDMANIJEVA 5/2,"," 10000 ZAGREB,"," OIB: 81877196963")</f>
        <v>MEDIA VAL D.O.O., BUDMANIJEVA 5/2, 10000 ZAGREB, OIB: 81877196963</v>
      </c>
      <c r="H3730" s="4"/>
      <c r="I3730" s="1" t="s">
        <v>440</v>
      </c>
      <c r="J3730" s="5">
        <v>43637</v>
      </c>
      <c r="K3730" s="6" t="str">
        <f>"169.200,00"</f>
        <v>169.200,00</v>
      </c>
      <c r="L3730" s="6" t="str">
        <f>"42.300,00"</f>
        <v>42.300,00</v>
      </c>
      <c r="M3730" s="6" t="str">
        <f>"211.500,00"</f>
        <v>211.500,00</v>
      </c>
      <c r="N3730" s="5">
        <v>43646</v>
      </c>
      <c r="O3730" s="7"/>
      <c r="P3730" s="6" t="str">
        <f>"105.750,00"</f>
        <v>105.750,00</v>
      </c>
      <c r="Q3730" s="7"/>
      <c r="R3730" s="1"/>
      <c r="S3730" s="1" t="str">
        <f>"J-UN-2019-3862"</f>
        <v>J-UN-2019-3862</v>
      </c>
      <c r="T3730" s="2" t="s">
        <v>33</v>
      </c>
    </row>
    <row r="3731" spans="1:20" ht="25.5" x14ac:dyDescent="0.25">
      <c r="A3731" s="1">
        <v>3727</v>
      </c>
      <c r="B3731" s="1" t="str">
        <f>"2019-482"</f>
        <v>2019-482</v>
      </c>
      <c r="C3731" s="2" t="s">
        <v>2228</v>
      </c>
      <c r="D3731" s="1" t="s">
        <v>2229</v>
      </c>
      <c r="E3731" s="3" t="str">
        <f>""</f>
        <v/>
      </c>
      <c r="F3731" s="2" t="s">
        <v>1323</v>
      </c>
      <c r="G3731" s="2" t="str">
        <f>CONCATENATE("TRA-MONT D.O.O.,"," MILIVOJA MATOŠECA 5,"," 10000 ZAGREB,"," OIB: 05336208843")</f>
        <v>TRA-MONT D.O.O., MILIVOJA MATOŠECA 5, 10000 ZAGREB, OIB: 05336208843</v>
      </c>
      <c r="H3731" s="4"/>
      <c r="I3731" s="1" t="s">
        <v>440</v>
      </c>
      <c r="J3731" s="5">
        <v>43637</v>
      </c>
      <c r="K3731" s="6" t="str">
        <f>"200,00"</f>
        <v>200,00</v>
      </c>
      <c r="L3731" s="6" t="str">
        <f>"50,00"</f>
        <v>50,00</v>
      </c>
      <c r="M3731" s="6" t="str">
        <f>"250,00"</f>
        <v>250,00</v>
      </c>
      <c r="N3731" s="5">
        <v>43647</v>
      </c>
      <c r="O3731" s="7"/>
      <c r="P3731" s="6" t="str">
        <f>"250,00"</f>
        <v>250,00</v>
      </c>
      <c r="Q3731" s="7"/>
      <c r="R3731" s="1"/>
      <c r="S3731" s="1" t="str">
        <f>"J-UN-2019-3869"</f>
        <v>J-UN-2019-3869</v>
      </c>
      <c r="T3731" s="2" t="s">
        <v>33</v>
      </c>
    </row>
    <row r="3732" spans="1:20" ht="25.5" x14ac:dyDescent="0.25">
      <c r="A3732" s="1">
        <v>3728</v>
      </c>
      <c r="B3732" s="1" t="str">
        <f>"2019-2213"</f>
        <v>2019-2213</v>
      </c>
      <c r="C3732" s="2" t="s">
        <v>2382</v>
      </c>
      <c r="D3732" s="1" t="s">
        <v>49</v>
      </c>
      <c r="E3732" s="3" t="str">
        <f>""</f>
        <v/>
      </c>
      <c r="F3732" s="2" t="s">
        <v>1323</v>
      </c>
      <c r="G3732" s="2" t="str">
        <f>CONCATENATE("KING ICT D.O.O.,"," BUZINSKI PRILAZ 10,"," 10010 ZAGREB,"," OIB: 67001695549")</f>
        <v>KING ICT D.O.O., BUZINSKI PRILAZ 10, 10010 ZAGREB, OIB: 67001695549</v>
      </c>
      <c r="H3732" s="4"/>
      <c r="I3732" s="1" t="s">
        <v>930</v>
      </c>
      <c r="J3732" s="5">
        <v>43640</v>
      </c>
      <c r="K3732" s="6" t="str">
        <f>"900,00"</f>
        <v>900,00</v>
      </c>
      <c r="L3732" s="6" t="str">
        <f>"225,00"</f>
        <v>225,00</v>
      </c>
      <c r="M3732" s="6" t="str">
        <f>"1.125,00"</f>
        <v>1.125,00</v>
      </c>
      <c r="N3732" s="1" t="s">
        <v>117</v>
      </c>
      <c r="O3732" s="7"/>
      <c r="P3732" s="6" t="str">
        <f>""</f>
        <v/>
      </c>
      <c r="Q3732" s="7"/>
      <c r="R3732" s="1"/>
      <c r="S3732" s="1" t="str">
        <f>"J-UN-2019-3896"</f>
        <v>J-UN-2019-3896</v>
      </c>
      <c r="T3732" s="2" t="s">
        <v>33</v>
      </c>
    </row>
    <row r="3733" spans="1:20" ht="25.5" x14ac:dyDescent="0.25">
      <c r="A3733" s="1">
        <v>3729</v>
      </c>
      <c r="B3733" s="1" t="str">
        <f>"2019-846"</f>
        <v>2019-846</v>
      </c>
      <c r="C3733" s="2" t="s">
        <v>2288</v>
      </c>
      <c r="D3733" s="1" t="s">
        <v>2289</v>
      </c>
      <c r="E3733" s="3" t="str">
        <f>""</f>
        <v/>
      </c>
      <c r="F3733" s="2" t="s">
        <v>1323</v>
      </c>
      <c r="G3733" s="2" t="str">
        <f>CONCATENATE("TEHNO-HIDRAULIK D.O.O.,"," RADNIČKA 9/A,"," 10000 ZAGREB,"," OIB: 09925328419")</f>
        <v>TEHNO-HIDRAULIK D.O.O., RADNIČKA 9/A, 10000 ZAGREB, OIB: 09925328419</v>
      </c>
      <c r="H3733" s="4"/>
      <c r="I3733" s="1" t="s">
        <v>403</v>
      </c>
      <c r="J3733" s="5">
        <v>43644</v>
      </c>
      <c r="K3733" s="6" t="str">
        <f>"6.249,45"</f>
        <v>6.249,45</v>
      </c>
      <c r="L3733" s="6" t="str">
        <f>"1.562,36"</f>
        <v>1.562,36</v>
      </c>
      <c r="M3733" s="6" t="str">
        <f>"7.811,81"</f>
        <v>7.811,81</v>
      </c>
      <c r="N3733" s="5">
        <v>43651</v>
      </c>
      <c r="O3733" s="7"/>
      <c r="P3733" s="6" t="str">
        <f>"7.811,81"</f>
        <v>7.811,81</v>
      </c>
      <c r="Q3733" s="7"/>
      <c r="R3733" s="1"/>
      <c r="S3733" s="1" t="str">
        <f>"J-UN-2019-3897"</f>
        <v>J-UN-2019-3897</v>
      </c>
      <c r="T3733" s="2" t="s">
        <v>33</v>
      </c>
    </row>
    <row r="3734" spans="1:20" ht="25.5" x14ac:dyDescent="0.25">
      <c r="A3734" s="1">
        <v>3730</v>
      </c>
      <c r="B3734" s="1" t="str">
        <f>"2019-2286"</f>
        <v>2019-2286</v>
      </c>
      <c r="C3734" s="2" t="s">
        <v>2004</v>
      </c>
      <c r="D3734" s="1" t="s">
        <v>1266</v>
      </c>
      <c r="E3734" s="3" t="str">
        <f>""</f>
        <v/>
      </c>
      <c r="F3734" s="2" t="s">
        <v>1323</v>
      </c>
      <c r="G3734" s="2" t="str">
        <f>CONCATENATE("TAHOGRAF D.O.O.,"," DR. FRANJE TUĐMANA 24,"," 10431 SVETA NEDELJA,"," OIB: 73777060562")</f>
        <v>TAHOGRAF D.O.O., DR. FRANJE TUĐMANA 24, 10431 SVETA NEDELJA, OIB: 73777060562</v>
      </c>
      <c r="H3734" s="4"/>
      <c r="I3734" s="1" t="s">
        <v>930</v>
      </c>
      <c r="J3734" s="5">
        <v>43640</v>
      </c>
      <c r="K3734" s="6" t="str">
        <f>"4.156,60"</f>
        <v>4.156,60</v>
      </c>
      <c r="L3734" s="6" t="str">
        <f>"1.039,15"</f>
        <v>1.039,15</v>
      </c>
      <c r="M3734" s="6" t="str">
        <f>"5.195,75"</f>
        <v>5.195,75</v>
      </c>
      <c r="N3734" s="5">
        <v>43621</v>
      </c>
      <c r="O3734" s="7"/>
      <c r="P3734" s="6" t="str">
        <f>"5.195,75"</f>
        <v>5.195,75</v>
      </c>
      <c r="Q3734" s="7"/>
      <c r="R3734" s="1"/>
      <c r="S3734" s="1" t="str">
        <f>"J-UN-2019-3898"</f>
        <v>J-UN-2019-3898</v>
      </c>
      <c r="T3734" s="2" t="s">
        <v>33</v>
      </c>
    </row>
    <row r="3735" spans="1:20" ht="25.5" x14ac:dyDescent="0.25">
      <c r="A3735" s="1">
        <v>3731</v>
      </c>
      <c r="B3735" s="1" t="str">
        <f>"2019-1920"</f>
        <v>2019-1920</v>
      </c>
      <c r="C3735" s="2" t="s">
        <v>2383</v>
      </c>
      <c r="D3735" s="1" t="s">
        <v>2231</v>
      </c>
      <c r="E3735" s="3" t="str">
        <f>""</f>
        <v/>
      </c>
      <c r="F3735" s="2" t="s">
        <v>1323</v>
      </c>
      <c r="G3735" s="2" t="str">
        <f>CONCATENATE("PRESSCUT D.O.O.,"," DOMAGOJEVA 2,"," 10000 ZAGREB,"," OIB: 34672089688")</f>
        <v>PRESSCUT D.O.O., DOMAGOJEVA 2, 10000 ZAGREB, OIB: 34672089688</v>
      </c>
      <c r="H3735" s="4"/>
      <c r="I3735" s="1" t="s">
        <v>930</v>
      </c>
      <c r="J3735" s="5">
        <v>43640</v>
      </c>
      <c r="K3735" s="6" t="str">
        <f>"443,70"</f>
        <v>443,70</v>
      </c>
      <c r="L3735" s="6" t="str">
        <f>"110,93"</f>
        <v>110,93</v>
      </c>
      <c r="M3735" s="6" t="str">
        <f>"554,63"</f>
        <v>554,63</v>
      </c>
      <c r="N3735" s="5">
        <v>43616</v>
      </c>
      <c r="O3735" s="7"/>
      <c r="P3735" s="6" t="str">
        <f>"554,62"</f>
        <v>554,62</v>
      </c>
      <c r="Q3735" s="7"/>
      <c r="R3735" s="1"/>
      <c r="S3735" s="1" t="str">
        <f>"J-UN-2019-3899"</f>
        <v>J-UN-2019-3899</v>
      </c>
      <c r="T3735" s="2" t="s">
        <v>33</v>
      </c>
    </row>
    <row r="3736" spans="1:20" ht="25.5" x14ac:dyDescent="0.25">
      <c r="A3736" s="1">
        <v>3732</v>
      </c>
      <c r="B3736" s="1" t="str">
        <f>"2019-1766"</f>
        <v>2019-1766</v>
      </c>
      <c r="C3736" s="2" t="s">
        <v>1949</v>
      </c>
      <c r="D3736" s="1" t="s">
        <v>1950</v>
      </c>
      <c r="E3736" s="3" t="str">
        <f>""</f>
        <v/>
      </c>
      <c r="F3736" s="2" t="s">
        <v>1323</v>
      </c>
      <c r="G3736" s="2" t="str">
        <f>CONCATENATE("MAXIMA USLUGE D.O.O.,"," SAMOBORSKA 222,"," 10000 ZAGREB,"," OIB: 69133421958")</f>
        <v>MAXIMA USLUGE D.O.O., SAMOBORSKA 222, 10000 ZAGREB, OIB: 69133421958</v>
      </c>
      <c r="H3736" s="4"/>
      <c r="I3736" s="1" t="s">
        <v>930</v>
      </c>
      <c r="J3736" s="5">
        <v>43640</v>
      </c>
      <c r="K3736" s="6" t="str">
        <f>"877,50"</f>
        <v>877,50</v>
      </c>
      <c r="L3736" s="6" t="str">
        <f>"219,38"</f>
        <v>219,38</v>
      </c>
      <c r="M3736" s="6" t="str">
        <f>"1.096,88"</f>
        <v>1.096,88</v>
      </c>
      <c r="N3736" s="1" t="s">
        <v>117</v>
      </c>
      <c r="O3736" s="7"/>
      <c r="P3736" s="6" t="str">
        <f>""</f>
        <v/>
      </c>
      <c r="Q3736" s="7"/>
      <c r="R3736" s="1"/>
      <c r="S3736" s="1" t="str">
        <f>"J-UN-2019-3900"</f>
        <v>J-UN-2019-3900</v>
      </c>
      <c r="T3736" s="2" t="s">
        <v>33</v>
      </c>
    </row>
    <row r="3737" spans="1:20" ht="25.5" x14ac:dyDescent="0.25">
      <c r="A3737" s="1">
        <v>3733</v>
      </c>
      <c r="B3737" s="1" t="str">
        <f>"2019-850"</f>
        <v>2019-850</v>
      </c>
      <c r="C3737" s="2" t="s">
        <v>2329</v>
      </c>
      <c r="D3737" s="1" t="s">
        <v>90</v>
      </c>
      <c r="E3737" s="3" t="str">
        <f>""</f>
        <v/>
      </c>
      <c r="F3737" s="2" t="s">
        <v>1323</v>
      </c>
      <c r="G3737" s="2" t="str">
        <f>CONCATENATE("O-K-TEH d.o.o.,"," VUČAK 16A,"," 10000 ZAGREB,"," OIB: 37322381288")</f>
        <v>O-K-TEH d.o.o., VUČAK 16A, 10000 ZAGREB, OIB: 37322381288</v>
      </c>
      <c r="H3737" s="4"/>
      <c r="I3737" s="1" t="s">
        <v>930</v>
      </c>
      <c r="J3737" s="5">
        <v>43640</v>
      </c>
      <c r="K3737" s="6" t="str">
        <f>"517,40"</f>
        <v>517,40</v>
      </c>
      <c r="L3737" s="6" t="str">
        <f>"129,35"</f>
        <v>129,35</v>
      </c>
      <c r="M3737" s="6" t="str">
        <f>"646,75"</f>
        <v>646,75</v>
      </c>
      <c r="N3737" s="5">
        <v>43647</v>
      </c>
      <c r="O3737" s="7"/>
      <c r="P3737" s="6" t="str">
        <f>"646,75"</f>
        <v>646,75</v>
      </c>
      <c r="Q3737" s="7"/>
      <c r="R3737" s="1"/>
      <c r="S3737" s="1" t="str">
        <f>"J-UN-2019-3906"</f>
        <v>J-UN-2019-3906</v>
      </c>
      <c r="T3737" s="2" t="s">
        <v>33</v>
      </c>
    </row>
    <row r="3738" spans="1:20" ht="38.25" x14ac:dyDescent="0.25">
      <c r="A3738" s="1">
        <v>3734</v>
      </c>
      <c r="B3738" s="1" t="str">
        <f>"2019-841"</f>
        <v>2019-841</v>
      </c>
      <c r="C3738" s="2" t="s">
        <v>2252</v>
      </c>
      <c r="D3738" s="1" t="s">
        <v>90</v>
      </c>
      <c r="E3738" s="3" t="str">
        <f>""</f>
        <v/>
      </c>
      <c r="F3738" s="2" t="s">
        <v>1323</v>
      </c>
      <c r="G3738" s="2" t="str">
        <f>CONCATENATE("DDSERVIS D.O.O.,"," SISAČKA CESTA III ODVOJAK 7,"," 10020 ZAGREB,"," OIB: 95325472047")</f>
        <v>DDSERVIS D.O.O., SISAČKA CESTA III ODVOJAK 7, 10020 ZAGREB, OIB: 95325472047</v>
      </c>
      <c r="H3738" s="4"/>
      <c r="I3738" s="1" t="s">
        <v>930</v>
      </c>
      <c r="J3738" s="5">
        <v>43640</v>
      </c>
      <c r="K3738" s="6" t="str">
        <f>"5.714,55"</f>
        <v>5.714,55</v>
      </c>
      <c r="L3738" s="6" t="str">
        <f>"1.428,64"</f>
        <v>1.428,64</v>
      </c>
      <c r="M3738" s="6" t="str">
        <f>"7.143,19"</f>
        <v>7.143,19</v>
      </c>
      <c r="N3738" s="5">
        <v>43650</v>
      </c>
      <c r="O3738" s="7"/>
      <c r="P3738" s="6" t="str">
        <f>"7.143,19"</f>
        <v>7.143,19</v>
      </c>
      <c r="Q3738" s="7"/>
      <c r="R3738" s="1"/>
      <c r="S3738" s="1" t="str">
        <f>"J-UN-2019-3907"</f>
        <v>J-UN-2019-3907</v>
      </c>
      <c r="T3738" s="2" t="s">
        <v>33</v>
      </c>
    </row>
    <row r="3739" spans="1:20" ht="25.5" x14ac:dyDescent="0.25">
      <c r="A3739" s="1">
        <v>3735</v>
      </c>
      <c r="B3739" s="1" t="str">
        <f>"2019-1621"</f>
        <v>2019-1621</v>
      </c>
      <c r="C3739" s="2" t="s">
        <v>2336</v>
      </c>
      <c r="D3739" s="1" t="s">
        <v>90</v>
      </c>
      <c r="E3739" s="3" t="str">
        <f>""</f>
        <v/>
      </c>
      <c r="F3739" s="2" t="s">
        <v>1323</v>
      </c>
      <c r="G3739" s="2" t="str">
        <f>CONCATENATE("GRA-PO D.O.O.,"," GOSPODARSKA 5B,"," 10255 ZAGREB - STUPNIK,"," OIB: 05364995085")</f>
        <v>GRA-PO D.O.O., GOSPODARSKA 5B, 10255 ZAGREB - STUPNIK, OIB: 05364995085</v>
      </c>
      <c r="H3739" s="4"/>
      <c r="I3739" s="1" t="s">
        <v>930</v>
      </c>
      <c r="J3739" s="5">
        <v>43640</v>
      </c>
      <c r="K3739" s="6" t="str">
        <f>"989,00"</f>
        <v>989,00</v>
      </c>
      <c r="L3739" s="6" t="str">
        <f>"247,25"</f>
        <v>247,25</v>
      </c>
      <c r="M3739" s="6" t="str">
        <f>"1.236,25"</f>
        <v>1.236,25</v>
      </c>
      <c r="N3739" s="5">
        <v>43644</v>
      </c>
      <c r="O3739" s="7"/>
      <c r="P3739" s="6" t="str">
        <f>"1.236,25"</f>
        <v>1.236,25</v>
      </c>
      <c r="Q3739" s="7"/>
      <c r="R3739" s="1"/>
      <c r="S3739" s="1" t="str">
        <f>"J-UN-2019-3908"</f>
        <v>J-UN-2019-3908</v>
      </c>
      <c r="T3739" s="2" t="s">
        <v>33</v>
      </c>
    </row>
    <row r="3740" spans="1:20" ht="25.5" x14ac:dyDescent="0.25">
      <c r="A3740" s="1">
        <v>3736</v>
      </c>
      <c r="B3740" s="1" t="str">
        <f>"2019-2208"</f>
        <v>2019-2208</v>
      </c>
      <c r="C3740" s="2" t="s">
        <v>2346</v>
      </c>
      <c r="D3740" s="1" t="s">
        <v>192</v>
      </c>
      <c r="E3740" s="3" t="str">
        <f>""</f>
        <v/>
      </c>
      <c r="F3740" s="2" t="s">
        <v>1323</v>
      </c>
      <c r="G3740" s="2" t="str">
        <f>CONCATENATE("NIACO D.O.O.,"," IVANA KAMENARIĆA 9,"," 10380 SVETI IVAN ZELINA,"," OIB: 61876916009")</f>
        <v>NIACO D.O.O., IVANA KAMENARIĆA 9, 10380 SVETI IVAN ZELINA, OIB: 61876916009</v>
      </c>
      <c r="H3740" s="4"/>
      <c r="I3740" s="1" t="s">
        <v>930</v>
      </c>
      <c r="J3740" s="5">
        <v>43640</v>
      </c>
      <c r="K3740" s="6" t="str">
        <f>"3.960,00"</f>
        <v>3.960,00</v>
      </c>
      <c r="L3740" s="6" t="str">
        <f>"990,00"</f>
        <v>990,00</v>
      </c>
      <c r="M3740" s="6" t="str">
        <f>"4.950,00"</f>
        <v>4.950,00</v>
      </c>
      <c r="N3740" s="5">
        <v>43663</v>
      </c>
      <c r="O3740" s="7"/>
      <c r="P3740" s="6" t="str">
        <f>"4.950,00"</f>
        <v>4.950,00</v>
      </c>
      <c r="Q3740" s="7"/>
      <c r="R3740" s="1"/>
      <c r="S3740" s="1" t="str">
        <f>"J-UN-2019-3909"</f>
        <v>J-UN-2019-3909</v>
      </c>
      <c r="T3740" s="2" t="s">
        <v>33</v>
      </c>
    </row>
    <row r="3741" spans="1:20" ht="38.25" x14ac:dyDescent="0.25">
      <c r="A3741" s="1">
        <v>3737</v>
      </c>
      <c r="B3741" s="1" t="str">
        <f>"2019-1433"</f>
        <v>2019-1433</v>
      </c>
      <c r="C3741" s="2" t="s">
        <v>2384</v>
      </c>
      <c r="D3741" s="1" t="s">
        <v>2385</v>
      </c>
      <c r="E3741" s="3" t="str">
        <f>""</f>
        <v/>
      </c>
      <c r="F3741" s="2" t="s">
        <v>1323</v>
      </c>
      <c r="G3741" s="2" t="str">
        <f>CONCATENATE("HRVATSKI VETERINARSKI INSTITUT ZAGREB,"," SAVSKA CESTA 143,"," 10000 ZAGREB,"," OIB: 29059177553")</f>
        <v>HRVATSKI VETERINARSKI INSTITUT ZAGREB, SAVSKA CESTA 143, 10000 ZAGREB, OIB: 29059177553</v>
      </c>
      <c r="H3741" s="4"/>
      <c r="I3741" s="1" t="s">
        <v>930</v>
      </c>
      <c r="J3741" s="5">
        <v>44003</v>
      </c>
      <c r="K3741" s="6" t="str">
        <f>"20.000,00"</f>
        <v>20.000,00</v>
      </c>
      <c r="L3741" s="6" t="str">
        <f>"5.000,00"</f>
        <v>5.000,00</v>
      </c>
      <c r="M3741" s="6" t="str">
        <f>"25.000,00"</f>
        <v>25.000,00</v>
      </c>
      <c r="N3741" s="5">
        <v>43644</v>
      </c>
      <c r="O3741" s="7"/>
      <c r="P3741" s="6" t="str">
        <f>"12.500,00"</f>
        <v>12.500,00</v>
      </c>
      <c r="Q3741" s="7"/>
      <c r="R3741" s="1"/>
      <c r="S3741" s="1" t="str">
        <f>"J-UN-2019-3912"</f>
        <v>J-UN-2019-3912</v>
      </c>
      <c r="T3741" s="2" t="s">
        <v>33</v>
      </c>
    </row>
    <row r="3742" spans="1:20" ht="38.25" x14ac:dyDescent="0.25">
      <c r="A3742" s="1">
        <v>3738</v>
      </c>
      <c r="B3742" s="1" t="str">
        <f>"2019-13"</f>
        <v>2019-13</v>
      </c>
      <c r="C3742" s="2" t="s">
        <v>2146</v>
      </c>
      <c r="D3742" s="1" t="s">
        <v>2147</v>
      </c>
      <c r="E3742" s="3" t="str">
        <f>""</f>
        <v/>
      </c>
      <c r="F3742" s="2" t="s">
        <v>1323</v>
      </c>
      <c r="G3742" s="2" t="str">
        <f>CONCATENATE("ZAVOD ZA JAVNO ZDRAVSTVO ISTARSKE ŽUPANIJE,"," NAZOROVA 23,"," 52100 PULA,"," OIB: 90629578695")</f>
        <v>ZAVOD ZA JAVNO ZDRAVSTVO ISTARSKE ŽUPANIJE, NAZOROVA 23, 52100 PULA, OIB: 90629578695</v>
      </c>
      <c r="H3742" s="4"/>
      <c r="I3742" s="1" t="s">
        <v>930</v>
      </c>
      <c r="J3742" s="5">
        <v>43640</v>
      </c>
      <c r="K3742" s="6" t="str">
        <f>"800,00"</f>
        <v>800,00</v>
      </c>
      <c r="L3742" s="6" t="str">
        <f>"200,00"</f>
        <v>200,00</v>
      </c>
      <c r="M3742" s="6" t="str">
        <f>"1.000,00"</f>
        <v>1.000,00</v>
      </c>
      <c r="N3742" s="1" t="s">
        <v>117</v>
      </c>
      <c r="O3742" s="7"/>
      <c r="P3742" s="6" t="str">
        <f>""</f>
        <v/>
      </c>
      <c r="Q3742" s="7"/>
      <c r="R3742" s="1"/>
      <c r="S3742" s="1" t="str">
        <f>"J-UN-2019-3916"</f>
        <v>J-UN-2019-3916</v>
      </c>
      <c r="T3742" s="2" t="s">
        <v>33</v>
      </c>
    </row>
    <row r="3743" spans="1:20" ht="25.5" x14ac:dyDescent="0.25">
      <c r="A3743" s="1">
        <v>3739</v>
      </c>
      <c r="B3743" s="1" t="str">
        <f>"2019-850"</f>
        <v>2019-850</v>
      </c>
      <c r="C3743" s="2" t="s">
        <v>2329</v>
      </c>
      <c r="D3743" s="1" t="s">
        <v>90</v>
      </c>
      <c r="E3743" s="3" t="str">
        <f>""</f>
        <v/>
      </c>
      <c r="F3743" s="2" t="s">
        <v>1323</v>
      </c>
      <c r="G3743" s="2" t="str">
        <f>CONCATENATE("AUTO ARBANAS D.O.O.,"," SISAČKA 45,"," 10410 VELIKA GORICA,"," OIB: 98352441242")</f>
        <v>AUTO ARBANAS D.O.O., SISAČKA 45, 10410 VELIKA GORICA, OIB: 98352441242</v>
      </c>
      <c r="H3743" s="4"/>
      <c r="I3743" s="1" t="s">
        <v>930</v>
      </c>
      <c r="J3743" s="5">
        <v>43640</v>
      </c>
      <c r="K3743" s="6" t="str">
        <f>"2.602,83"</f>
        <v>2.602,83</v>
      </c>
      <c r="L3743" s="6" t="str">
        <f>"650,71"</f>
        <v>650,71</v>
      </c>
      <c r="M3743" s="6" t="str">
        <f>"3.253,54"</f>
        <v>3.253,54</v>
      </c>
      <c r="N3743" s="1" t="s">
        <v>117</v>
      </c>
      <c r="O3743" s="7"/>
      <c r="P3743" s="6" t="str">
        <f>""</f>
        <v/>
      </c>
      <c r="Q3743" s="7"/>
      <c r="R3743" s="1"/>
      <c r="S3743" s="1" t="str">
        <f>"J-UN-2019-3921"</f>
        <v>J-UN-2019-3921</v>
      </c>
      <c r="T3743" s="2" t="s">
        <v>33</v>
      </c>
    </row>
    <row r="3744" spans="1:20" ht="38.25" x14ac:dyDescent="0.25">
      <c r="A3744" s="1">
        <v>3740</v>
      </c>
      <c r="B3744" s="1" t="str">
        <f>"2019-1295"</f>
        <v>2019-1295</v>
      </c>
      <c r="C3744" s="2" t="s">
        <v>2386</v>
      </c>
      <c r="D3744" s="1" t="s">
        <v>972</v>
      </c>
      <c r="E3744" s="3" t="str">
        <f>""</f>
        <v/>
      </c>
      <c r="F3744" s="2" t="s">
        <v>1323</v>
      </c>
      <c r="G3744" s="2" t="str">
        <f>CONCATENATE("DALEKOVOD PROIZVODNJA D.O.O.,"," TRNOŠČICA 17,"," 10370 DUGO SELO,"," OIB: 79970472123")</f>
        <v>DALEKOVOD PROIZVODNJA D.O.O., TRNOŠČICA 17, 10370 DUGO SELO, OIB: 79970472123</v>
      </c>
      <c r="H3744" s="4"/>
      <c r="I3744" s="1" t="s">
        <v>930</v>
      </c>
      <c r="J3744" s="5">
        <v>43640</v>
      </c>
      <c r="K3744" s="6" t="str">
        <f>"5.462,50"</f>
        <v>5.462,50</v>
      </c>
      <c r="L3744" s="6" t="str">
        <f>"1.365,63"</f>
        <v>1.365,63</v>
      </c>
      <c r="M3744" s="6" t="str">
        <f>"6.828,13"</f>
        <v>6.828,13</v>
      </c>
      <c r="N3744" s="5">
        <v>43644</v>
      </c>
      <c r="O3744" s="7"/>
      <c r="P3744" s="6" t="str">
        <f>"6.828,12"</f>
        <v>6.828,12</v>
      </c>
      <c r="Q3744" s="7"/>
      <c r="R3744" s="1"/>
      <c r="S3744" s="1" t="str">
        <f>"J-UN-2019-3922"</f>
        <v>J-UN-2019-3922</v>
      </c>
      <c r="T3744" s="2" t="s">
        <v>33</v>
      </c>
    </row>
    <row r="3745" spans="1:20" ht="25.5" x14ac:dyDescent="0.25">
      <c r="A3745" s="1">
        <v>3741</v>
      </c>
      <c r="B3745" s="1" t="str">
        <f>"2019-850"</f>
        <v>2019-850</v>
      </c>
      <c r="C3745" s="2" t="s">
        <v>2329</v>
      </c>
      <c r="D3745" s="1" t="s">
        <v>90</v>
      </c>
      <c r="E3745" s="3" t="str">
        <f>""</f>
        <v/>
      </c>
      <c r="F3745" s="2" t="s">
        <v>1323</v>
      </c>
      <c r="G3745" s="2" t="str">
        <f>CONCATENATE("O-K-TEH d.o.o.,"," VUČAK 16A,"," 10000 ZAGREB,"," OIB: 37322381288")</f>
        <v>O-K-TEH d.o.o., VUČAK 16A, 10000 ZAGREB, OIB: 37322381288</v>
      </c>
      <c r="H3745" s="4"/>
      <c r="I3745" s="1" t="s">
        <v>403</v>
      </c>
      <c r="J3745" s="5">
        <v>43644</v>
      </c>
      <c r="K3745" s="6" t="str">
        <f>"894,00"</f>
        <v>894,00</v>
      </c>
      <c r="L3745" s="6" t="str">
        <f>"223,50"</f>
        <v>223,50</v>
      </c>
      <c r="M3745" s="6" t="str">
        <f>"1.117,50"</f>
        <v>1.117,50</v>
      </c>
      <c r="N3745" s="5">
        <v>43644</v>
      </c>
      <c r="O3745" s="7"/>
      <c r="P3745" s="6" t="str">
        <f>"1.117,50"</f>
        <v>1.117,50</v>
      </c>
      <c r="Q3745" s="7"/>
      <c r="R3745" s="1"/>
      <c r="S3745" s="1" t="str">
        <f>"J-UN-2019-3933"</f>
        <v>J-UN-2019-3933</v>
      </c>
      <c r="T3745" s="2" t="s">
        <v>33</v>
      </c>
    </row>
    <row r="3746" spans="1:20" ht="38.25" x14ac:dyDescent="0.25">
      <c r="A3746" s="1">
        <v>3742</v>
      </c>
      <c r="B3746" s="1" t="str">
        <f>"2019-13"</f>
        <v>2019-13</v>
      </c>
      <c r="C3746" s="2" t="s">
        <v>2146</v>
      </c>
      <c r="D3746" s="1" t="s">
        <v>2147</v>
      </c>
      <c r="E3746" s="3" t="str">
        <f>""</f>
        <v/>
      </c>
      <c r="F3746" s="2" t="s">
        <v>1323</v>
      </c>
      <c r="G3746" s="2" t="str">
        <f>CONCATENATE("ZAVOD ZA JAVNO ZDRAVSTVO ISTARSKE ŽUPANIJE,"," NAZOROVA 23,"," 52100 PULA,"," OIB: 90629578695")</f>
        <v>ZAVOD ZA JAVNO ZDRAVSTVO ISTARSKE ŽUPANIJE, NAZOROVA 23, 52100 PULA, OIB: 90629578695</v>
      </c>
      <c r="H3746" s="4"/>
      <c r="I3746" s="1" t="s">
        <v>403</v>
      </c>
      <c r="J3746" s="5">
        <v>43644</v>
      </c>
      <c r="K3746" s="6" t="str">
        <f>"450,00"</f>
        <v>450,00</v>
      </c>
      <c r="L3746" s="6" t="str">
        <f>"112,50"</f>
        <v>112,50</v>
      </c>
      <c r="M3746" s="6" t="str">
        <f>"562,50"</f>
        <v>562,50</v>
      </c>
      <c r="N3746" s="1" t="s">
        <v>117</v>
      </c>
      <c r="O3746" s="7"/>
      <c r="P3746" s="6" t="str">
        <f>""</f>
        <v/>
      </c>
      <c r="Q3746" s="7"/>
      <c r="R3746" s="1"/>
      <c r="S3746" s="1" t="str">
        <f>"J-UN-2019-3934"</f>
        <v>J-UN-2019-3934</v>
      </c>
      <c r="T3746" s="2" t="s">
        <v>33</v>
      </c>
    </row>
    <row r="3747" spans="1:20" ht="38.25" x14ac:dyDescent="0.25">
      <c r="A3747" s="1">
        <v>3743</v>
      </c>
      <c r="B3747" s="1" t="str">
        <f>"2019-782"</f>
        <v>2019-782</v>
      </c>
      <c r="C3747" s="2" t="s">
        <v>2116</v>
      </c>
      <c r="D3747" s="1" t="s">
        <v>2117</v>
      </c>
      <c r="E3747" s="3" t="str">
        <f>""</f>
        <v/>
      </c>
      <c r="F3747" s="2" t="s">
        <v>1323</v>
      </c>
      <c r="G3747" s="2" t="str">
        <f>CONCATENATE("KADEI 360 D.O.O.,"," IVE MALLINA 30,"," 10000 ZAGREB,"," OIB: 7082163502")</f>
        <v>KADEI 360 D.O.O., IVE MALLINA 30, 10000 ZAGREB, OIB: 7082163502</v>
      </c>
      <c r="H3747" s="4"/>
      <c r="I3747" s="1" t="s">
        <v>403</v>
      </c>
      <c r="J3747" s="5">
        <v>43644</v>
      </c>
      <c r="K3747" s="6" t="str">
        <f>"10.000,00"</f>
        <v>10.000,00</v>
      </c>
      <c r="L3747" s="6" t="str">
        <f>"2.500,00"</f>
        <v>2.500,00</v>
      </c>
      <c r="M3747" s="6" t="str">
        <f>"12.500,00"</f>
        <v>12.500,00</v>
      </c>
      <c r="N3747" s="5">
        <v>43619</v>
      </c>
      <c r="O3747" s="7"/>
      <c r="P3747" s="6" t="str">
        <f>"12.500,00"</f>
        <v>12.500,00</v>
      </c>
      <c r="Q3747" s="7"/>
      <c r="R3747" s="1"/>
      <c r="S3747" s="1" t="str">
        <f>"J-UN-2019-3939"</f>
        <v>J-UN-2019-3939</v>
      </c>
      <c r="T3747" s="2" t="s">
        <v>33</v>
      </c>
    </row>
    <row r="3748" spans="1:20" ht="25.5" x14ac:dyDescent="0.25">
      <c r="A3748" s="1">
        <v>3744</v>
      </c>
      <c r="B3748" s="1" t="str">
        <f>"2019-1319"</f>
        <v>2019-1319</v>
      </c>
      <c r="C3748" s="2" t="s">
        <v>2193</v>
      </c>
      <c r="D3748" s="1" t="s">
        <v>2194</v>
      </c>
      <c r="E3748" s="3" t="str">
        <f>""</f>
        <v/>
      </c>
      <c r="F3748" s="2" t="s">
        <v>1323</v>
      </c>
      <c r="G3748" s="2" t="str">
        <f>CONCATENATE("POLJOOPSKRBA-TEHNO D.D.,"," SAMOBORSKA 96,"," 10000 ZAGREB,"," OIB: 5372167324")</f>
        <v>POLJOOPSKRBA-TEHNO D.D., SAMOBORSKA 96, 10000 ZAGREB, OIB: 5372167324</v>
      </c>
      <c r="H3748" s="4"/>
      <c r="I3748" s="1" t="s">
        <v>86</v>
      </c>
      <c r="J3748" s="5">
        <v>43672</v>
      </c>
      <c r="K3748" s="6" t="str">
        <f>"1.868,80"</f>
        <v>1.868,80</v>
      </c>
      <c r="L3748" s="6" t="str">
        <f>"467,20"</f>
        <v>467,20</v>
      </c>
      <c r="M3748" s="6" t="str">
        <f>"2.336,00"</f>
        <v>2.336,00</v>
      </c>
      <c r="N3748" s="1" t="s">
        <v>117</v>
      </c>
      <c r="O3748" s="7"/>
      <c r="P3748" s="6" t="str">
        <f>""</f>
        <v/>
      </c>
      <c r="Q3748" s="7"/>
      <c r="R3748" s="1"/>
      <c r="S3748" s="1" t="str">
        <f>"J-UN-2019-4140"</f>
        <v>J-UN-2019-4140</v>
      </c>
      <c r="T3748" s="2" t="s">
        <v>33</v>
      </c>
    </row>
    <row r="3749" spans="1:20" ht="38.25" x14ac:dyDescent="0.25">
      <c r="A3749" s="1">
        <v>3745</v>
      </c>
      <c r="B3749" s="1" t="str">
        <f>"2019-906"</f>
        <v>2019-906</v>
      </c>
      <c r="C3749" s="2" t="s">
        <v>2387</v>
      </c>
      <c r="D3749" s="1" t="s">
        <v>1519</v>
      </c>
      <c r="E3749" s="3" t="str">
        <f>""</f>
        <v/>
      </c>
      <c r="F3749" s="2" t="s">
        <v>1323</v>
      </c>
      <c r="G3749" s="2" t="str">
        <f>CONCATENATE("INVEST GAMMA ZAGREB D.O.O.,"," TRAKOŠĆANSKA 6,"," 10000 ZAGREB,"," OIB: 22362238205")</f>
        <v>INVEST GAMMA ZAGREB D.O.O., TRAKOŠĆANSKA 6, 10000 ZAGREB, OIB: 22362238205</v>
      </c>
      <c r="H3749" s="4"/>
      <c r="I3749" s="1" t="s">
        <v>424</v>
      </c>
      <c r="J3749" s="5">
        <v>43693</v>
      </c>
      <c r="K3749" s="6" t="str">
        <f>"189.816,15"</f>
        <v>189.816,15</v>
      </c>
      <c r="L3749" s="6" t="str">
        <f>"47.454,04"</f>
        <v>47.454,04</v>
      </c>
      <c r="M3749" s="6" t="str">
        <f>"237.270,19"</f>
        <v>237.270,19</v>
      </c>
      <c r="N3749" s="1" t="s">
        <v>117</v>
      </c>
      <c r="O3749" s="7"/>
      <c r="P3749" s="6" t="str">
        <f>""</f>
        <v/>
      </c>
      <c r="Q3749" s="7"/>
      <c r="R3749" s="1"/>
      <c r="S3749" s="1" t="str">
        <f>"J-UN-2019-4447"</f>
        <v>J-UN-2019-4447</v>
      </c>
      <c r="T3749" s="2" t="s">
        <v>33</v>
      </c>
    </row>
    <row r="3750" spans="1:20" ht="25.5" x14ac:dyDescent="0.25">
      <c r="A3750" s="1">
        <v>3746</v>
      </c>
      <c r="B3750" s="1" t="str">
        <f>"2019-2346"</f>
        <v>2019-2346</v>
      </c>
      <c r="C3750" s="2" t="s">
        <v>2388</v>
      </c>
      <c r="D3750" s="1" t="s">
        <v>184</v>
      </c>
      <c r="E3750" s="3" t="str">
        <f>""</f>
        <v/>
      </c>
      <c r="F3750" s="2" t="s">
        <v>1323</v>
      </c>
      <c r="G3750" s="2" t="str">
        <f>CONCATENATE("EMIL FREY AUTO CENTAR D.O.O.,"," KOVINSKA 5,"," 10000 ZAGREB,"," OIB: 01930677284")</f>
        <v>EMIL FREY AUTO CENTAR D.O.O., KOVINSKA 5, 10000 ZAGREB, OIB: 01930677284</v>
      </c>
      <c r="H3750" s="4"/>
      <c r="I3750" s="1" t="s">
        <v>319</v>
      </c>
      <c r="J3750" s="5">
        <v>43830</v>
      </c>
      <c r="K3750" s="6" t="str">
        <f>"471,91"</f>
        <v>471,91</v>
      </c>
      <c r="L3750" s="6" t="str">
        <f>"117,98"</f>
        <v>117,98</v>
      </c>
      <c r="M3750" s="6" t="str">
        <f>"589,89"</f>
        <v>589,89</v>
      </c>
      <c r="N3750" s="1" t="s">
        <v>117</v>
      </c>
      <c r="O3750" s="7"/>
      <c r="P3750" s="6" t="str">
        <f>""</f>
        <v/>
      </c>
      <c r="Q3750" s="7"/>
      <c r="R3750" s="1"/>
      <c r="S3750" s="1" t="str">
        <f>"J-UN-2019-4520"</f>
        <v>J-UN-2019-4520</v>
      </c>
      <c r="T3750" s="2" t="s">
        <v>33</v>
      </c>
    </row>
    <row r="3751" spans="1:20" ht="38.25" x14ac:dyDescent="0.25">
      <c r="A3751" s="1">
        <v>3747</v>
      </c>
      <c r="B3751" s="1" t="str">
        <f>"2019-2151"</f>
        <v>2019-2151</v>
      </c>
      <c r="C3751" s="2" t="s">
        <v>2219</v>
      </c>
      <c r="D3751" s="1" t="s">
        <v>2211</v>
      </c>
      <c r="E3751" s="3" t="str">
        <f>""</f>
        <v/>
      </c>
      <c r="F3751" s="2" t="s">
        <v>1323</v>
      </c>
      <c r="G3751" s="2" t="str">
        <f>CONCATENATE("LANIŠTE D.O.O.,"," ALEXANDERA VON HUMBOLDTA 4B,"," 10000 ZAGREB,"," OIB: 3755384865")</f>
        <v>LANIŠTE D.O.O., ALEXANDERA VON HUMBOLDTA 4B, 10000 ZAGREB, OIB: 3755384865</v>
      </c>
      <c r="H3751" s="4"/>
      <c r="I3751" s="1" t="s">
        <v>2389</v>
      </c>
      <c r="J3751" s="5">
        <v>43710</v>
      </c>
      <c r="K3751" s="6" t="str">
        <f>"6.032,00"</f>
        <v>6.032,00</v>
      </c>
      <c r="L3751" s="6" t="str">
        <f>"1.508,00"</f>
        <v>1.508,00</v>
      </c>
      <c r="M3751" s="6" t="str">
        <f>"7.540,00"</f>
        <v>7.540,00</v>
      </c>
      <c r="N3751" s="1" t="s">
        <v>117</v>
      </c>
      <c r="O3751" s="7"/>
      <c r="P3751" s="6" t="str">
        <f>""</f>
        <v/>
      </c>
      <c r="Q3751" s="7"/>
      <c r="R3751" s="1"/>
      <c r="S3751" s="1" t="str">
        <f>"J-UN-2019-4581"</f>
        <v>J-UN-2019-4581</v>
      </c>
      <c r="T3751" s="2" t="s">
        <v>33</v>
      </c>
    </row>
    <row r="3752" spans="1:20" ht="38.25" x14ac:dyDescent="0.25">
      <c r="A3752" s="1">
        <v>3748</v>
      </c>
      <c r="B3752" s="1" t="str">
        <f>"2019-1229"</f>
        <v>2019-1229</v>
      </c>
      <c r="C3752" s="2" t="s">
        <v>2212</v>
      </c>
      <c r="D3752" s="1" t="s">
        <v>2213</v>
      </c>
      <c r="E3752" s="3" t="str">
        <f>""</f>
        <v/>
      </c>
      <c r="F3752" s="2" t="s">
        <v>1323</v>
      </c>
      <c r="G3752" s="2" t="str">
        <f>CONCATENATE("LANIŠTE D.O.O.,"," ALEXANDERA VON HUMBOLDTA 4B,"," 10000 ZAGREB,"," OIB: 3755384865")</f>
        <v>LANIŠTE D.O.O., ALEXANDERA VON HUMBOLDTA 4B, 10000 ZAGREB, OIB: 3755384865</v>
      </c>
      <c r="H3752" s="4"/>
      <c r="I3752" s="1" t="s">
        <v>2389</v>
      </c>
      <c r="J3752" s="5">
        <v>43710</v>
      </c>
      <c r="K3752" s="6" t="str">
        <f>"6.032,00"</f>
        <v>6.032,00</v>
      </c>
      <c r="L3752" s="6" t="str">
        <f>"1.508,00"</f>
        <v>1.508,00</v>
      </c>
      <c r="M3752" s="6" t="str">
        <f>"7.540,00"</f>
        <v>7.540,00</v>
      </c>
      <c r="N3752" s="1" t="s">
        <v>117</v>
      </c>
      <c r="O3752" s="7"/>
      <c r="P3752" s="6" t="str">
        <f>""</f>
        <v/>
      </c>
      <c r="Q3752" s="7"/>
      <c r="R3752" s="1"/>
      <c r="S3752" s="1" t="str">
        <f>"J-UN-2019-4583"</f>
        <v>J-UN-2019-4583</v>
      </c>
      <c r="T3752" s="2" t="s">
        <v>33</v>
      </c>
    </row>
    <row r="3753" spans="1:20" ht="38.25" x14ac:dyDescent="0.25">
      <c r="A3753" s="1">
        <v>3749</v>
      </c>
      <c r="B3753" s="1" t="str">
        <f>"2019-116"</f>
        <v>2019-116</v>
      </c>
      <c r="C3753" s="2" t="s">
        <v>2279</v>
      </c>
      <c r="D3753" s="1" t="s">
        <v>382</v>
      </c>
      <c r="E3753" s="3" t="str">
        <f>""</f>
        <v/>
      </c>
      <c r="F3753" s="2" t="s">
        <v>1323</v>
      </c>
      <c r="G3753" s="2" t="str">
        <f>CONCATENATE("TOKIĆ D.O.O.,"," ULICA 144. BRIGADE HRVATSKE VOJSKE 1A,"," 10360 SESVETE,"," OIB: 7486748762")</f>
        <v>TOKIĆ D.O.O., ULICA 144. BRIGADE HRVATSKE VOJSKE 1A, 10360 SESVETE, OIB: 7486748762</v>
      </c>
      <c r="H3753" s="4"/>
      <c r="I3753" s="1" t="s">
        <v>481</v>
      </c>
      <c r="J3753" s="5">
        <v>43717</v>
      </c>
      <c r="K3753" s="6" t="str">
        <f>"10.108,00"</f>
        <v>10.108,00</v>
      </c>
      <c r="L3753" s="6" t="str">
        <f>"2.527,00"</f>
        <v>2.527,00</v>
      </c>
      <c r="M3753" s="6" t="str">
        <f>"12.635,00"</f>
        <v>12.635,00</v>
      </c>
      <c r="N3753" s="1" t="s">
        <v>117</v>
      </c>
      <c r="O3753" s="7"/>
      <c r="P3753" s="6" t="str">
        <f>""</f>
        <v/>
      </c>
      <c r="Q3753" s="7"/>
      <c r="R3753" s="1"/>
      <c r="S3753" s="1" t="str">
        <f>"J-UN-2019-4596"</f>
        <v>J-UN-2019-4596</v>
      </c>
      <c r="T3753" s="2" t="s">
        <v>33</v>
      </c>
    </row>
    <row r="3754" spans="1:20" ht="25.5" x14ac:dyDescent="0.25">
      <c r="A3754" s="1">
        <v>3750</v>
      </c>
      <c r="B3754" s="1" t="str">
        <f>"2019-67"</f>
        <v>2019-67</v>
      </c>
      <c r="C3754" s="2" t="s">
        <v>2338</v>
      </c>
      <c r="D3754" s="1" t="s">
        <v>382</v>
      </c>
      <c r="E3754" s="3" t="str">
        <f>""</f>
        <v/>
      </c>
      <c r="F3754" s="2" t="s">
        <v>1323</v>
      </c>
      <c r="G3754" s="2" t="str">
        <f>CONCATENATE("AUTO-MAG D.O.O.,"," GORNJOSTUPNIČKA 1/d,"," 10255 GORNJI STUPNIK,"," OIB: 99940897955")</f>
        <v>AUTO-MAG D.O.O., GORNJOSTUPNIČKA 1/d, 10255 GORNJI STUPNIK, OIB: 99940897955</v>
      </c>
      <c r="H3754" s="4"/>
      <c r="I3754" s="1" t="s">
        <v>319</v>
      </c>
      <c r="J3754" s="5">
        <v>43830</v>
      </c>
      <c r="K3754" s="6" t="str">
        <f>"318,00"</f>
        <v>318,00</v>
      </c>
      <c r="L3754" s="6" t="str">
        <f>"79,50"</f>
        <v>79,50</v>
      </c>
      <c r="M3754" s="6" t="str">
        <f>"397,50"</f>
        <v>397,50</v>
      </c>
      <c r="N3754" s="1" t="s">
        <v>117</v>
      </c>
      <c r="O3754" s="7"/>
      <c r="P3754" s="6" t="str">
        <f>""</f>
        <v/>
      </c>
      <c r="Q3754" s="7"/>
      <c r="R3754" s="1"/>
      <c r="S3754" s="1" t="str">
        <f>"J-UN-2019-4730"</f>
        <v>J-UN-2019-4730</v>
      </c>
      <c r="T3754" s="2" t="s">
        <v>33</v>
      </c>
    </row>
    <row r="3755" spans="1:20" ht="25.5" x14ac:dyDescent="0.25">
      <c r="A3755" s="1">
        <v>3751</v>
      </c>
      <c r="B3755" s="1" t="str">
        <f>"2018-2847"</f>
        <v>2018-2847</v>
      </c>
      <c r="C3755" s="2" t="s">
        <v>2044</v>
      </c>
      <c r="D3755" s="1" t="s">
        <v>2045</v>
      </c>
      <c r="E3755" s="3" t="str">
        <f>""</f>
        <v/>
      </c>
      <c r="F3755" s="2" t="s">
        <v>1323</v>
      </c>
      <c r="G3755" s="2" t="str">
        <f>CONCATENATE("IDEA PROJEKT D.O.O.,"," FLANATIČKA 25,"," 521000 PULA,"," OIB: 0225710134")</f>
        <v>IDEA PROJEKT D.O.O., FLANATIČKA 25, 521000 PULA, OIB: 0225710134</v>
      </c>
      <c r="H3755" s="4"/>
      <c r="I3755" s="1" t="s">
        <v>1955</v>
      </c>
      <c r="J3755" s="5">
        <v>43509</v>
      </c>
      <c r="K3755" s="6" t="str">
        <f>"25.760,00"</f>
        <v>25.760,00</v>
      </c>
      <c r="L3755" s="6" t="str">
        <f>"6.440,00"</f>
        <v>6.440,00</v>
      </c>
      <c r="M3755" s="6" t="str">
        <f>"32.200,00"</f>
        <v>32.200,00</v>
      </c>
      <c r="N3755" s="1" t="s">
        <v>117</v>
      </c>
      <c r="O3755" s="7"/>
      <c r="P3755" s="6" t="str">
        <f>""</f>
        <v/>
      </c>
      <c r="Q3755" s="7"/>
      <c r="R3755" s="1"/>
      <c r="S3755" s="1" t="str">
        <f>"GZ-UN-2018-12971-1"</f>
        <v>GZ-UN-2018-12971-1</v>
      </c>
      <c r="T3755" s="2" t="s">
        <v>33</v>
      </c>
    </row>
  </sheetData>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downloadnab 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Broj U In2</dc:title>
  <dc:creator>Marina Tuđen</dc:creator>
  <cp:lastModifiedBy>dpancic</cp:lastModifiedBy>
  <dcterms:created xsi:type="dcterms:W3CDTF">2019-09-19T06:01:30Z</dcterms:created>
  <dcterms:modified xsi:type="dcterms:W3CDTF">2019-10-11T07:32:52Z</dcterms:modified>
</cp:coreProperties>
</file>